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Contrats NIF - Propriétaires/2BRUA-122 - GF Club Forêt 2 - LA BRUANDIERE/Administration/Label Bas Carbone/Dossier-Octobre 2022/Annexes/"/>
    </mc:Choice>
  </mc:AlternateContent>
  <xr:revisionPtr revIDLastSave="6" documentId="13_ncr:1_{0A01CC8C-E7CF-4E85-A846-D00BDB1F0C26}" xr6:coauthVersionLast="47" xr6:coauthVersionMax="47" xr10:uidLastSave="{C85625CD-E72C-4A87-A658-F84F1C05EDF0}"/>
  <bookViews>
    <workbookView xWindow="-120" yWindow="-163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6" l="1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FS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C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DI154" i="2"/>
  <c r="HH155" i="2"/>
  <c r="EY154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EX156" i="2"/>
  <c r="EY155" i="2"/>
  <c r="HG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HH157" i="2"/>
  <c r="HG157" i="2"/>
  <c r="EX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HG160" i="2"/>
  <c r="FS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X161" i="2"/>
  <c r="HH161" i="2"/>
  <c r="EA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EW162" i="2"/>
  <c r="EY161" i="2"/>
  <c r="DI161" i="2"/>
  <c r="HG162" i="2"/>
  <c r="EB162" i="2"/>
  <c r="HH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A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DI163" i="2"/>
  <c r="EX164" i="2"/>
  <c r="HH164" i="2"/>
  <c r="FS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DG167" i="2"/>
  <c r="HJ166" i="2"/>
  <c r="HH167" i="2"/>
  <c r="HI167" i="2"/>
  <c r="EX167" i="2"/>
  <c r="EY166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I167" i="2"/>
  <c r="HH168" i="2"/>
  <c r="EW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EY168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EY171" i="2"/>
  <c r="EW172" i="2"/>
  <c r="EA172" i="2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H173" i="2"/>
  <c r="HJ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G178" i="2"/>
  <c r="EA178" i="2"/>
  <c r="ED178" i="2" s="1"/>
  <c r="EB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HH179" i="2"/>
  <c r="EV179" i="2"/>
  <c r="DF179" i="2"/>
  <c r="HG179" i="2"/>
  <c r="HI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EB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G186" i="2"/>
  <c r="FR186" i="2"/>
  <c r="EW186" i="2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HH189" i="2"/>
  <c r="EC189" i="2"/>
  <c r="FS189" i="2"/>
  <c r="HI189" i="2"/>
  <c r="EX189" i="2"/>
  <c r="EY189" i="2" s="1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V190" i="2"/>
  <c r="HH190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HI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HG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AA195" i="2"/>
  <c r="HG195" i="2"/>
  <c r="DH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Y196" i="2"/>
  <c r="FS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V199" i="2"/>
  <c r="EY198" i="2"/>
  <c r="HG199" i="2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DI200" i="2" s="1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HJ200" i="2"/>
  <c r="EA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FS202" i="2"/>
  <c r="EW202" i="2"/>
  <c r="FR202" i="2"/>
  <c r="HG202" i="2"/>
  <c r="HJ202" i="2" s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84" i="2" a="1"/>
  <c r="GT184" i="2" s="1"/>
  <c r="GT122" i="2" a="1"/>
  <c r="GT122" i="2" s="1"/>
  <c r="GT152" i="2" a="1"/>
  <c r="GT152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DN137" i="2" a="1"/>
  <c r="DN137" i="2" s="1"/>
  <c r="DN186" i="2" a="1"/>
  <c r="DN186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178" i="2" a="1"/>
  <c r="GT178" i="2" s="1"/>
  <c r="GT191" i="2" a="1"/>
  <c r="GT191" i="2" s="1"/>
  <c r="GT138" i="2" a="1"/>
  <c r="GT138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AX200" i="2"/>
  <c r="DN43" i="2" l="1" a="1"/>
  <c r="DN43" i="2" s="1"/>
  <c r="DN155" i="2" a="1"/>
  <c r="DN155" i="2" s="1"/>
  <c r="GT107" i="2" a="1"/>
  <c r="GT107" i="2" s="1"/>
  <c r="GT33" i="2" a="1"/>
  <c r="GT33" i="2" s="1"/>
  <c r="GT51" i="2" a="1"/>
  <c r="GT51" i="2" s="1"/>
  <c r="GT115" i="2" a="1"/>
  <c r="GT115" i="2" s="1"/>
  <c r="GT38" i="2" a="1"/>
  <c r="GT38" i="2" s="1"/>
  <c r="GT189" i="2" a="1"/>
  <c r="GT189" i="2" s="1"/>
  <c r="GT11" i="2" a="1"/>
  <c r="GT11" i="2" s="1"/>
  <c r="GT174" i="2" a="1"/>
  <c r="GT174" i="2" s="1"/>
  <c r="GT126" i="2" a="1"/>
  <c r="GT126" i="2" s="1"/>
  <c r="GT198" i="2" a="1"/>
  <c r="GT198" i="2" s="1"/>
  <c r="GT102" i="2" a="1"/>
  <c r="GT102" i="2" s="1"/>
  <c r="GT133" i="2" a="1"/>
  <c r="GT133" i="2" s="1"/>
  <c r="GT68" i="2" a="1"/>
  <c r="GT68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EY202" i="2"/>
  <c r="FR203" i="2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9" i="2" l="1"/>
  <c r="CY124" i="2"/>
  <c r="CY121" i="2"/>
  <c r="CY118" i="2"/>
  <c r="CY3" i="2"/>
  <c r="C10" i="4" s="1"/>
  <c r="E10" i="4" s="1"/>
  <c r="F10" i="4" s="1"/>
  <c r="G10" i="4" s="1"/>
  <c r="L10" i="4" s="1"/>
  <c r="CY182" i="2"/>
  <c r="CY62" i="2"/>
  <c r="CY20" i="2"/>
  <c r="CY176" i="2"/>
  <c r="CY27" i="2"/>
  <c r="CY23" i="2"/>
  <c r="CY76" i="2"/>
  <c r="CY18" i="2"/>
  <c r="CY203" i="2"/>
  <c r="CY143" i="2"/>
  <c r="CY130" i="2"/>
  <c r="CY54" i="2"/>
  <c r="CY86" i="2"/>
  <c r="CY38" i="2"/>
  <c r="CY5" i="2"/>
  <c r="CY173" i="2"/>
  <c r="CY191" i="2"/>
  <c r="CY34" i="2"/>
  <c r="CY132" i="2"/>
  <c r="CY21" i="2"/>
  <c r="CY73" i="2"/>
  <c r="CY106" i="2"/>
  <c r="CY71" i="2"/>
  <c r="CY159" i="2"/>
  <c r="CY15" i="2"/>
  <c r="CY32" i="2"/>
  <c r="CY186" i="2"/>
  <c r="CY96" i="2"/>
  <c r="CY37" i="2"/>
  <c r="CY126" i="2"/>
  <c r="CY74" i="2"/>
  <c r="CY55" i="2"/>
  <c r="CY4" i="2"/>
  <c r="CY50" i="2"/>
  <c r="CY10" i="2"/>
  <c r="CY97" i="2"/>
  <c r="CY164" i="2"/>
  <c r="CY70" i="2"/>
  <c r="CY129" i="2"/>
  <c r="CY68" i="2"/>
  <c r="CY80" i="2"/>
  <c r="CY85" i="2"/>
  <c r="CY157" i="2"/>
  <c r="CY183" i="2"/>
  <c r="CY94" i="2"/>
  <c r="CY198" i="2"/>
  <c r="CY161" i="2"/>
  <c r="CY169" i="2"/>
  <c r="CY112" i="2"/>
  <c r="CY19" i="2"/>
  <c r="CY92" i="2"/>
  <c r="CY190" i="2"/>
  <c r="CY67" i="2"/>
  <c r="CY166" i="2"/>
  <c r="CY152" i="2"/>
  <c r="CY87" i="2"/>
  <c r="CY122" i="2"/>
  <c r="CY109" i="2"/>
  <c r="CY142" i="2"/>
  <c r="CY170" i="2"/>
  <c r="CY163" i="2"/>
  <c r="CY139" i="2"/>
  <c r="CY51" i="2"/>
  <c r="CY40" i="2"/>
  <c r="CY181" i="2"/>
  <c r="CY83" i="2"/>
  <c r="CY69" i="2"/>
  <c r="CY12" i="2"/>
  <c r="CY197" i="2"/>
  <c r="CY114" i="2"/>
  <c r="CY78" i="2"/>
  <c r="CY33" i="2"/>
  <c r="CY162" i="2"/>
  <c r="CY59" i="2"/>
  <c r="CY135" i="2"/>
  <c r="CY48" i="2"/>
  <c r="CY103" i="2"/>
  <c r="CY77" i="2"/>
  <c r="CY133" i="2"/>
  <c r="CY89" i="2"/>
  <c r="CY58" i="2"/>
  <c r="CY158" i="2"/>
  <c r="CY178" i="2"/>
  <c r="CY192" i="2"/>
  <c r="CY147" i="2"/>
  <c r="CY44" i="2"/>
  <c r="CY60" i="2"/>
  <c r="CY117" i="2"/>
  <c r="CY131" i="2"/>
  <c r="CY140" i="2"/>
  <c r="CY75" i="2"/>
  <c r="CY119" i="2"/>
  <c r="CY93" i="2"/>
  <c r="CY99" i="2"/>
  <c r="CY36" i="2"/>
  <c r="CY43" i="2"/>
  <c r="CY17" i="2"/>
  <c r="CY24" i="2"/>
  <c r="CY82" i="2"/>
  <c r="CY39" i="2"/>
  <c r="CY22" i="2"/>
  <c r="CY111" i="2"/>
  <c r="CY47" i="2"/>
  <c r="CY149" i="2"/>
  <c r="CY108" i="2"/>
  <c r="CY167" i="2"/>
  <c r="CY52" i="2"/>
  <c r="CY153" i="2"/>
  <c r="CY151" i="2"/>
  <c r="CY148" i="2"/>
  <c r="CY91" i="2"/>
  <c r="CY177" i="2"/>
  <c r="CY144" i="2"/>
  <c r="CY63" i="2"/>
  <c r="CY30" i="2"/>
  <c r="CY195" i="2"/>
  <c r="CY115" i="2"/>
  <c r="CY172" i="2"/>
  <c r="CY88" i="2"/>
  <c r="CY72" i="2"/>
  <c r="CY123" i="2"/>
  <c r="CY41" i="2"/>
  <c r="CY46" i="2"/>
  <c r="CY165" i="2"/>
  <c r="CY113" i="2"/>
  <c r="CY194" i="2"/>
  <c r="CY26" i="2"/>
  <c r="CY154" i="2"/>
  <c r="CY188" i="2"/>
  <c r="CY61" i="2"/>
  <c r="CY137" i="2"/>
  <c r="CY168" i="2"/>
  <c r="CY180" i="2"/>
  <c r="CY199" i="2"/>
  <c r="CY49" i="2"/>
  <c r="CY8" i="2"/>
  <c r="CY174" i="2"/>
  <c r="CY107" i="2"/>
  <c r="CY81" i="2"/>
  <c r="CY189" i="2"/>
  <c r="CY66" i="2"/>
  <c r="CY6" i="2"/>
  <c r="CY53" i="2"/>
  <c r="CY146" i="2"/>
  <c r="CY29" i="2"/>
  <c r="CY138" i="2"/>
  <c r="CY13" i="2"/>
  <c r="CY196" i="2"/>
  <c r="CY31" i="2"/>
  <c r="CY120" i="2"/>
  <c r="CY14" i="2"/>
  <c r="CY42" i="2"/>
  <c r="CY155" i="2"/>
  <c r="CY105" i="2"/>
  <c r="CY56" i="2"/>
  <c r="CY65" i="2"/>
  <c r="CY84" i="2"/>
  <c r="CY171" i="2"/>
  <c r="CY57" i="2"/>
  <c r="CY184" i="2"/>
  <c r="CY101" i="2"/>
  <c r="CY202" i="2"/>
  <c r="CY64" i="2"/>
  <c r="CY200" i="2"/>
  <c r="CY127" i="2"/>
  <c r="CY35" i="2"/>
  <c r="CY136" i="2"/>
  <c r="CY110" i="2"/>
  <c r="CY95" i="2"/>
  <c r="CY45" i="2"/>
  <c r="CY16" i="2"/>
  <c r="CY156" i="2"/>
  <c r="CY185" i="2"/>
  <c r="CY100" i="2"/>
  <c r="CY179" i="2"/>
  <c r="CY116" i="2"/>
  <c r="CY128" i="2"/>
  <c r="CY7" i="2"/>
  <c r="CY150" i="2"/>
  <c r="CY145" i="2"/>
  <c r="CY11" i="2"/>
  <c r="CY175" i="2"/>
  <c r="CY90" i="2"/>
  <c r="CY193" i="2"/>
  <c r="CY79" i="2"/>
  <c r="CY134" i="2"/>
  <c r="CY28" i="2"/>
  <c r="CY102" i="2"/>
  <c r="CY201" i="2"/>
  <c r="CY25" i="2"/>
  <c r="CY141" i="2"/>
  <c r="CY125" i="2"/>
  <c r="CY160" i="2"/>
  <c r="CY104" i="2"/>
  <c r="CY187" i="2"/>
  <c r="CY98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<sst xmlns="http://schemas.openxmlformats.org/spreadsheetml/2006/main" count="1183" uniqueCount="328">
  <si>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</si>
  <si>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</si>
  <si>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</si>
  <si>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</si>
  <si>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</si>
  <si>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</si>
  <si>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</si>
  <si>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</si>
  <si>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</si>
  <si>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</si>
  <si>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</si>
  <si>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</si>
  <si>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</si>
  <si>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</si>
  <si>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</si>
  <si>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</si>
  <si>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</si>
  <si>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</si>
  <si>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</si>
  <si>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</si>
  <si>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</si>
  <si>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</si>
  <si>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</si>
  <si>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</si>
  <si>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</si>
  <si>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</si>
  <si>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</si>
  <si>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</si>
  <si>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</si>
  <si>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</si>
  <si>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</si>
  <si>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</si>
  <si>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</si>
  <si>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</si>
  <si>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</si>
  <si>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</si>
  <si>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</si>
  <si>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</si>
  <si>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</si>
  <si>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</si>
  <si>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</si>
  <si>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</si>
  <si>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</si>
  <si>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</si>
  <si>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</si>
  <si>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</si>
  <si>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</si>
  <si>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</si>
  <si>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</si>
  <si>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</si>
  <si>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</si>
  <si>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</si>
  <si>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</si>
  <si>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</si>
  <si>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</si>
  <si>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</si>
  <si>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</si>
  <si>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</si>
  <si>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</si>
  <si>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</si>
  <si>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</si>
  <si>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</si>
  <si>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</si>
  <si>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</si>
  <si>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</si>
  <si>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</si>
  <si>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</si>
  <si>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</si>
  <si>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</si>
  <si>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</si>
  <si>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</si>
  <si>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</si>
  <si>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</si>
  <si>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</si>
  <si>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</si>
  <si>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</si>
  <si>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</si>
  <si>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</si>
  <si>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</si>
  <si>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</si>
  <si>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</si>
  <si>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</si>
  <si>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</si>
  <si>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</si>
  <si>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</si>
  <si>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</si>
  <si>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</si>
  <si>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</si>
  <si>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</si>
  <si>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</si>
  <si>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</si>
  <si>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</si>
  <si>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</si>
  <si>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</si>
  <si>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</si>
  <si>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</si>
  <si>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</si>
  <si>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</si>
  <si>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</si>
  <si>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</si>
  <si>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</si>
  <si>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</si>
  <si>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</si>
  <si>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</si>
  <si>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</si>
  <si>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</si>
  <si>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</si>
  <si>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</si>
  <si>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</si>
  <si>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</si>
  <si>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</si>
  <si>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</si>
  <si>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</si>
  <si>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</si>
  <si>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</si>
  <si>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</si>
  <si>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</si>
  <si>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</si>
  <si>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</si>
  <si>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</si>
  <si>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</si>
  <si>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</si>
  <si>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</si>
  <si>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</si>
  <si>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</si>
  <si>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</si>
  <si>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</si>
  <si>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</si>
  <si>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</si>
  <si>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</si>
  <si>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</si>
  <si>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</si>
  <si>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</si>
  <si>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</si>
  <si>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</si>
  <si>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</si>
  <si>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</si>
  <si>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</si>
  <si>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</si>
  <si>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</si>
  <si>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</si>
  <si>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</si>
  <si>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</si>
  <si>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</si>
  <si>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</si>
  <si>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</si>
  <si>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</si>
  <si>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</si>
  <si>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</si>
  <si>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</si>
  <si>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</si>
  <si>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</si>
  <si>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</si>
  <si>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</si>
  <si>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</si>
  <si>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</si>
  <si>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</si>
  <si>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</si>
  <si>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</si>
  <si>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</si>
  <si>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</si>
  <si>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</si>
  <si>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</si>
  <si>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</si>
  <si>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</si>
  <si>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</si>
  <si>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</si>
  <si>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</si>
  <si>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</si>
  <si>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</si>
  <si>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</si>
  <si>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</si>
  <si>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</si>
  <si>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</si>
  <si>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</si>
  <si>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</si>
  <si>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</si>
  <si>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</si>
  <si>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</si>
  <si>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</si>
  <si>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</si>
  <si>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</si>
  <si>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</si>
  <si>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</si>
  <si>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</si>
  <si>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</si>
  <si>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</si>
  <si>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</si>
  <si>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</si>
  <si>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</si>
  <si>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</si>
  <si>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</si>
  <si>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</si>
  <si>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</si>
  <si>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</si>
  <si>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</si>
  <si>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</si>
  <si>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</si>
  <si>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</si>
  <si>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</si>
  <si>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</si>
  <si>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</si>
  <si>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</si>
  <si>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</si>
  <si>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</si>
  <si>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</si>
  <si>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</si>
  <si>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</si>
  <si>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</si>
  <si>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</si>
  <si>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</si>
  <si>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</si>
  <si>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</si>
  <si>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</si>
  <si>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</si>
  <si>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</si>
  <si>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</si>
  <si>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</si>
  <si>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</si>
  <si>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</si>
  <si>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</si>
  <si>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</si>
  <si>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</si>
  <si>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</si>
  <si>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</si>
  <si>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</si>
  <si>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</si>
  <si>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</si>
  <si>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</si>
  <si>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</si>
  <si>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</si>
  <si>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</si>
  <si>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</si>
  <si>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</si>
  <si>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</si>
  <si>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</si>
  <si>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</si>
  <si>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</si>
  <si>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</si>
  <si>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</si>
  <si>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</si>
  <si>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</si>
  <si>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</si>
  <si>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</si>
  <si>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</si>
  <si>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</si>
  <si>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</si>
  <si>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</si>
  <si>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</si>
  <si>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</si>
  <si>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</si>
  <si>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</si>
  <si>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</si>
  <si>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</si>
  <si>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</si>
  <si>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</si>
  <si>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</si>
  <si>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</si>
  <si>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</si>
  <si>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</si>
  <si>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</si>
  <si>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</si>
  <si>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</si>
  <si>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</si>
  <si>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</si>
  <si>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</si>
  <si>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</si>
  <si>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</si>
  <si>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</si>
  <si>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</si>
  <si>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</si>
  <si>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</si>
  <si>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</si>
  <si>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</si>
  <si>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</si>
  <si>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</si>
  <si>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</si>
  <si>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</si>
  <si>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</si>
  <si>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</si>
  <si>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</si>
  <si>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</si>
  <si>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</si>
  <si>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</si>
  <si>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</si>
  <si>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</si>
  <si>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</si>
  <si>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</si>
  <si>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</si>
  <si>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</si>
  <si>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</si>
  <si>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</si>
  <si>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</si>
  <si>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</si>
  <si>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</si>
  <si>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</si>
  <si>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</si>
  <si>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</si>
  <si>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</si>
  <si>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</si>
  <si>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</si>
  <si>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</si>
  <si>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</si>
  <si>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</si>
  <si>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</si>
  <si>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</si>
  <si>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</si>
  <si>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</si>
  <si>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</si>
  <si>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</si>
  <si>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</si>
  <si>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</si>
  <si>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</si>
  <si>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</si>
  <si>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</si>
  <si>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</si>
  <si>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</si>
  <si>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</si>
  <si>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</si>
  <si>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</si>
  <si>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</si>
  <si>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</si>
  <si>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</si>
  <si>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</si>
  <si>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</si>
  <si>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</si>
  <si>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</si>
  <si>
    <t>Correspond au Poirier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</si>
</sst>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8.8044025208429719</c:v>
                </c:pt>
                <c:pt idx="2">
                  <c:v>17.221089273204196</c:v>
                </c:pt>
                <c:pt idx="3">
                  <c:v>25.512563294459923</c:v>
                </c:pt>
                <c:pt idx="4">
                  <c:v>33.726853274883347</c:v>
                </c:pt>
                <c:pt idx="5">
                  <c:v>41.885727391390851</c:v>
                </c:pt>
                <c:pt idx="6">
                  <c:v>50.00160312094232</c:v>
                </c:pt>
                <c:pt idx="7">
                  <c:v>58.082485530805052</c:v>
                </c:pt>
                <c:pt idx="8">
                  <c:v>66.133950466370564</c:v>
                </c:pt>
                <c:pt idx="9">
                  <c:v>74.160096244932106</c:v>
                </c:pt>
                <c:pt idx="10">
                  <c:v>82.164057018091427</c:v>
                </c:pt>
                <c:pt idx="11">
                  <c:v>90.148303834134651</c:v>
                </c:pt>
                <c:pt idx="12">
                  <c:v>98.114832690532054</c:v>
                </c:pt>
                <c:pt idx="13">
                  <c:v>106.06528794847596</c:v>
                </c:pt>
                <c:pt idx="14">
                  <c:v>114.0010466196989</c:v>
                </c:pt>
                <c:pt idx="15">
                  <c:v>121.9232778531174</c:v>
                </c:pt>
                <c:pt idx="16">
                  <c:v>129.83298609190561</c:v>
                </c:pt>
                <c:pt idx="17">
                  <c:v>137.73104312742694</c:v>
                </c:pt>
                <c:pt idx="18">
                  <c:v>145.61821239345747</c:v>
                </c:pt>
                <c:pt idx="19">
                  <c:v>153.49516770691636</c:v>
                </c:pt>
                <c:pt idx="20">
                  <c:v>161.362507950626</c:v>
                </c:pt>
                <c:pt idx="21">
                  <c:v>169.22076873606747</c:v>
                </c:pt>
                <c:pt idx="22">
                  <c:v>177.07043178171759</c:v>
                </c:pt>
                <c:pt idx="23">
                  <c:v>184.91193253803269</c:v>
                </c:pt>
                <c:pt idx="24">
                  <c:v>192.74566644892982</c:v>
                </c:pt>
                <c:pt idx="25">
                  <c:v>200.57199414028256</c:v>
                </c:pt>
                <c:pt idx="26">
                  <c:v>208.39124575488827</c:v>
                </c:pt>
                <c:pt idx="27">
                  <c:v>216.20372460175972</c:v>
                </c:pt>
                <c:pt idx="28">
                  <c:v>224.00971024958213</c:v>
                </c:pt>
                <c:pt idx="29">
                  <c:v>231.8094611658297</c:v>
                </c:pt>
                <c:pt idx="30">
                  <c:v>239.60321698163875</c:v>
                </c:pt>
                <c:pt idx="31">
                  <c:v>247.39120044621509</c:v>
                </c:pt>
                <c:pt idx="32">
                  <c:v>255.17361912197524</c:v>
                </c:pt>
                <c:pt idx="33">
                  <c:v>262.95066686184327</c:v>
                </c:pt>
                <c:pt idx="34">
                  <c:v>270.72252510244931</c:v>
                </c:pt>
                <c:pt idx="35">
                  <c:v>278.48936400091264</c:v>
                </c:pt>
                <c:pt idx="36">
                  <c:v>286.25134343805456</c:v>
                </c:pt>
                <c:pt idx="37">
                  <c:v>239.11627858664042</c:v>
                </c:pt>
                <c:pt idx="38">
                  <c:v>258.09063142735704</c:v>
                </c:pt>
                <c:pt idx="39">
                  <c:v>277.03345654908247</c:v>
                </c:pt>
                <c:pt idx="40">
                  <c:v>295.94721255485501</c:v>
                </c:pt>
                <c:pt idx="41">
                  <c:v>314.83401808651041</c:v>
                </c:pt>
                <c:pt idx="42">
                  <c:v>333.69571683702947</c:v>
                </c:pt>
                <c:pt idx="43">
                  <c:v>352.53392708221878</c:v>
                </c:pt>
                <c:pt idx="44">
                  <c:v>371.35008006494377</c:v>
                </c:pt>
                <c:pt idx="45">
                  <c:v>302.48790395031892</c:v>
                </c:pt>
                <c:pt idx="46">
                  <c:v>324.50971367550903</c:v>
                </c:pt>
                <c:pt idx="47">
                  <c:v>346.49850623818389</c:v>
                </c:pt>
                <c:pt idx="48">
                  <c:v>368.4566702908615</c:v>
                </c:pt>
                <c:pt idx="49">
                  <c:v>390.38628664431286</c:v>
                </c:pt>
                <c:pt idx="50">
                  <c:v>412.28918336225712</c:v>
                </c:pt>
                <c:pt idx="51">
                  <c:v>434.16697853335319</c:v>
                </c:pt>
                <c:pt idx="52">
                  <c:v>456.02111397099435</c:v>
                </c:pt>
                <c:pt idx="53">
                  <c:v>354.223437181012</c:v>
                </c:pt>
                <c:pt idx="54">
                  <c:v>373.76087912744418</c:v>
                </c:pt>
                <c:pt idx="55">
                  <c:v>393.27607323395705</c:v>
                </c:pt>
                <c:pt idx="56">
                  <c:v>412.77027822799613</c:v>
                </c:pt>
                <c:pt idx="57">
                  <c:v>432.24462429583883</c:v>
                </c:pt>
                <c:pt idx="58">
                  <c:v>451.70013152794922</c:v>
                </c:pt>
                <c:pt idx="59">
                  <c:v>471.13772502101688</c:v>
                </c:pt>
                <c:pt idx="60">
                  <c:v>490.55824735832431</c:v>
                </c:pt>
                <c:pt idx="61">
                  <c:v>403.46694653037821</c:v>
                </c:pt>
                <c:pt idx="62">
                  <c:v>420.14556032232667</c:v>
                </c:pt>
                <c:pt idx="63">
                  <c:v>436.80991738516144</c:v>
                </c:pt>
                <c:pt idx="64">
                  <c:v>453.46063798380879</c:v>
                </c:pt>
                <c:pt idx="65">
                  <c:v>470.09829313332119</c:v>
                </c:pt>
                <c:pt idx="66">
                  <c:v>486.72341015001916</c:v>
                </c:pt>
                <c:pt idx="67">
                  <c:v>503.33647740486361</c:v>
                </c:pt>
                <c:pt idx="68">
                  <c:v>519.93794841677959</c:v>
                </c:pt>
                <c:pt idx="69">
                  <c:v>536.52824539615131</c:v>
                </c:pt>
                <c:pt idx="70">
                  <c:v>454.31416423194418</c:v>
                </c:pt>
                <c:pt idx="71">
                  <c:v>469.88507028774637</c:v>
                </c:pt>
                <c:pt idx="72">
                  <c:v>485.44498879797311</c:v>
                </c:pt>
                <c:pt idx="73">
                  <c:v>500.99432141253783</c:v>
                </c:pt>
                <c:pt idx="74">
                  <c:v>516.53344282577962</c:v>
                </c:pt>
                <c:pt idx="75">
                  <c:v>532.06270335879174</c:v>
                </c:pt>
                <c:pt idx="76">
                  <c:v>547.58243122468434</c:v>
                </c:pt>
                <c:pt idx="77">
                  <c:v>563.09293452377176</c:v>
                </c:pt>
                <c:pt idx="78">
                  <c:v>578.5945030075876</c:v>
                </c:pt>
                <c:pt idx="79">
                  <c:v>499.71668415449676</c:v>
                </c:pt>
                <c:pt idx="80">
                  <c:v>514.61820052476094</c:v>
                </c:pt>
                <c:pt idx="81">
                  <c:v>529.51061140708282</c:v>
                </c:pt>
                <c:pt idx="82">
                  <c:v>544.39420886236155</c:v>
                </c:pt>
                <c:pt idx="83">
                  <c:v>559.2692676862448</c:v>
                </c:pt>
                <c:pt idx="84">
                  <c:v>574.13604687135296</c:v>
                </c:pt>
                <c:pt idx="85">
                  <c:v>588.99479091023716</c:v>
                </c:pt>
                <c:pt idx="86">
                  <c:v>603.84573096007898</c:v>
                </c:pt>
                <c:pt idx="87">
                  <c:v>618.68908588691181</c:v>
                </c:pt>
                <c:pt idx="88">
                  <c:v>545.03188461274169</c:v>
                </c:pt>
                <c:pt idx="89">
                  <c:v>559.2692676862448</c:v>
                </c:pt>
                <c:pt idx="90">
                  <c:v>573.49906568955737</c:v>
                </c:pt>
                <c:pt idx="91">
                  <c:v>587.72149325905855</c:v>
                </c:pt>
                <c:pt idx="92">
                  <c:v>601.93675380071193</c:v>
                </c:pt>
                <c:pt idx="93">
                  <c:v>616.14504033452056</c:v>
                </c:pt>
                <c:pt idx="94">
                  <c:v>630.34653625707972</c:v>
                </c:pt>
                <c:pt idx="95">
                  <c:v>644.5414160318727</c:v>
                </c:pt>
                <c:pt idx="96">
                  <c:v>658.72984581562662</c:v>
                </c:pt>
                <c:pt idx="97">
                  <c:v>588.35814925949569</c:v>
                </c:pt>
                <c:pt idx="98">
                  <c:v>601.93675380071193</c:v>
                </c:pt>
                <c:pt idx="99">
                  <c:v>615.50899495391752</c:v>
                </c:pt>
                <c:pt idx="100">
                  <c:v>629.0750327413466</c:v>
                </c:pt>
                <c:pt idx="101">
                  <c:v>642.63501972402457</c:v>
                </c:pt>
                <c:pt idx="102">
                  <c:v>656.189101503026</c:v>
                </c:pt>
                <c:pt idx="103">
                  <c:v>669.73741717718758</c:v>
                </c:pt>
                <c:pt idx="104">
                  <c:v>683.28009976187889</c:v>
                </c:pt>
                <c:pt idx="105">
                  <c:v>696.8172765728682</c:v>
                </c:pt>
                <c:pt idx="106">
                  <c:v>628.22733419629958</c:v>
                </c:pt>
                <c:pt idx="107">
                  <c:v>641.57586023448391</c:v>
                </c:pt>
                <c:pt idx="108">
                  <c:v>654.91865339125718</c:v>
                </c:pt>
                <c:pt idx="109">
                  <c:v>668.25584686179934</c:v>
                </c:pt>
                <c:pt idx="110">
                  <c:v>681.58756809397562</c:v>
                </c:pt>
                <c:pt idx="111">
                  <c:v>694.91393914623552</c:v>
                </c:pt>
                <c:pt idx="112">
                  <c:v>708.23507701664528</c:v>
                </c:pt>
                <c:pt idx="113">
                  <c:v>721.55109394589635</c:v>
                </c:pt>
                <c:pt idx="114">
                  <c:v>734.86209769680011</c:v>
                </c:pt>
                <c:pt idx="115">
                  <c:v>666.13920061354349</c:v>
                </c:pt>
                <c:pt idx="116">
                  <c:v>679.26019614635663</c:v>
                </c:pt>
                <c:pt idx="117">
                  <c:v>692.37598973245349</c:v>
                </c:pt>
                <c:pt idx="118">
                  <c:v>705.48669374356143</c:v>
                </c:pt>
                <c:pt idx="119">
                  <c:v>718.59241603672262</c:v>
                </c:pt>
                <c:pt idx="120">
                  <c:v>731.69326021641825</c:v>
                </c:pt>
                <c:pt idx="121">
                  <c:v>744.78932587695965</c:v>
                </c:pt>
                <c:pt idx="122">
                  <c:v>757.88070882695501</c:v>
                </c:pt>
                <c:pt idx="123">
                  <c:v>770.96750129747352</c:v>
                </c:pt>
                <c:pt idx="124">
                  <c:v>708.02367067189641</c:v>
                </c:pt>
                <c:pt idx="125">
                  <c:v>721.12844085618462</c:v>
                </c:pt>
                <c:pt idx="126">
                  <c:v>734.22835250908383</c:v>
                </c:pt>
                <c:pt idx="127">
                  <c:v>747.32350447519786</c:v>
                </c:pt>
                <c:pt idx="128">
                  <c:v>760.41399185494322</c:v>
                </c:pt>
                <c:pt idx="129">
                  <c:v>773.49990620972778</c:v>
                </c:pt>
                <c:pt idx="130">
                  <c:v>786.58133575253578</c:v>
                </c:pt>
                <c:pt idx="131">
                  <c:v>799.65836552518397</c:v>
                </c:pt>
                <c:pt idx="132">
                  <c:v>812.73107756339084</c:v>
                </c:pt>
                <c:pt idx="133">
                  <c:v>748.16819181248957</c:v>
                </c:pt>
                <c:pt idx="134">
                  <c:v>761.46947585531234</c:v>
                </c:pt>
                <c:pt idx="135">
                  <c:v>774.76604562818318</c:v>
                </c:pt>
                <c:pt idx="136">
                  <c:v>788.0579933799545</c:v>
                </c:pt>
                <c:pt idx="137">
                  <c:v>801.34540799622675</c:v>
                </c:pt>
                <c:pt idx="138">
                  <c:v>814.62837517685568</c:v>
                </c:pt>
                <c:pt idx="139">
                  <c:v>827.90697760128967</c:v>
                </c:pt>
                <c:pt idx="140">
                  <c:v>841.18129508275808</c:v>
                </c:pt>
                <c:pt idx="141">
                  <c:v>854.45140471223124</c:v>
                </c:pt>
                <c:pt idx="142">
                  <c:v>782.52023774532063</c:v>
                </c:pt>
                <c:pt idx="143">
                  <c:v>795.96770927095042</c:v>
                </c:pt>
                <c:pt idx="144">
                  <c:v>809.41059169599328</c:v>
                </c:pt>
                <c:pt idx="145">
                  <c:v>822.84897191684502</c:v>
                </c:pt>
                <c:pt idx="146">
                  <c:v>836.28293376251452</c:v>
                </c:pt>
                <c:pt idx="147">
                  <c:v>849.71255815145366</c:v>
                </c:pt>
                <c:pt idx="148">
                  <c:v>863.13792323796361</c:v>
                </c:pt>
                <c:pt idx="149">
                  <c:v>876.55910454903005</c:v>
                </c:pt>
                <c:pt idx="150">
                  <c:v>889.9761751123491</c:v>
                </c:pt>
                <c:pt idx="151">
                  <c:v>903.38920557624033</c:v>
                </c:pt>
                <c:pt idx="152">
                  <c:v>916.79826432207403</c:v>
                </c:pt>
                <c:pt idx="153">
                  <c:v>930.20341756978814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3.4573781749974213</c:v>
                </c:pt>
                <c:pt idx="2">
                  <c:v>4.0997366316783994</c:v>
                </c:pt>
                <c:pt idx="3">
                  <c:v>4.861875560059354</c:v>
                </c:pt>
                <c:pt idx="4">
                  <c:v>5.7662067629696301</c:v>
                </c:pt>
                <c:pt idx="5">
                  <c:v>6.8393488281604879</c:v>
                </c:pt>
                <c:pt idx="6">
                  <c:v>8.11291909258596</c:v>
                </c:pt>
                <c:pt idx="7">
                  <c:v>9.6244751069819596</c:v>
                </c:pt>
                <c:pt idx="8">
                  <c:v>11.418633892577489</c:v>
                </c:pt>
                <c:pt idx="9">
                  <c:v>13.548402647978433</c:v>
                </c:pt>
                <c:pt idx="10">
                  <c:v>16.076760950400296</c:v>
                </c:pt>
                <c:pt idx="11">
                  <c:v>19.078542095706037</c:v>
                </c:pt>
                <c:pt idx="12">
                  <c:v>22.642670267388677</c:v>
                </c:pt>
                <c:pt idx="13">
                  <c:v>26.874820991106549</c:v>
                </c:pt>
                <c:pt idx="14">
                  <c:v>31.900585146564126</c:v>
                </c:pt>
                <c:pt idx="15">
                  <c:v>37.869232062960151</c:v>
                </c:pt>
                <c:pt idx="16">
                  <c:v>44.958185382984375</c:v>
                </c:pt>
                <c:pt idx="17">
                  <c:v>53.378346997334312</c:v>
                </c:pt>
                <c:pt idx="18">
                  <c:v>63.38043008664576</c:v>
                </c:pt>
                <c:pt idx="19">
                  <c:v>75.262492946316726</c:v>
                </c:pt>
                <c:pt idx="20">
                  <c:v>89.37890174783432</c:v>
                </c:pt>
                <c:pt idx="21">
                  <c:v>106.15099382264009</c:v>
                </c:pt>
                <c:pt idx="22">
                  <c:v>126.07976476915019</c:v>
                </c:pt>
                <c:pt idx="23">
                  <c:v>149.76096426203696</c:v>
                </c:pt>
                <c:pt idx="24">
                  <c:v>177.90305876954383</c:v>
                </c:pt>
                <c:pt idx="25">
                  <c:v>211.34860670412681</c:v>
                </c:pt>
                <c:pt idx="26">
                  <c:v>251.09969551825452</c:v>
                </c:pt>
                <c:pt idx="27">
                  <c:v>298.34821409660248</c:v>
                </c:pt>
                <c:pt idx="28">
                  <c:v>285.18100884727528</c:v>
                </c:pt>
                <c:pt idx="29">
                  <c:v>309.03700607705866</c:v>
                </c:pt>
                <c:pt idx="30">
                  <c:v>332.85211692360207</c:v>
                </c:pt>
                <c:pt idx="31">
                  <c:v>325.4653844228269</c:v>
                </c:pt>
                <c:pt idx="32">
                  <c:v>350.07392856178575</c:v>
                </c:pt>
                <c:pt idx="33">
                  <c:v>374.64454060699865</c:v>
                </c:pt>
                <c:pt idx="34">
                  <c:v>399.18005599197159</c:v>
                </c:pt>
                <c:pt idx="35">
                  <c:v>423.68293333202683</c:v>
                </c:pt>
                <c:pt idx="36">
                  <c:v>397.70886835342554</c:v>
                </c:pt>
                <c:pt idx="37">
                  <c:v>428.09015539200345</c:v>
                </c:pt>
                <c:pt idx="38">
                  <c:v>458.42510087541586</c:v>
                </c:pt>
                <c:pt idx="39">
                  <c:v>488.71719832234112</c:v>
                </c:pt>
                <c:pt idx="40">
                  <c:v>518.96947327099531</c:v>
                </c:pt>
                <c:pt idx="41">
                  <c:v>470.40030817401748</c:v>
                </c:pt>
                <c:pt idx="42">
                  <c:v>504.82399657844422</c:v>
                </c:pt>
                <c:pt idx="43">
                  <c:v>539.19805937611306</c:v>
                </c:pt>
                <c:pt idx="44">
                  <c:v>573.52609967375724</c:v>
                </c:pt>
                <c:pt idx="45">
                  <c:v>607.81125465263347</c:v>
                </c:pt>
                <c:pt idx="46">
                  <c:v>642.05627922137</c:v>
                </c:pt>
                <c:pt idx="47">
                  <c:v>676.26361090224157</c:v>
                </c:pt>
                <c:pt idx="48">
                  <c:v>710.43542091532811</c:v>
                </c:pt>
                <c:pt idx="49">
                  <c:v>744.57365493166037</c:v>
                </c:pt>
                <c:pt idx="50">
                  <c:v>778.68006597144938</c:v>
                </c:pt>
                <c:pt idx="51">
                  <c:v>625.30292960675638</c:v>
                </c:pt>
                <c:pt idx="52">
                  <c:v>663.40981398519102</c:v>
                </c:pt>
                <c:pt idx="53">
                  <c:v>701.47167513531997</c:v>
                </c:pt>
                <c:pt idx="54">
                  <c:v>739.49129451668284</c:v>
                </c:pt>
                <c:pt idx="55">
                  <c:v>777.47114478472452</c:v>
                </c:pt>
                <c:pt idx="56">
                  <c:v>815.41343777665008</c:v>
                </c:pt>
                <c:pt idx="57">
                  <c:v>853.32016311239829</c:v>
                </c:pt>
                <c:pt idx="58">
                  <c:v>891.19311958930928</c:v>
                </c:pt>
                <c:pt idx="59">
                  <c:v>929.03394097055798</c:v>
                </c:pt>
                <c:pt idx="60">
                  <c:v>966.84411736026232</c:v>
                </c:pt>
                <c:pt idx="61">
                  <c:v>789.07522628455274</c:v>
                </c:pt>
                <c:pt idx="62">
                  <c:v>823.62549015608931</c:v>
                </c:pt>
                <c:pt idx="63">
                  <c:v>858.14658479909122</c:v>
                </c:pt>
                <c:pt idx="64">
                  <c:v>892.63984630837274</c:v>
                </c:pt>
                <c:pt idx="65">
                  <c:v>927.10649930552654</c:v>
                </c:pt>
                <c:pt idx="66">
                  <c:v>961.54767011741023</c:v>
                </c:pt>
                <c:pt idx="67">
                  <c:v>995.964397971528</c:v>
                </c:pt>
                <c:pt idx="68">
                  <c:v>1030.3576445662077</c:v>
                </c:pt>
                <c:pt idx="69">
                  <c:v>1064.7283022988811</c:v>
                </c:pt>
                <c:pt idx="70">
                  <c:v>1099.077201378662</c:v>
                </c:pt>
                <c:pt idx="71">
                  <c:v>933.12949064082352</c:v>
                </c:pt>
                <c:pt idx="72">
                  <c:v>954.80590027937876</c:v>
                </c:pt>
                <c:pt idx="73">
                  <c:v>976.47255138571234</c:v>
                </c:pt>
                <c:pt idx="74">
                  <c:v>998.12969065384732</c:v>
                </c:pt>
                <c:pt idx="75">
                  <c:v>1019.7775532161644</c:v>
                </c:pt>
                <c:pt idx="76">
                  <c:v>1041.4163634240474</c:v>
                </c:pt>
                <c:pt idx="77">
                  <c:v>1063.0463355603829</c:v>
                </c:pt>
                <c:pt idx="78">
                  <c:v>1084.6676744911447</c:v>
                </c:pt>
                <c:pt idx="79">
                  <c:v>1106.2805762624153</c:v>
                </c:pt>
                <c:pt idx="80">
                  <c:v>1127.8852286483996</c:v>
                </c:pt>
                <c:pt idx="81">
                  <c:v>1039.4932745966532</c:v>
                </c:pt>
                <c:pt idx="82">
                  <c:v>1059.2016439103847</c:v>
                </c:pt>
                <c:pt idx="83">
                  <c:v>1078.9028170176157</c:v>
                </c:pt>
                <c:pt idx="84">
                  <c:v>1098.5969436311764</c:v>
                </c:pt>
                <c:pt idx="85">
                  <c:v>1118.284167666988</c:v>
                </c:pt>
                <c:pt idx="86">
                  <c:v>1137.9646275686553</c:v>
                </c:pt>
                <c:pt idx="87">
                  <c:v>1157.6384566084726</c:v>
                </c:pt>
                <c:pt idx="88">
                  <c:v>1177.305783166941</c:v>
                </c:pt>
                <c:pt idx="89">
                  <c:v>1196.966730992666</c:v>
                </c:pt>
                <c:pt idx="90">
                  <c:v>1216.6214194443221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202.52745814509981</c:v>
                </c:pt>
                <c:pt idx="12">
                  <c:v>235.70707416481403</c:v>
                </c:pt>
                <c:pt idx="13">
                  <c:v>268.78003756948306</c:v>
                </c:pt>
                <c:pt idx="14">
                  <c:v>301.76131730306923</c:v>
                </c:pt>
                <c:pt idx="15">
                  <c:v>334.66233736464409</c:v>
                </c:pt>
                <c:pt idx="16">
                  <c:v>308.34762462686348</c:v>
                </c:pt>
                <c:pt idx="17">
                  <c:v>338.14166327303155</c:v>
                </c:pt>
                <c:pt idx="18">
                  <c:v>367.87792895100188</c:v>
                </c:pt>
                <c:pt idx="19">
                  <c:v>397.56174311317318</c:v>
                </c:pt>
                <c:pt idx="20">
                  <c:v>427.19756804132595</c:v>
                </c:pt>
                <c:pt idx="21">
                  <c:v>407.95878231757439</c:v>
                </c:pt>
                <c:pt idx="22">
                  <c:v>432.96552861089231</c:v>
                </c:pt>
                <c:pt idx="23">
                  <c:v>457.94126927057505</c:v>
                </c:pt>
                <c:pt idx="24">
                  <c:v>482.8879313845502</c:v>
                </c:pt>
                <c:pt idx="25">
                  <c:v>507.80722686130622</c:v>
                </c:pt>
                <c:pt idx="26">
                  <c:v>493.62565905582687</c:v>
                </c:pt>
                <c:pt idx="27">
                  <c:v>513.93718925042367</c:v>
                </c:pt>
                <c:pt idx="28">
                  <c:v>534.23177896582104</c:v>
                </c:pt>
                <c:pt idx="29">
                  <c:v>554.51016178271277</c:v>
                </c:pt>
                <c:pt idx="30">
                  <c:v>574.77301329675242</c:v>
                </c:pt>
                <c:pt idx="31">
                  <c:v>564.45232939981622</c:v>
                </c:pt>
                <c:pt idx="32">
                  <c:v>580.88714383067816</c:v>
                </c:pt>
                <c:pt idx="33">
                  <c:v>597.31226449625308</c:v>
                </c:pt>
                <c:pt idx="34">
                  <c:v>613.72799533010232</c:v>
                </c:pt>
                <c:pt idx="35">
                  <c:v>630.13462269202159</c:v>
                </c:pt>
                <c:pt idx="36">
                  <c:v>623.64935210528506</c:v>
                </c:pt>
                <c:pt idx="37">
                  <c:v>638.1439351253598</c:v>
                </c:pt>
                <c:pt idx="38">
                  <c:v>652.63171873234603</c:v>
                </c:pt>
                <c:pt idx="39">
                  <c:v>667.11287504220138</c:v>
                </c:pt>
                <c:pt idx="40">
                  <c:v>681.58756809397687</c:v>
                </c:pt>
                <c:pt idx="41">
                  <c:v>678.54079353970121</c:v>
                </c:pt>
                <c:pt idx="42">
                  <c:v>692.6297932397805</c:v>
                </c:pt>
                <c:pt idx="43">
                  <c:v>706.71292251165823</c:v>
                </c:pt>
                <c:pt idx="44">
                  <c:v>720.7903147447181</c:v>
                </c:pt>
                <c:pt idx="45">
                  <c:v>734.86209769680136</c:v>
                </c:pt>
                <c:pt idx="46">
                  <c:v>5.3075956424674458E-12</c:v>
                </c:pt>
                <c:pt idx="47">
                  <c:v>5.3075956424674458E-12</c:v>
                </c:pt>
                <c:pt idx="48">
                  <c:v>5.3075956424674458E-12</c:v>
                </c:pt>
                <c:pt idx="49">
                  <c:v>5.3075956424674458E-12</c:v>
                </c:pt>
                <c:pt idx="50">
                  <c:v>5.3075956424674458E-12</c:v>
                </c:pt>
                <c:pt idx="51">
                  <c:v>5.3075956424674458E-12</c:v>
                </c:pt>
                <c:pt idx="52">
                  <c:v>5.3075956424674458E-12</c:v>
                </c:pt>
                <c:pt idx="53">
                  <c:v>5.3075956424674458E-12</c:v>
                </c:pt>
                <c:pt idx="54">
                  <c:v>5.3075956424674458E-12</c:v>
                </c:pt>
                <c:pt idx="55">
                  <c:v>5.3075956424674458E-12</c:v>
                </c:pt>
                <c:pt idx="56">
                  <c:v>5.3075956424674458E-12</c:v>
                </c:pt>
                <c:pt idx="57">
                  <c:v>5.3075956424674458E-12</c:v>
                </c:pt>
                <c:pt idx="58">
                  <c:v>5.3075956424674458E-12</c:v>
                </c:pt>
                <c:pt idx="59">
                  <c:v>5.3075956424674458E-12</c:v>
                </c:pt>
                <c:pt idx="60">
                  <c:v>5.3075956424674458E-12</c:v>
                </c:pt>
                <c:pt idx="61">
                  <c:v>5.3075956424674458E-12</c:v>
                </c:pt>
                <c:pt idx="62">
                  <c:v>5.3075956424674458E-12</c:v>
                </c:pt>
                <c:pt idx="63">
                  <c:v>5.3075956424674458E-12</c:v>
                </c:pt>
                <c:pt idx="64">
                  <c:v>5.3075956424674458E-12</c:v>
                </c:pt>
                <c:pt idx="65">
                  <c:v>5.3075956424674458E-12</c:v>
                </c:pt>
                <c:pt idx="66">
                  <c:v>5.3075956424674458E-12</c:v>
                </c:pt>
                <c:pt idx="67">
                  <c:v>5.3075956424674458E-12</c:v>
                </c:pt>
                <c:pt idx="68">
                  <c:v>5.3075956424674458E-12</c:v>
                </c:pt>
                <c:pt idx="69">
                  <c:v>5.3075956424674458E-12</c:v>
                </c:pt>
                <c:pt idx="70">
                  <c:v>5.3075956424674458E-12</c:v>
                </c:pt>
                <c:pt idx="71">
                  <c:v>5.3075956424674458E-12</c:v>
                </c:pt>
                <c:pt idx="72">
                  <c:v>5.3075956424674458E-12</c:v>
                </c:pt>
                <c:pt idx="73">
                  <c:v>5.3075956424674458E-12</c:v>
                </c:pt>
                <c:pt idx="74">
                  <c:v>5.3075956424674458E-12</c:v>
                </c:pt>
                <c:pt idx="75">
                  <c:v>5.3075956424674458E-12</c:v>
                </c:pt>
                <c:pt idx="76">
                  <c:v>5.3075956424674458E-12</c:v>
                </c:pt>
                <c:pt idx="77">
                  <c:v>5.3075956424674458E-12</c:v>
                </c:pt>
                <c:pt idx="78">
                  <c:v>5.3075956424674458E-12</c:v>
                </c:pt>
                <c:pt idx="79">
                  <c:v>5.3075956424674458E-12</c:v>
                </c:pt>
                <c:pt idx="80">
                  <c:v>5.3075956424674458E-12</c:v>
                </c:pt>
                <c:pt idx="81">
                  <c:v>5.3075956424674458E-12</c:v>
                </c:pt>
                <c:pt idx="82">
                  <c:v>5.3075956424674458E-12</c:v>
                </c:pt>
                <c:pt idx="83">
                  <c:v>5.3075956424674458E-12</c:v>
                </c:pt>
                <c:pt idx="84">
                  <c:v>5.3075956424674458E-12</c:v>
                </c:pt>
                <c:pt idx="85">
                  <c:v>5.3075956424674458E-12</c:v>
                </c:pt>
                <c:pt idx="86">
                  <c:v>5.3075956424674458E-12</c:v>
                </c:pt>
                <c:pt idx="87">
                  <c:v>5.3075956424674458E-12</c:v>
                </c:pt>
                <c:pt idx="88">
                  <c:v>5.3075956424674458E-12</c:v>
                </c:pt>
                <c:pt idx="89">
                  <c:v>5.3075956424674458E-12</c:v>
                </c:pt>
                <c:pt idx="90">
                  <c:v>5.3075956424674458E-12</c:v>
                </c:pt>
                <c:pt idx="91">
                  <c:v>5.3075956424674458E-12</c:v>
                </c:pt>
                <c:pt idx="92">
                  <c:v>5.3075956424674458E-12</c:v>
                </c:pt>
                <c:pt idx="93">
                  <c:v>5.3075956424674458E-12</c:v>
                </c:pt>
                <c:pt idx="94">
                  <c:v>5.3075956424674458E-12</c:v>
                </c:pt>
                <c:pt idx="95">
                  <c:v>5.3075956424674458E-12</c:v>
                </c:pt>
                <c:pt idx="96">
                  <c:v>5.3075956424674458E-12</c:v>
                </c:pt>
                <c:pt idx="97">
                  <c:v>5.3075956424674458E-12</c:v>
                </c:pt>
                <c:pt idx="98">
                  <c:v>5.3075956424674458E-12</c:v>
                </c:pt>
                <c:pt idx="99">
                  <c:v>5.3075956424674458E-12</c:v>
                </c:pt>
                <c:pt idx="100">
                  <c:v>5.3075956424674458E-12</c:v>
                </c:pt>
                <c:pt idx="101">
                  <c:v>5.3075956424674458E-12</c:v>
                </c:pt>
                <c:pt idx="102">
                  <c:v>5.3075956424674458E-12</c:v>
                </c:pt>
                <c:pt idx="103">
                  <c:v>5.3075956424674458E-12</c:v>
                </c:pt>
                <c:pt idx="104">
                  <c:v>5.3075956424674458E-12</c:v>
                </c:pt>
                <c:pt idx="105">
                  <c:v>5.3075956424674458E-12</c:v>
                </c:pt>
                <c:pt idx="106">
                  <c:v>5.3075956424674458E-12</c:v>
                </c:pt>
                <c:pt idx="107">
                  <c:v>5.3075956424674458E-12</c:v>
                </c:pt>
                <c:pt idx="108">
                  <c:v>5.3075956424674458E-12</c:v>
                </c:pt>
                <c:pt idx="109">
                  <c:v>5.3075956424674458E-12</c:v>
                </c:pt>
                <c:pt idx="110">
                  <c:v>5.3075956424674458E-12</c:v>
                </c:pt>
                <c:pt idx="111">
                  <c:v>5.3075956424674458E-12</c:v>
                </c:pt>
                <c:pt idx="112">
                  <c:v>5.3075956424674458E-12</c:v>
                </c:pt>
                <c:pt idx="113">
                  <c:v>5.3075956424674458E-12</c:v>
                </c:pt>
                <c:pt idx="114">
                  <c:v>5.3075956424674458E-12</c:v>
                </c:pt>
                <c:pt idx="115">
                  <c:v>5.3075956424674458E-12</c:v>
                </c:pt>
                <c:pt idx="116">
                  <c:v>5.3075956424674458E-12</c:v>
                </c:pt>
                <c:pt idx="117">
                  <c:v>5.3075956424674458E-12</c:v>
                </c:pt>
                <c:pt idx="118">
                  <c:v>5.3075956424674458E-12</c:v>
                </c:pt>
                <c:pt idx="119">
                  <c:v>5.3075956424674458E-12</c:v>
                </c:pt>
                <c:pt idx="120">
                  <c:v>5.3075956424674458E-12</c:v>
                </c:pt>
                <c:pt idx="121">
                  <c:v>5.3075956424674458E-12</c:v>
                </c:pt>
                <c:pt idx="122">
                  <c:v>5.3075956424674458E-12</c:v>
                </c:pt>
                <c:pt idx="123">
                  <c:v>5.3075956424674458E-12</c:v>
                </c:pt>
                <c:pt idx="124">
                  <c:v>5.3075956424674458E-12</c:v>
                </c:pt>
                <c:pt idx="125">
                  <c:v>5.3075956424674458E-12</c:v>
                </c:pt>
                <c:pt idx="126">
                  <c:v>5.3075956424674458E-12</c:v>
                </c:pt>
                <c:pt idx="127">
                  <c:v>5.3075956424674458E-12</c:v>
                </c:pt>
                <c:pt idx="128">
                  <c:v>5.3075956424674458E-12</c:v>
                </c:pt>
                <c:pt idx="129">
                  <c:v>5.3075956424674458E-12</c:v>
                </c:pt>
                <c:pt idx="130">
                  <c:v>5.3075956424674458E-12</c:v>
                </c:pt>
                <c:pt idx="131">
                  <c:v>5.3075956424674458E-12</c:v>
                </c:pt>
                <c:pt idx="132">
                  <c:v>5.3075956424674458E-12</c:v>
                </c:pt>
                <c:pt idx="133">
                  <c:v>5.3075956424674458E-12</c:v>
                </c:pt>
                <c:pt idx="134">
                  <c:v>5.3075956424674458E-12</c:v>
                </c:pt>
                <c:pt idx="135">
                  <c:v>5.3075956424674458E-12</c:v>
                </c:pt>
                <c:pt idx="136">
                  <c:v>5.3075956424674458E-12</c:v>
                </c:pt>
                <c:pt idx="137">
                  <c:v>5.3075956424674458E-12</c:v>
                </c:pt>
                <c:pt idx="138">
                  <c:v>5.3075956424674458E-12</c:v>
                </c:pt>
                <c:pt idx="139">
                  <c:v>5.3075956424674458E-12</c:v>
                </c:pt>
                <c:pt idx="140">
                  <c:v>5.3075956424674458E-12</c:v>
                </c:pt>
                <c:pt idx="141">
                  <c:v>5.3075956424674458E-12</c:v>
                </c:pt>
                <c:pt idx="142">
                  <c:v>5.3075956424674458E-12</c:v>
                </c:pt>
                <c:pt idx="143">
                  <c:v>5.3075956424674458E-12</c:v>
                </c:pt>
                <c:pt idx="144">
                  <c:v>5.3075956424674458E-12</c:v>
                </c:pt>
                <c:pt idx="145">
                  <c:v>5.3075956424674458E-12</c:v>
                </c:pt>
                <c:pt idx="146">
                  <c:v>5.3075956424674458E-12</c:v>
                </c:pt>
                <c:pt idx="147">
                  <c:v>5.3075956424674458E-12</c:v>
                </c:pt>
                <c:pt idx="148">
                  <c:v>5.3075956424674458E-12</c:v>
                </c:pt>
                <c:pt idx="149">
                  <c:v>5.3075956424674458E-12</c:v>
                </c:pt>
                <c:pt idx="150">
                  <c:v>5.3075956424674458E-12</c:v>
                </c:pt>
                <c:pt idx="151">
                  <c:v>5.3075956424674458E-12</c:v>
                </c:pt>
                <c:pt idx="152">
                  <c:v>5.3075956424674458E-12</c:v>
                </c:pt>
                <c:pt idx="153">
                  <c:v>5.3075956424674458E-12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2.4989518800615187</c:v>
                </c:pt>
                <c:pt idx="2">
                  <c:v>2.7956673815461048</c:v>
                </c:pt>
                <c:pt idx="3">
                  <c:v>3.1277372856706012</c:v>
                </c:pt>
                <c:pt idx="4">
                  <c:v>3.4993880945164313</c:v>
                </c:pt>
                <c:pt idx="5">
                  <c:v>3.9153531402782078</c:v>
                </c:pt>
                <c:pt idx="6">
                  <c:v>4.3809335382312122</c:v>
                </c:pt>
                <c:pt idx="7">
                  <c:v>4.9020664896676012</c:v>
                </c:pt>
                <c:pt idx="8">
                  <c:v>5.4854018232709505</c:v>
                </c:pt>
                <c:pt idx="9">
                  <c:v>6.1383877710395787</c:v>
                </c:pt>
                <c:pt idx="10">
                  <c:v>6.8693670955776467</c:v>
                </c:pt>
                <c:pt idx="11">
                  <c:v>7.687684820938876</c:v>
                </c:pt>
                <c:pt idx="12">
                  <c:v>8.6038089710137822</c:v>
                </c:pt>
                <c:pt idx="13">
                  <c:v>9.6294658896980252</c:v>
                </c:pt>
                <c:pt idx="14">
                  <c:v>10.777791908010984</c:v>
                </c:pt>
                <c:pt idx="15">
                  <c:v>12.063503337467383</c:v>
                </c:pt>
                <c:pt idx="16">
                  <c:v>13.503087009165833</c:v>
                </c:pt>
                <c:pt idx="17">
                  <c:v>15.115013847414891</c:v>
                </c:pt>
                <c:pt idx="18">
                  <c:v>16.919978268825798</c:v>
                </c:pt>
                <c:pt idx="19">
                  <c:v>18.941166536649991</c:v>
                </c:pt>
                <c:pt idx="20">
                  <c:v>21.204557580205208</c:v>
                </c:pt>
                <c:pt idx="21">
                  <c:v>23.739260215537623</c:v>
                </c:pt>
                <c:pt idx="22">
                  <c:v>26.577891181644503</c:v>
                </c:pt>
                <c:pt idx="23">
                  <c:v>29.75699894295386</c:v>
                </c:pt>
                <c:pt idx="24">
                  <c:v>33.31753881041913</c:v>
                </c:pt>
                <c:pt idx="25">
                  <c:v>37.305405608497736</c:v>
                </c:pt>
                <c:pt idx="26">
                  <c:v>32.752313359223947</c:v>
                </c:pt>
                <c:pt idx="27">
                  <c:v>38.157359149073699</c:v>
                </c:pt>
                <c:pt idx="28">
                  <c:v>43.541550602991578</c:v>
                </c:pt>
                <c:pt idx="29">
                  <c:v>48.907841865476115</c:v>
                </c:pt>
                <c:pt idx="30">
                  <c:v>54.258481690628713</c:v>
                </c:pt>
                <c:pt idx="31">
                  <c:v>49.189827479422114</c:v>
                </c:pt>
                <c:pt idx="32">
                  <c:v>53.977229026119666</c:v>
                </c:pt>
                <c:pt idx="33">
                  <c:v>58.753452787390245</c:v>
                </c:pt>
                <c:pt idx="34">
                  <c:v>63.519538695753845</c:v>
                </c:pt>
                <c:pt idx="35">
                  <c:v>68.276357221445934</c:v>
                </c:pt>
                <c:pt idx="36">
                  <c:v>62.6791610335572</c:v>
                </c:pt>
                <c:pt idx="37">
                  <c:v>66.878209153669061</c:v>
                </c:pt>
                <c:pt idx="38">
                  <c:v>71.070459046599694</c:v>
                </c:pt>
                <c:pt idx="39">
                  <c:v>75.256369644519282</c:v>
                </c:pt>
                <c:pt idx="40">
                  <c:v>79.436344467708778</c:v>
                </c:pt>
                <c:pt idx="41">
                  <c:v>73.303706751831996</c:v>
                </c:pt>
                <c:pt idx="42">
                  <c:v>76.929050905157936</c:v>
                </c:pt>
                <c:pt idx="43">
                  <c:v>80.55004850285529</c:v>
                </c:pt>
                <c:pt idx="44">
                  <c:v>84.166923200098793</c:v>
                </c:pt>
                <c:pt idx="45">
                  <c:v>87.77987779017711</c:v>
                </c:pt>
                <c:pt idx="46">
                  <c:v>81.106753815522168</c:v>
                </c:pt>
                <c:pt idx="47">
                  <c:v>84.166923200098793</c:v>
                </c:pt>
                <c:pt idx="48">
                  <c:v>87.224286186895654</c:v>
                </c:pt>
                <c:pt idx="49">
                  <c:v>90.278955400093324</c:v>
                </c:pt>
                <c:pt idx="50">
                  <c:v>93.331035191377012</c:v>
                </c:pt>
                <c:pt idx="51">
                  <c:v>87.571541330745802</c:v>
                </c:pt>
                <c:pt idx="52">
                  <c:v>90.140163735299396</c:v>
                </c:pt>
                <c:pt idx="53">
                  <c:v>92.706951978957321</c:v>
                </c:pt>
                <c:pt idx="54">
                  <c:v>95.271964216000683</c:v>
                </c:pt>
                <c:pt idx="55">
                  <c:v>97.835255201378104</c:v>
                </c:pt>
                <c:pt idx="56">
                  <c:v>93.747032694753429</c:v>
                </c:pt>
                <c:pt idx="57">
                  <c:v>95.895623829367651</c:v>
                </c:pt>
                <c:pt idx="58">
                  <c:v>98.043015757889165</c:v>
                </c:pt>
                <c:pt idx="59">
                  <c:v>100.1892385640466</c:v>
                </c:pt>
                <c:pt idx="60">
                  <c:v>102.33432093220864</c:v>
                </c:pt>
                <c:pt idx="61">
                  <c:v>99.289350113131817</c:v>
                </c:pt>
                <c:pt idx="62">
                  <c:v>101.08892647502388</c:v>
                </c:pt>
                <c:pt idx="63">
                  <c:v>102.88770882083058</c:v>
                </c:pt>
                <c:pt idx="64">
                  <c:v>104.68571305238527</c:v>
                </c:pt>
                <c:pt idx="65">
                  <c:v>106.48295447840165</c:v>
                </c:pt>
                <c:pt idx="66">
                  <c:v>103.85596064532587</c:v>
                </c:pt>
                <c:pt idx="67">
                  <c:v>105.3770492099768</c:v>
                </c:pt>
                <c:pt idx="68">
                  <c:v>106.89759574069791</c:v>
                </c:pt>
                <c:pt idx="69">
                  <c:v>108.41760907044227</c:v>
                </c:pt>
                <c:pt idx="70">
                  <c:v>109.93709776320527</c:v>
                </c:pt>
                <c:pt idx="71">
                  <c:v>107.79584932750612</c:v>
                </c:pt>
                <c:pt idx="72">
                  <c:v>109.10835028148502</c:v>
                </c:pt>
                <c:pt idx="73">
                  <c:v>110.4204627691866</c:v>
                </c:pt>
                <c:pt idx="74">
                  <c:v>111.73219207934109</c:v>
                </c:pt>
                <c:pt idx="75">
                  <c:v>113.04354336582169</c:v>
                </c:pt>
                <c:pt idx="76">
                  <c:v>111.45607012591323</c:v>
                </c:pt>
                <c:pt idx="77">
                  <c:v>112.62947296512482</c:v>
                </c:pt>
                <c:pt idx="78">
                  <c:v>113.8025759405396</c:v>
                </c:pt>
                <c:pt idx="79">
                  <c:v>114.97538259372898</c:v>
                </c:pt>
                <c:pt idx="80">
                  <c:v>116.14789638779826</c:v>
                </c:pt>
                <c:pt idx="81">
                  <c:v>6.2496320642539887E-13</c:v>
                </c:pt>
                <c:pt idx="82">
                  <c:v>6.2496320642539887E-13</c:v>
                </c:pt>
                <c:pt idx="83">
                  <c:v>6.2496320642539887E-13</c:v>
                </c:pt>
                <c:pt idx="84">
                  <c:v>6.2496320642539887E-13</c:v>
                </c:pt>
                <c:pt idx="85">
                  <c:v>6.2496320642539887E-13</c:v>
                </c:pt>
                <c:pt idx="86">
                  <c:v>6.2496320642539887E-13</c:v>
                </c:pt>
                <c:pt idx="87">
                  <c:v>6.2496320642539887E-13</c:v>
                </c:pt>
                <c:pt idx="88">
                  <c:v>6.2496320642539887E-13</c:v>
                </c:pt>
                <c:pt idx="89">
                  <c:v>6.2496320642539887E-13</c:v>
                </c:pt>
                <c:pt idx="90">
                  <c:v>6.2496320642539887E-13</c:v>
                </c:pt>
                <c:pt idx="91">
                  <c:v>6.2496320642539887E-13</c:v>
                </c:pt>
                <c:pt idx="92">
                  <c:v>6.2496320642539887E-13</c:v>
                </c:pt>
                <c:pt idx="93">
                  <c:v>6.2496320642539887E-13</c:v>
                </c:pt>
                <c:pt idx="94">
                  <c:v>6.2496320642539887E-13</c:v>
                </c:pt>
                <c:pt idx="95">
                  <c:v>6.2496320642539887E-13</c:v>
                </c:pt>
                <c:pt idx="96">
                  <c:v>6.2496320642539887E-13</c:v>
                </c:pt>
                <c:pt idx="97">
                  <c:v>6.2496320642539887E-13</c:v>
                </c:pt>
                <c:pt idx="98">
                  <c:v>6.2496320642539887E-13</c:v>
                </c:pt>
                <c:pt idx="99">
                  <c:v>6.2496320642539887E-13</c:v>
                </c:pt>
                <c:pt idx="100">
                  <c:v>6.2496320642539887E-13</c:v>
                </c:pt>
                <c:pt idx="101">
                  <c:v>6.2496320642539887E-13</c:v>
                </c:pt>
                <c:pt idx="102">
                  <c:v>6.2496320642539887E-13</c:v>
                </c:pt>
                <c:pt idx="103">
                  <c:v>6.2496320642539887E-13</c:v>
                </c:pt>
                <c:pt idx="104">
                  <c:v>6.2496320642539887E-13</c:v>
                </c:pt>
                <c:pt idx="105">
                  <c:v>6.2496320642539887E-13</c:v>
                </c:pt>
                <c:pt idx="106">
                  <c:v>6.2496320642539887E-13</c:v>
                </c:pt>
                <c:pt idx="107">
                  <c:v>6.2496320642539887E-13</c:v>
                </c:pt>
                <c:pt idx="108">
                  <c:v>6.2496320642539887E-13</c:v>
                </c:pt>
                <c:pt idx="109">
                  <c:v>6.2496320642539887E-13</c:v>
                </c:pt>
                <c:pt idx="110">
                  <c:v>6.2496320642539887E-13</c:v>
                </c:pt>
                <c:pt idx="111">
                  <c:v>6.2496320642539887E-13</c:v>
                </c:pt>
                <c:pt idx="112">
                  <c:v>6.2496320642539887E-13</c:v>
                </c:pt>
                <c:pt idx="113">
                  <c:v>6.2496320642539887E-13</c:v>
                </c:pt>
                <c:pt idx="114">
                  <c:v>6.2496320642539887E-13</c:v>
                </c:pt>
                <c:pt idx="115">
                  <c:v>6.2496320642539887E-13</c:v>
                </c:pt>
                <c:pt idx="116">
                  <c:v>6.2496320642539887E-13</c:v>
                </c:pt>
                <c:pt idx="117">
                  <c:v>6.2496320642539887E-13</c:v>
                </c:pt>
                <c:pt idx="118">
                  <c:v>6.2496320642539887E-13</c:v>
                </c:pt>
                <c:pt idx="119">
                  <c:v>6.2496320642539887E-13</c:v>
                </c:pt>
                <c:pt idx="120">
                  <c:v>6.2496320642539887E-13</c:v>
                </c:pt>
                <c:pt idx="121">
                  <c:v>6.2496320642539887E-13</c:v>
                </c:pt>
                <c:pt idx="122">
                  <c:v>6.2496320642539887E-13</c:v>
                </c:pt>
                <c:pt idx="123">
                  <c:v>6.2496320642539887E-13</c:v>
                </c:pt>
                <c:pt idx="124">
                  <c:v>6.2496320642539887E-13</c:v>
                </c:pt>
                <c:pt idx="125">
                  <c:v>6.2496320642539887E-13</c:v>
                </c:pt>
                <c:pt idx="126">
                  <c:v>6.2496320642539887E-13</c:v>
                </c:pt>
                <c:pt idx="127">
                  <c:v>6.2496320642539887E-13</c:v>
                </c:pt>
                <c:pt idx="128">
                  <c:v>6.2496320642539887E-13</c:v>
                </c:pt>
                <c:pt idx="129">
                  <c:v>6.2496320642539887E-13</c:v>
                </c:pt>
                <c:pt idx="130">
                  <c:v>6.2496320642539887E-13</c:v>
                </c:pt>
                <c:pt idx="131">
                  <c:v>6.2496320642539887E-13</c:v>
                </c:pt>
                <c:pt idx="132">
                  <c:v>6.2496320642539887E-13</c:v>
                </c:pt>
                <c:pt idx="133">
                  <c:v>6.2496320642539887E-13</c:v>
                </c:pt>
                <c:pt idx="134">
                  <c:v>6.2496320642539887E-13</c:v>
                </c:pt>
                <c:pt idx="135">
                  <c:v>6.2496320642539887E-13</c:v>
                </c:pt>
                <c:pt idx="136">
                  <c:v>6.2496320642539887E-13</c:v>
                </c:pt>
                <c:pt idx="137">
                  <c:v>6.2496320642539887E-13</c:v>
                </c:pt>
                <c:pt idx="138">
                  <c:v>6.2496320642539887E-13</c:v>
                </c:pt>
                <c:pt idx="139">
                  <c:v>6.2496320642539887E-13</c:v>
                </c:pt>
                <c:pt idx="140">
                  <c:v>6.2496320642539887E-13</c:v>
                </c:pt>
                <c:pt idx="141">
                  <c:v>6.2496320642539887E-13</c:v>
                </c:pt>
                <c:pt idx="142">
                  <c:v>6.2496320642539887E-13</c:v>
                </c:pt>
                <c:pt idx="143">
                  <c:v>6.2496320642539887E-13</c:v>
                </c:pt>
                <c:pt idx="144">
                  <c:v>6.2496320642539887E-13</c:v>
                </c:pt>
                <c:pt idx="145">
                  <c:v>6.2496320642539887E-13</c:v>
                </c:pt>
                <c:pt idx="146">
                  <c:v>6.2496320642539887E-13</c:v>
                </c:pt>
                <c:pt idx="147">
                  <c:v>6.2496320642539887E-13</c:v>
                </c:pt>
                <c:pt idx="148">
                  <c:v>6.2496320642539887E-13</c:v>
                </c:pt>
                <c:pt idx="149">
                  <c:v>6.2496320642539887E-13</c:v>
                </c:pt>
                <c:pt idx="150">
                  <c:v>6.2496320642539887E-13</c:v>
                </c:pt>
                <c:pt idx="151">
                  <c:v>6.2496320642539887E-13</c:v>
                </c:pt>
                <c:pt idx="152">
                  <c:v>6.2496320642539887E-13</c:v>
                </c:pt>
                <c:pt idx="153">
                  <c:v>6.2496320642539887E-13</c:v>
                </c:pt>
                <c:pt idx="154">
                  <c:v>6.2496320642539887E-13</c:v>
                </c:pt>
                <c:pt idx="155">
                  <c:v>6.2496320642539887E-13</c:v>
                </c:pt>
                <c:pt idx="156">
                  <c:v>6.2496320642539887E-13</c:v>
                </c:pt>
                <c:pt idx="157">
                  <c:v>6.2496320642539887E-13</c:v>
                </c:pt>
                <c:pt idx="158">
                  <c:v>6.2496320642539887E-13</c:v>
                </c:pt>
                <c:pt idx="159">
                  <c:v>6.2496320642539887E-13</c:v>
                </c:pt>
                <c:pt idx="160">
                  <c:v>6.2496320642539887E-13</c:v>
                </c:pt>
                <c:pt idx="161">
                  <c:v>6.2496320642539887E-13</c:v>
                </c:pt>
                <c:pt idx="162">
                  <c:v>6.2496320642539887E-13</c:v>
                </c:pt>
                <c:pt idx="163">
                  <c:v>6.2496320642539887E-13</c:v>
                </c:pt>
                <c:pt idx="164">
                  <c:v>6.2496320642539887E-13</c:v>
                </c:pt>
                <c:pt idx="165">
                  <c:v>6.2496320642539887E-13</c:v>
                </c:pt>
                <c:pt idx="166">
                  <c:v>6.2496320642539887E-13</c:v>
                </c:pt>
                <c:pt idx="167">
                  <c:v>6.2496320642539887E-13</c:v>
                </c:pt>
                <c:pt idx="168">
                  <c:v>6.2496320642539887E-13</c:v>
                </c:pt>
                <c:pt idx="169">
                  <c:v>6.2496320642539887E-13</c:v>
                </c:pt>
                <c:pt idx="170">
                  <c:v>6.2496320642539887E-13</c:v>
                </c:pt>
                <c:pt idx="171">
                  <c:v>6.2496320642539887E-13</c:v>
                </c:pt>
                <c:pt idx="172">
                  <c:v>6.2496320642539887E-13</c:v>
                </c:pt>
                <c:pt idx="173">
                  <c:v>6.2496320642539887E-13</c:v>
                </c:pt>
                <c:pt idx="174">
                  <c:v>6.2496320642539887E-13</c:v>
                </c:pt>
                <c:pt idx="175">
                  <c:v>6.2496320642539887E-13</c:v>
                </c:pt>
                <c:pt idx="176">
                  <c:v>6.2496320642539887E-13</c:v>
                </c:pt>
                <c:pt idx="177">
                  <c:v>6.2496320642539887E-13</c:v>
                </c:pt>
                <c:pt idx="178">
                  <c:v>6.2496320642539887E-13</c:v>
                </c:pt>
                <c:pt idx="179">
                  <c:v>6.2496320642539887E-13</c:v>
                </c:pt>
                <c:pt idx="180">
                  <c:v>6.2496320642539887E-13</c:v>
                </c:pt>
                <c:pt idx="181">
                  <c:v>6.2496320642539887E-13</c:v>
                </c:pt>
                <c:pt idx="182">
                  <c:v>6.2496320642539887E-13</c:v>
                </c:pt>
                <c:pt idx="183">
                  <c:v>6.2496320642539887E-13</c:v>
                </c:pt>
                <c:pt idx="184">
                  <c:v>6.2496320642539887E-13</c:v>
                </c:pt>
                <c:pt idx="185">
                  <c:v>6.2496320642539887E-13</c:v>
                </c:pt>
                <c:pt idx="186">
                  <c:v>6.2496320642539887E-13</c:v>
                </c:pt>
                <c:pt idx="187">
                  <c:v>6.2496320642539887E-13</c:v>
                </c:pt>
                <c:pt idx="188">
                  <c:v>6.2496320642539887E-13</c:v>
                </c:pt>
                <c:pt idx="189">
                  <c:v>6.2496320642539887E-13</c:v>
                </c:pt>
                <c:pt idx="190">
                  <c:v>6.2496320642539887E-13</c:v>
                </c:pt>
                <c:pt idx="191">
                  <c:v>6.2496320642539887E-13</c:v>
                </c:pt>
                <c:pt idx="192">
                  <c:v>6.2496320642539887E-13</c:v>
                </c:pt>
                <c:pt idx="193">
                  <c:v>6.2496320642539887E-13</c:v>
                </c:pt>
                <c:pt idx="194">
                  <c:v>6.2496320642539887E-13</c:v>
                </c:pt>
                <c:pt idx="195">
                  <c:v>6.2496320642539887E-13</c:v>
                </c:pt>
                <c:pt idx="196">
                  <c:v>6.2496320642539887E-13</c:v>
                </c:pt>
                <c:pt idx="197">
                  <c:v>6.2496320642539887E-13</c:v>
                </c:pt>
                <c:pt idx="198">
                  <c:v>6.2496320642539887E-13</c:v>
                </c:pt>
                <c:pt idx="199">
                  <c:v>6.2496320642539887E-13</c:v>
                </c:pt>
                <c:pt idx="200">
                  <c:v>6.2496320642539887E-13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3.5872503089353542</c:v>
                </c:pt>
                <c:pt idx="2">
                  <c:v>5.3077951351918697</c:v>
                </c:pt>
                <c:pt idx="3">
                  <c:v>7.8572219340691047</c:v>
                </c:pt>
                <c:pt idx="4">
                  <c:v>11.636499134352581</c:v>
                </c:pt>
                <c:pt idx="5">
                  <c:v>17.241302428845113</c:v>
                </c:pt>
                <c:pt idx="6">
                  <c:v>25.556893993554382</c:v>
                </c:pt>
                <c:pt idx="7">
                  <c:v>37.899382828649706</c:v>
                </c:pt>
                <c:pt idx="8">
                  <c:v>56.226104678235316</c:v>
                </c:pt>
                <c:pt idx="9">
                  <c:v>83.449036459031177</c:v>
                </c:pt>
                <c:pt idx="10">
                  <c:v>123.90184283210726</c:v>
                </c:pt>
                <c:pt idx="11">
                  <c:v>129.72396778307851</c:v>
                </c:pt>
                <c:pt idx="12">
                  <c:v>152.12419837927632</c:v>
                </c:pt>
                <c:pt idx="13">
                  <c:v>174.44578399061106</c:v>
                </c:pt>
                <c:pt idx="14">
                  <c:v>196.70021560689824</c:v>
                </c:pt>
                <c:pt idx="15">
                  <c:v>218.89616376079505</c:v>
                </c:pt>
                <c:pt idx="16">
                  <c:v>211.91441729506622</c:v>
                </c:pt>
                <c:pt idx="17">
                  <c:v>235.71379290964839</c:v>
                </c:pt>
                <c:pt idx="18">
                  <c:v>259.45835227370503</c:v>
                </c:pt>
                <c:pt idx="19">
                  <c:v>283.15381590912324</c:v>
                </c:pt>
                <c:pt idx="20">
                  <c:v>306.80486817387464</c:v>
                </c:pt>
                <c:pt idx="21">
                  <c:v>311.69301492995675</c:v>
                </c:pt>
                <c:pt idx="22">
                  <c:v>357.23748471969321</c:v>
                </c:pt>
                <c:pt idx="23">
                  <c:v>402.65476063336502</c:v>
                </c:pt>
                <c:pt idx="24">
                  <c:v>447.96118916963223</c:v>
                </c:pt>
                <c:pt idx="25">
                  <c:v>493.16953942583194</c:v>
                </c:pt>
                <c:pt idx="26">
                  <c:v>479.05180523598898</c:v>
                </c:pt>
                <c:pt idx="27">
                  <c:v>527.42034327919725</c:v>
                </c:pt>
                <c:pt idx="28">
                  <c:v>575.69549027219523</c:v>
                </c:pt>
                <c:pt idx="29">
                  <c:v>623.88616130163575</c:v>
                </c:pt>
                <c:pt idx="30">
                  <c:v>671.9997837574831</c:v>
                </c:pt>
                <c:pt idx="31">
                  <c:v>626.69483974698016</c:v>
                </c:pt>
                <c:pt idx="32">
                  <c:v>667.59240260217632</c:v>
                </c:pt>
                <c:pt idx="33">
                  <c:v>708.4384632823726</c:v>
                </c:pt>
                <c:pt idx="34">
                  <c:v>749.23640226025145</c:v>
                </c:pt>
                <c:pt idx="35">
                  <c:v>789.98920253695167</c:v>
                </c:pt>
                <c:pt idx="36">
                  <c:v>728.44327225413588</c:v>
                </c:pt>
                <c:pt idx="37">
                  <c:v>764.82353432630691</c:v>
                </c:pt>
                <c:pt idx="38">
                  <c:v>801.16870820601082</c:v>
                </c:pt>
                <c:pt idx="39">
                  <c:v>837.48060627147186</c:v>
                </c:pt>
                <c:pt idx="40">
                  <c:v>873.76087123072557</c:v>
                </c:pt>
                <c:pt idx="41">
                  <c:v>800.37027711769031</c:v>
                </c:pt>
                <c:pt idx="42">
                  <c:v>834.68852639372233</c:v>
                </c:pt>
                <c:pt idx="43">
                  <c:v>868.97841645529695</c:v>
                </c:pt>
                <c:pt idx="44">
                  <c:v>903.24122151770428</c:v>
                </c:pt>
                <c:pt idx="45">
                  <c:v>937.47811143598244</c:v>
                </c:pt>
                <c:pt idx="46">
                  <c:v>857.81729940942353</c:v>
                </c:pt>
                <c:pt idx="47">
                  <c:v>889.69862171796467</c:v>
                </c:pt>
                <c:pt idx="48">
                  <c:v>921.55712961349639</c:v>
                </c:pt>
                <c:pt idx="49">
                  <c:v>953.39372123199166</c:v>
                </c:pt>
                <c:pt idx="50">
                  <c:v>985.20922995321325</c:v>
                </c:pt>
                <c:pt idx="51">
                  <c:v>899.65681263138151</c:v>
                </c:pt>
                <c:pt idx="52">
                  <c:v>929.51829856303277</c:v>
                </c:pt>
                <c:pt idx="53">
                  <c:v>959.36071090839766</c:v>
                </c:pt>
                <c:pt idx="54">
                  <c:v>989.18472535644526</c:v>
                </c:pt>
                <c:pt idx="55">
                  <c:v>1018.9909736078739</c:v>
                </c:pt>
                <c:pt idx="56">
                  <c:v>933.1003813794033</c:v>
                </c:pt>
                <c:pt idx="57">
                  <c:v>962.54280422062493</c:v>
                </c:pt>
                <c:pt idx="58">
                  <c:v>991.96738416030109</c:v>
                </c:pt>
                <c:pt idx="59">
                  <c:v>1021.3747239529586</c:v>
                </c:pt>
                <c:pt idx="60">
                  <c:v>1050.7653888812208</c:v>
                </c:pt>
                <c:pt idx="61">
                  <c:v>961.34954370402704</c:v>
                </c:pt>
                <c:pt idx="62">
                  <c:v>989.18472535644526</c:v>
                </c:pt>
                <c:pt idx="63">
                  <c:v>1017.004431050401</c:v>
                </c:pt>
                <c:pt idx="64">
                  <c:v>1044.8091429291442</c:v>
                </c:pt>
                <c:pt idx="65">
                  <c:v>1072.5993154302089</c:v>
                </c:pt>
                <c:pt idx="66">
                  <c:v>984.41409285056159</c:v>
                </c:pt>
                <c:pt idx="67">
                  <c:v>1011.4417044310981</c:v>
                </c:pt>
                <c:pt idx="68">
                  <c:v>1038.4550780385441</c:v>
                </c:pt>
                <c:pt idx="69">
                  <c:v>1065.4546355040309</c:v>
                </c:pt>
                <c:pt idx="70">
                  <c:v>1092.4407755764762</c:v>
                </c:pt>
                <c:pt idx="71">
                  <c:v>1002.6990562519314</c:v>
                </c:pt>
                <c:pt idx="72">
                  <c:v>1028.1280890163659</c:v>
                </c:pt>
                <c:pt idx="73">
                  <c:v>1053.5447430973527</c:v>
                </c:pt>
                <c:pt idx="74">
                  <c:v>1078.9493586433343</c:v>
                </c:pt>
                <c:pt idx="75">
                  <c:v>1104.3422585077883</c:v>
                </c:pt>
                <c:pt idx="76">
                  <c:v>1017.004431050401</c:v>
                </c:pt>
                <c:pt idx="77">
                  <c:v>1042.8235794859879</c:v>
                </c:pt>
                <c:pt idx="78">
                  <c:v>1068.6301644309772</c:v>
                </c:pt>
                <c:pt idx="79">
                  <c:v>1094.4245314494763</c:v>
                </c:pt>
                <c:pt idx="80">
                  <c:v>1120.2070085185023</c:v>
                </c:pt>
                <c:pt idx="81">
                  <c:v>1033.2918374123453</c:v>
                </c:pt>
                <c:pt idx="82">
                  <c:v>1057.5149994339674</c:v>
                </c:pt>
                <c:pt idx="83">
                  <c:v>1081.7272720322558</c:v>
                </c:pt>
                <c:pt idx="84">
                  <c:v>1105.9289328378698</c:v>
                </c:pt>
                <c:pt idx="85">
                  <c:v>1130.1202463614216</c:v>
                </c:pt>
                <c:pt idx="86">
                  <c:v>1045.6033475298748</c:v>
                </c:pt>
                <c:pt idx="87">
                  <c:v>1068.2332334481396</c:v>
                </c:pt>
                <c:pt idx="88">
                  <c:v>1090.8537201305121</c:v>
                </c:pt>
                <c:pt idx="89">
                  <c:v>1113.4650296029945</c:v>
                </c:pt>
                <c:pt idx="90">
                  <c:v>1136.0673741545049</c:v>
                </c:pt>
                <c:pt idx="91">
                  <c:v>1053.5447430973527</c:v>
                </c:pt>
                <c:pt idx="92">
                  <c:v>1076.1713051167706</c:v>
                </c:pt>
                <c:pt idx="93">
                  <c:v>1098.7885469538544</c:v>
                </c:pt>
                <c:pt idx="94">
                  <c:v>1121.3966871445391</c:v>
                </c:pt>
                <c:pt idx="95">
                  <c:v>1143.9959347099282</c:v>
                </c:pt>
                <c:pt idx="96">
                  <c:v>1063.8668014486577</c:v>
                </c:pt>
                <c:pt idx="97">
                  <c:v>1084.9018591202828</c:v>
                </c:pt>
                <c:pt idx="98">
                  <c:v>1105.9289328378688</c:v>
                </c:pt>
                <c:pt idx="99">
                  <c:v>1126.9481955330682</c:v>
                </c:pt>
                <c:pt idx="100">
                  <c:v>1147.9598131714531</c:v>
                </c:pt>
                <c:pt idx="101">
                  <c:v>1069.4240177234662</c:v>
                </c:pt>
                <c:pt idx="102">
                  <c:v>1090.0601754659522</c:v>
                </c:pt>
                <c:pt idx="103">
                  <c:v>1110.6886891899089</c:v>
                </c:pt>
                <c:pt idx="104">
                  <c:v>1131.3097206321918</c:v>
                </c:pt>
                <c:pt idx="105">
                  <c:v>1151.9234251625255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2.4881578979271102</c:v>
                </c:pt>
                <c:pt idx="2">
                  <c:v>3.5752392007359055</c:v>
                </c:pt>
                <c:pt idx="3">
                  <c:v>5.1393624961061919</c:v>
                </c:pt>
                <c:pt idx="4">
                  <c:v>7.390730033146105</c:v>
                </c:pt>
                <c:pt idx="5">
                  <c:v>10.632520811056571</c:v>
                </c:pt>
                <c:pt idx="6">
                  <c:v>15.30216067653412</c:v>
                </c:pt>
                <c:pt idx="7">
                  <c:v>22.030970045007873</c:v>
                </c:pt>
                <c:pt idx="8">
                  <c:v>31.730396686221621</c:v>
                </c:pt>
                <c:pt idx="9">
                  <c:v>45.716716101212654</c:v>
                </c:pt>
                <c:pt idx="10">
                  <c:v>65.891406604309381</c:v>
                </c:pt>
                <c:pt idx="11">
                  <c:v>68.571986999926011</c:v>
                </c:pt>
                <c:pt idx="12">
                  <c:v>87.562335767011447</c:v>
                </c:pt>
                <c:pt idx="13">
                  <c:v>106.44872103982641</c:v>
                </c:pt>
                <c:pt idx="14">
                  <c:v>125.25228324211768</c:v>
                </c:pt>
                <c:pt idx="15">
                  <c:v>143.987243321303</c:v>
                </c:pt>
                <c:pt idx="16">
                  <c:v>136.0910735825351</c:v>
                </c:pt>
                <c:pt idx="17">
                  <c:v>157.41644051822871</c:v>
                </c:pt>
                <c:pt idx="18">
                  <c:v>178.67318151411396</c:v>
                </c:pt>
                <c:pt idx="19">
                  <c:v>199.87061683989143</c:v>
                </c:pt>
                <c:pt idx="20">
                  <c:v>221.01592342762953</c:v>
                </c:pt>
                <c:pt idx="21">
                  <c:v>205.6687727406734</c:v>
                </c:pt>
                <c:pt idx="22">
                  <c:v>226.51167694218165</c:v>
                </c:pt>
                <c:pt idx="23">
                  <c:v>247.31066393125738</c:v>
                </c:pt>
                <c:pt idx="24">
                  <c:v>268.06994609894531</c:v>
                </c:pt>
                <c:pt idx="25">
                  <c:v>288.79302979328958</c:v>
                </c:pt>
                <c:pt idx="26">
                  <c:v>268.35800717451281</c:v>
                </c:pt>
                <c:pt idx="27">
                  <c:v>288.21785000957169</c:v>
                </c:pt>
                <c:pt idx="28">
                  <c:v>308.04710113552568</c:v>
                </c:pt>
                <c:pt idx="29">
                  <c:v>327.84800604214928</c:v>
                </c:pt>
                <c:pt idx="30">
                  <c:v>347.62251685912912</c:v>
                </c:pt>
                <c:pt idx="31">
                  <c:v>324.69315596665729</c:v>
                </c:pt>
                <c:pt idx="32">
                  <c:v>343.32586555964139</c:v>
                </c:pt>
                <c:pt idx="33">
                  <c:v>361.93635936439574</c:v>
                </c:pt>
                <c:pt idx="34">
                  <c:v>380.52593997693936</c:v>
                </c:pt>
                <c:pt idx="35">
                  <c:v>399.09577237538957</c:v>
                </c:pt>
                <c:pt idx="36">
                  <c:v>374.52228855941621</c:v>
                </c:pt>
                <c:pt idx="37">
                  <c:v>391.38447786967771</c:v>
                </c:pt>
                <c:pt idx="38">
                  <c:v>408.23091327163638</c:v>
                </c:pt>
                <c:pt idx="39">
                  <c:v>425.06233617824211</c:v>
                </c:pt>
                <c:pt idx="40">
                  <c:v>441.8794245148224</c:v>
                </c:pt>
                <c:pt idx="41">
                  <c:v>416.50581806048393</c:v>
                </c:pt>
                <c:pt idx="42">
                  <c:v>432.47498503233857</c:v>
                </c:pt>
                <c:pt idx="43">
                  <c:v>448.43149133120278</c:v>
                </c:pt>
                <c:pt idx="44">
                  <c:v>464.37585074461578</c:v>
                </c:pt>
                <c:pt idx="45">
                  <c:v>480.30853891265809</c:v>
                </c:pt>
                <c:pt idx="46">
                  <c:v>455.26624703610543</c:v>
                </c:pt>
                <c:pt idx="47">
                  <c:v>470.06741271088475</c:v>
                </c:pt>
                <c:pt idx="48">
                  <c:v>484.85865441444776</c:v>
                </c:pt>
                <c:pt idx="49">
                  <c:v>499.64031744004564</c:v>
                </c:pt>
                <c:pt idx="50">
                  <c:v>514.4127249905971</c:v>
                </c:pt>
                <c:pt idx="51">
                  <c:v>489.97645104607113</c:v>
                </c:pt>
                <c:pt idx="52">
                  <c:v>503.90252497555116</c:v>
                </c:pt>
                <c:pt idx="53">
                  <c:v>517.82046012438161</c:v>
                </c:pt>
                <c:pt idx="54">
                  <c:v>531.73050600004944</c:v>
                </c:pt>
                <c:pt idx="55">
                  <c:v>545.63289799541417</c:v>
                </c:pt>
                <c:pt idx="56">
                  <c:v>524.63451464444313</c:v>
                </c:pt>
                <c:pt idx="57">
                  <c:v>537.68959795344927</c:v>
                </c:pt>
                <c:pt idx="58">
                  <c:v>550.73802136481481</c:v>
                </c:pt>
                <c:pt idx="59">
                  <c:v>563.77996485783626</c:v>
                </c:pt>
                <c:pt idx="60">
                  <c:v>576.81559940842214</c:v>
                </c:pt>
                <c:pt idx="61">
                  <c:v>553.29021035639573</c:v>
                </c:pt>
                <c:pt idx="62">
                  <c:v>565.1971842851018</c:v>
                </c:pt>
                <c:pt idx="63">
                  <c:v>577.09891393372266</c:v>
                </c:pt>
                <c:pt idx="64">
                  <c:v>588.9955226740002</c:v>
                </c:pt>
                <c:pt idx="65">
                  <c:v>600.88712848882722</c:v>
                </c:pt>
                <c:pt idx="66">
                  <c:v>578.23214302363363</c:v>
                </c:pt>
                <c:pt idx="67">
                  <c:v>589.56190214931723</c:v>
                </c:pt>
                <c:pt idx="68">
                  <c:v>600.88712848882722</c:v>
                </c:pt>
                <c:pt idx="69">
                  <c:v>612.20791949490558</c:v>
                </c:pt>
                <c:pt idx="70">
                  <c:v>623.52436872319947</c:v>
                </c:pt>
                <c:pt idx="71">
                  <c:v>601.73634047931296</c:v>
                </c:pt>
                <c:pt idx="72">
                  <c:v>612.49088325937885</c:v>
                </c:pt>
                <c:pt idx="73">
                  <c:v>623.24150967944411</c:v>
                </c:pt>
                <c:pt idx="74">
                  <c:v>633.9882968014457</c:v>
                </c:pt>
                <c:pt idx="75">
                  <c:v>644.73131886238991</c:v>
                </c:pt>
                <c:pt idx="76">
                  <c:v>623.52436872319981</c:v>
                </c:pt>
                <c:pt idx="77">
                  <c:v>633.42277093014445</c:v>
                </c:pt>
                <c:pt idx="78">
                  <c:v>643.31797586467553</c:v>
                </c:pt>
                <c:pt idx="79">
                  <c:v>653.21003962849466</c:v>
                </c:pt>
                <c:pt idx="80">
                  <c:v>663.0990164859453</c:v>
                </c:pt>
                <c:pt idx="81">
                  <c:v>641.90456876449605</c:v>
                </c:pt>
                <c:pt idx="82">
                  <c:v>651.79707790279883</c:v>
                </c:pt>
                <c:pt idx="83">
                  <c:v>661.6864924918076</c:v>
                </c:pt>
                <c:pt idx="84">
                  <c:v>671.57286529064856</c:v>
                </c:pt>
                <c:pt idx="85">
                  <c:v>681.45624737883554</c:v>
                </c:pt>
                <c:pt idx="86">
                  <c:v>660.83894830922986</c:v>
                </c:pt>
                <c:pt idx="87">
                  <c:v>669.87827232242591</c:v>
                </c:pt>
                <c:pt idx="88">
                  <c:v>678.91508914125473</c:v>
                </c:pt>
                <c:pt idx="89">
                  <c:v>687.94943683618101</c:v>
                </c:pt>
                <c:pt idx="90">
                  <c:v>696.9813523964558</c:v>
                </c:pt>
                <c:pt idx="91">
                  <c:v>677.50325022726508</c:v>
                </c:pt>
                <c:pt idx="92">
                  <c:v>686.25568300449333</c:v>
                </c:pt>
                <c:pt idx="93">
                  <c:v>695.00582685192273</c:v>
                </c:pt>
                <c:pt idx="94">
                  <c:v>703.75371464383613</c:v>
                </c:pt>
                <c:pt idx="95">
                  <c:v>712.49937837079085</c:v>
                </c:pt>
                <c:pt idx="96">
                  <c:v>693.87690349028151</c:v>
                </c:pt>
                <c:pt idx="97">
                  <c:v>702.06074962665673</c:v>
                </c:pt>
                <c:pt idx="98">
                  <c:v>710.24264406504665</c:v>
                </c:pt>
                <c:pt idx="99">
                  <c:v>718.42261245412408</c:v>
                </c:pt>
                <c:pt idx="100">
                  <c:v>726.60067981099019</c:v>
                </c:pt>
                <c:pt idx="101">
                  <c:v>709.11422198227513</c:v>
                </c:pt>
                <c:pt idx="102">
                  <c:v>717.01240939288448</c:v>
                </c:pt>
                <c:pt idx="103">
                  <c:v>724.90882063985657</c:v>
                </c:pt>
                <c:pt idx="104">
                  <c:v>732.80347779470549</c:v>
                </c:pt>
                <c:pt idx="105">
                  <c:v>740.696402414712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86.433815414014191</c:v>
                </c:pt>
                <c:pt idx="12">
                  <c:v>99.349540078518643</c:v>
                </c:pt>
                <c:pt idx="13">
                  <c:v>112.22355692777835</c:v>
                </c:pt>
                <c:pt idx="14">
                  <c:v>125.0613334299279</c:v>
                </c:pt>
                <c:pt idx="15">
                  <c:v>137.86711899238378</c:v>
                </c:pt>
                <c:pt idx="16">
                  <c:v>150.64430700221428</c:v>
                </c:pt>
                <c:pt idx="17">
                  <c:v>110.61638527930711</c:v>
                </c:pt>
                <c:pt idx="18">
                  <c:v>123.45843862619604</c:v>
                </c:pt>
                <c:pt idx="19">
                  <c:v>136.26802255378678</c:v>
                </c:pt>
                <c:pt idx="20">
                  <c:v>149.0486227432686</c:v>
                </c:pt>
                <c:pt idx="21">
                  <c:v>161.80307694345504</c:v>
                </c:pt>
                <c:pt idx="22">
                  <c:v>174.53373816678013</c:v>
                </c:pt>
                <c:pt idx="23">
                  <c:v>187.24258760716552</c:v>
                </c:pt>
                <c:pt idx="24">
                  <c:v>199.93131520555619</c:v>
                </c:pt>
                <c:pt idx="25">
                  <c:v>212.60137864165844</c:v>
                </c:pt>
                <c:pt idx="26">
                  <c:v>158.69645463974521</c:v>
                </c:pt>
                <c:pt idx="27">
                  <c:v>169.92149076447427</c:v>
                </c:pt>
                <c:pt idx="28">
                  <c:v>181.12906362684407</c:v>
                </c:pt>
                <c:pt idx="29">
                  <c:v>192.32040696704988</c:v>
                </c:pt>
                <c:pt idx="30">
                  <c:v>203.49659903862869</c:v>
                </c:pt>
                <c:pt idx="31">
                  <c:v>214.65858985505474</c:v>
                </c:pt>
                <c:pt idx="32">
                  <c:v>225.8072224628182</c:v>
                </c:pt>
                <c:pt idx="33">
                  <c:v>236.94324978706928</c:v>
                </c:pt>
                <c:pt idx="34">
                  <c:v>248.06734814040897</c:v>
                </c:pt>
                <c:pt idx="35">
                  <c:v>259.18012817891514</c:v>
                </c:pt>
                <c:pt idx="36">
                  <c:v>270.28214387884663</c:v>
                </c:pt>
                <c:pt idx="37">
                  <c:v>281.37389995991185</c:v>
                </c:pt>
                <c:pt idx="38">
                  <c:v>292.45585807583274</c:v>
                </c:pt>
                <c:pt idx="39">
                  <c:v>303.52844201682876</c:v>
                </c:pt>
                <c:pt idx="40">
                  <c:v>314.59204211276341</c:v>
                </c:pt>
                <c:pt idx="41">
                  <c:v>325.64701898414194</c:v>
                </c:pt>
                <c:pt idx="42">
                  <c:v>336.69370675686599</c:v>
                </c:pt>
                <c:pt idx="43">
                  <c:v>347.73241583284789</c:v>
                </c:pt>
                <c:pt idx="44">
                  <c:v>358.76343529028844</c:v>
                </c:pt>
                <c:pt idx="45">
                  <c:v>369.78703497321823</c:v>
                </c:pt>
                <c:pt idx="46">
                  <c:v>3.405245110226996E-12</c:v>
                </c:pt>
                <c:pt idx="47">
                  <c:v>3.405245110226996E-12</c:v>
                </c:pt>
                <c:pt idx="48">
                  <c:v>3.405245110226996E-12</c:v>
                </c:pt>
                <c:pt idx="49">
                  <c:v>3.405245110226996E-12</c:v>
                </c:pt>
                <c:pt idx="50">
                  <c:v>3.405245110226996E-12</c:v>
                </c:pt>
                <c:pt idx="51">
                  <c:v>3.405245110226996E-12</c:v>
                </c:pt>
                <c:pt idx="52">
                  <c:v>3.405245110226996E-12</c:v>
                </c:pt>
                <c:pt idx="53">
                  <c:v>3.405245110226996E-12</c:v>
                </c:pt>
                <c:pt idx="54">
                  <c:v>3.405245110226996E-12</c:v>
                </c:pt>
                <c:pt idx="55">
                  <c:v>3.405245110226996E-12</c:v>
                </c:pt>
                <c:pt idx="56">
                  <c:v>3.405245110226996E-12</c:v>
                </c:pt>
                <c:pt idx="57">
                  <c:v>3.405245110226996E-12</c:v>
                </c:pt>
                <c:pt idx="58">
                  <c:v>3.405245110226996E-12</c:v>
                </c:pt>
                <c:pt idx="59">
                  <c:v>3.405245110226996E-12</c:v>
                </c:pt>
                <c:pt idx="60">
                  <c:v>3.405245110226996E-12</c:v>
                </c:pt>
                <c:pt idx="61">
                  <c:v>3.405245110226996E-12</c:v>
                </c:pt>
                <c:pt idx="62">
                  <c:v>3.405245110226996E-12</c:v>
                </c:pt>
                <c:pt idx="63">
                  <c:v>3.405245110226996E-12</c:v>
                </c:pt>
                <c:pt idx="64">
                  <c:v>3.405245110226996E-12</c:v>
                </c:pt>
                <c:pt idx="65">
                  <c:v>3.405245110226996E-12</c:v>
                </c:pt>
                <c:pt idx="66">
                  <c:v>3.405245110226996E-12</c:v>
                </c:pt>
                <c:pt idx="67">
                  <c:v>3.405245110226996E-12</c:v>
                </c:pt>
                <c:pt idx="68">
                  <c:v>3.405245110226996E-12</c:v>
                </c:pt>
                <c:pt idx="69">
                  <c:v>3.405245110226996E-12</c:v>
                </c:pt>
                <c:pt idx="70">
                  <c:v>3.405245110226996E-12</c:v>
                </c:pt>
                <c:pt idx="71">
                  <c:v>3.405245110226996E-12</c:v>
                </c:pt>
                <c:pt idx="72">
                  <c:v>3.405245110226996E-12</c:v>
                </c:pt>
                <c:pt idx="73">
                  <c:v>3.405245110226996E-12</c:v>
                </c:pt>
                <c:pt idx="74">
                  <c:v>3.405245110226996E-12</c:v>
                </c:pt>
                <c:pt idx="75">
                  <c:v>3.405245110226996E-12</c:v>
                </c:pt>
                <c:pt idx="76">
                  <c:v>3.405245110226996E-12</c:v>
                </c:pt>
                <c:pt idx="77">
                  <c:v>3.405245110226996E-12</c:v>
                </c:pt>
                <c:pt idx="78">
                  <c:v>3.405245110226996E-12</c:v>
                </c:pt>
                <c:pt idx="79">
                  <c:v>3.405245110226996E-12</c:v>
                </c:pt>
                <c:pt idx="80">
                  <c:v>3.405245110226996E-12</c:v>
                </c:pt>
                <c:pt idx="81">
                  <c:v>3.405245110226996E-12</c:v>
                </c:pt>
                <c:pt idx="82">
                  <c:v>3.405245110226996E-12</c:v>
                </c:pt>
                <c:pt idx="83">
                  <c:v>3.405245110226996E-12</c:v>
                </c:pt>
                <c:pt idx="84">
                  <c:v>3.405245110226996E-12</c:v>
                </c:pt>
                <c:pt idx="85">
                  <c:v>3.405245110226996E-12</c:v>
                </c:pt>
                <c:pt idx="86">
                  <c:v>3.405245110226996E-12</c:v>
                </c:pt>
                <c:pt idx="87">
                  <c:v>3.405245110226996E-12</c:v>
                </c:pt>
                <c:pt idx="88">
                  <c:v>3.405245110226996E-12</c:v>
                </c:pt>
                <c:pt idx="89">
                  <c:v>3.405245110226996E-12</c:v>
                </c:pt>
                <c:pt idx="90">
                  <c:v>3.405245110226996E-12</c:v>
                </c:pt>
                <c:pt idx="91">
                  <c:v>3.405245110226996E-12</c:v>
                </c:pt>
                <c:pt idx="92">
                  <c:v>3.405245110226996E-12</c:v>
                </c:pt>
                <c:pt idx="93">
                  <c:v>3.405245110226996E-12</c:v>
                </c:pt>
                <c:pt idx="94">
                  <c:v>3.405245110226996E-12</c:v>
                </c:pt>
                <c:pt idx="95">
                  <c:v>3.405245110226996E-12</c:v>
                </c:pt>
                <c:pt idx="96">
                  <c:v>3.405245110226996E-12</c:v>
                </c:pt>
                <c:pt idx="97">
                  <c:v>3.405245110226996E-12</c:v>
                </c:pt>
                <c:pt idx="98">
                  <c:v>3.405245110226996E-12</c:v>
                </c:pt>
                <c:pt idx="99">
                  <c:v>3.405245110226996E-12</c:v>
                </c:pt>
                <c:pt idx="100">
                  <c:v>3.405245110226996E-12</c:v>
                </c:pt>
                <c:pt idx="101">
                  <c:v>3.405245110226996E-12</c:v>
                </c:pt>
                <c:pt idx="102">
                  <c:v>3.405245110226996E-12</c:v>
                </c:pt>
                <c:pt idx="103">
                  <c:v>3.405245110226996E-12</c:v>
                </c:pt>
                <c:pt idx="104">
                  <c:v>3.405245110226996E-12</c:v>
                </c:pt>
                <c:pt idx="105">
                  <c:v>3.405245110226996E-12</c:v>
                </c:pt>
                <c:pt idx="106">
                  <c:v>3.405245110226996E-12</c:v>
                </c:pt>
                <c:pt idx="107">
                  <c:v>3.405245110226996E-12</c:v>
                </c:pt>
                <c:pt idx="108">
                  <c:v>3.405245110226996E-12</c:v>
                </c:pt>
                <c:pt idx="109">
                  <c:v>3.405245110226996E-12</c:v>
                </c:pt>
                <c:pt idx="110">
                  <c:v>3.405245110226996E-12</c:v>
                </c:pt>
                <c:pt idx="111">
                  <c:v>3.405245110226996E-12</c:v>
                </c:pt>
                <c:pt idx="112">
                  <c:v>3.405245110226996E-12</c:v>
                </c:pt>
                <c:pt idx="113">
                  <c:v>3.405245110226996E-12</c:v>
                </c:pt>
                <c:pt idx="114">
                  <c:v>3.405245110226996E-12</c:v>
                </c:pt>
                <c:pt idx="115">
                  <c:v>3.405245110226996E-12</c:v>
                </c:pt>
                <c:pt idx="116">
                  <c:v>3.405245110226996E-12</c:v>
                </c:pt>
                <c:pt idx="117">
                  <c:v>3.405245110226996E-12</c:v>
                </c:pt>
                <c:pt idx="118">
                  <c:v>3.405245110226996E-12</c:v>
                </c:pt>
                <c:pt idx="119">
                  <c:v>3.405245110226996E-12</c:v>
                </c:pt>
                <c:pt idx="120">
                  <c:v>3.405245110226996E-12</c:v>
                </c:pt>
                <c:pt idx="121">
                  <c:v>3.405245110226996E-12</c:v>
                </c:pt>
                <c:pt idx="122">
                  <c:v>3.405245110226996E-12</c:v>
                </c:pt>
                <c:pt idx="123">
                  <c:v>3.405245110226996E-12</c:v>
                </c:pt>
                <c:pt idx="124">
                  <c:v>3.405245110226996E-12</c:v>
                </c:pt>
                <c:pt idx="125">
                  <c:v>3.405245110226996E-12</c:v>
                </c:pt>
                <c:pt idx="126">
                  <c:v>3.405245110226996E-12</c:v>
                </c:pt>
                <c:pt idx="127">
                  <c:v>3.405245110226996E-12</c:v>
                </c:pt>
                <c:pt idx="128">
                  <c:v>3.405245110226996E-12</c:v>
                </c:pt>
                <c:pt idx="129">
                  <c:v>3.405245110226996E-12</c:v>
                </c:pt>
                <c:pt idx="130">
                  <c:v>3.405245110226996E-12</c:v>
                </c:pt>
                <c:pt idx="131">
                  <c:v>3.405245110226996E-12</c:v>
                </c:pt>
                <c:pt idx="132">
                  <c:v>3.405245110226996E-12</c:v>
                </c:pt>
                <c:pt idx="133">
                  <c:v>3.405245110226996E-12</c:v>
                </c:pt>
                <c:pt idx="134">
                  <c:v>3.405245110226996E-12</c:v>
                </c:pt>
                <c:pt idx="135">
                  <c:v>3.405245110226996E-12</c:v>
                </c:pt>
                <c:pt idx="136">
                  <c:v>3.405245110226996E-12</c:v>
                </c:pt>
                <c:pt idx="137">
                  <c:v>3.405245110226996E-12</c:v>
                </c:pt>
                <c:pt idx="138">
                  <c:v>3.405245110226996E-12</c:v>
                </c:pt>
                <c:pt idx="139">
                  <c:v>3.405245110226996E-12</c:v>
                </c:pt>
                <c:pt idx="140">
                  <c:v>3.405245110226996E-12</c:v>
                </c:pt>
                <c:pt idx="141">
                  <c:v>3.405245110226996E-12</c:v>
                </c:pt>
                <c:pt idx="142">
                  <c:v>3.405245110226996E-12</c:v>
                </c:pt>
                <c:pt idx="143">
                  <c:v>3.405245110226996E-12</c:v>
                </c:pt>
                <c:pt idx="144">
                  <c:v>3.405245110226996E-12</c:v>
                </c:pt>
                <c:pt idx="145">
                  <c:v>3.405245110226996E-12</c:v>
                </c:pt>
                <c:pt idx="146">
                  <c:v>3.405245110226996E-12</c:v>
                </c:pt>
                <c:pt idx="147">
                  <c:v>3.405245110226996E-12</c:v>
                </c:pt>
                <c:pt idx="148">
                  <c:v>3.405245110226996E-12</c:v>
                </c:pt>
                <c:pt idx="149">
                  <c:v>3.405245110226996E-12</c:v>
                </c:pt>
                <c:pt idx="150">
                  <c:v>3.405245110226996E-12</c:v>
                </c:pt>
                <c:pt idx="151">
                  <c:v>3.405245110226996E-12</c:v>
                </c:pt>
                <c:pt idx="152">
                  <c:v>3.405245110226996E-12</c:v>
                </c:pt>
                <c:pt idx="153">
                  <c:v>3.405245110226996E-12</c:v>
                </c:pt>
                <c:pt idx="154">
                  <c:v>3.405245110226996E-12</c:v>
                </c:pt>
                <c:pt idx="155">
                  <c:v>3.405245110226996E-12</c:v>
                </c:pt>
                <c:pt idx="156">
                  <c:v>3.405245110226996E-12</c:v>
                </c:pt>
                <c:pt idx="157">
                  <c:v>3.405245110226996E-12</c:v>
                </c:pt>
                <c:pt idx="158">
                  <c:v>3.405245110226996E-12</c:v>
                </c:pt>
                <c:pt idx="159">
                  <c:v>3.405245110226996E-12</c:v>
                </c:pt>
                <c:pt idx="160">
                  <c:v>3.405245110226996E-12</c:v>
                </c:pt>
                <c:pt idx="161">
                  <c:v>3.405245110226996E-12</c:v>
                </c:pt>
                <c:pt idx="162">
                  <c:v>3.405245110226996E-12</c:v>
                </c:pt>
                <c:pt idx="163">
                  <c:v>3.405245110226996E-12</c:v>
                </c:pt>
                <c:pt idx="164">
                  <c:v>3.405245110226996E-12</c:v>
                </c:pt>
                <c:pt idx="165">
                  <c:v>3.405245110226996E-12</c:v>
                </c:pt>
                <c:pt idx="166">
                  <c:v>3.405245110226996E-12</c:v>
                </c:pt>
                <c:pt idx="167">
                  <c:v>3.405245110226996E-12</c:v>
                </c:pt>
                <c:pt idx="168">
                  <c:v>3.405245110226996E-12</c:v>
                </c:pt>
                <c:pt idx="169">
                  <c:v>3.405245110226996E-12</c:v>
                </c:pt>
                <c:pt idx="170">
                  <c:v>3.405245110226996E-12</c:v>
                </c:pt>
                <c:pt idx="171">
                  <c:v>3.405245110226996E-12</c:v>
                </c:pt>
                <c:pt idx="172">
                  <c:v>3.405245110226996E-12</c:v>
                </c:pt>
                <c:pt idx="173">
                  <c:v>3.405245110226996E-12</c:v>
                </c:pt>
                <c:pt idx="174">
                  <c:v>3.405245110226996E-12</c:v>
                </c:pt>
                <c:pt idx="175">
                  <c:v>3.405245110226996E-12</c:v>
                </c:pt>
                <c:pt idx="176">
                  <c:v>3.405245110226996E-12</c:v>
                </c:pt>
                <c:pt idx="177">
                  <c:v>3.405245110226996E-12</c:v>
                </c:pt>
                <c:pt idx="178">
                  <c:v>3.405245110226996E-12</c:v>
                </c:pt>
                <c:pt idx="179">
                  <c:v>3.405245110226996E-12</c:v>
                </c:pt>
                <c:pt idx="180">
                  <c:v>3.405245110226996E-12</c:v>
                </c:pt>
                <c:pt idx="181">
                  <c:v>3.405245110226996E-12</c:v>
                </c:pt>
                <c:pt idx="182">
                  <c:v>3.405245110226996E-12</c:v>
                </c:pt>
                <c:pt idx="183">
                  <c:v>3.405245110226996E-12</c:v>
                </c:pt>
                <c:pt idx="184">
                  <c:v>3.405245110226996E-12</c:v>
                </c:pt>
                <c:pt idx="185">
                  <c:v>3.405245110226996E-12</c:v>
                </c:pt>
                <c:pt idx="186">
                  <c:v>3.405245110226996E-12</c:v>
                </c:pt>
                <c:pt idx="187">
                  <c:v>3.405245110226996E-12</c:v>
                </c:pt>
                <c:pt idx="188">
                  <c:v>3.405245110226996E-12</c:v>
                </c:pt>
                <c:pt idx="189">
                  <c:v>3.405245110226996E-12</c:v>
                </c:pt>
                <c:pt idx="190">
                  <c:v>3.405245110226996E-12</c:v>
                </c:pt>
                <c:pt idx="191">
                  <c:v>3.405245110226996E-12</c:v>
                </c:pt>
                <c:pt idx="192">
                  <c:v>3.405245110226996E-12</c:v>
                </c:pt>
                <c:pt idx="193">
                  <c:v>3.405245110226996E-12</c:v>
                </c:pt>
                <c:pt idx="194">
                  <c:v>3.405245110226996E-12</c:v>
                </c:pt>
                <c:pt idx="195">
                  <c:v>3.405245110226996E-12</c:v>
                </c:pt>
                <c:pt idx="196">
                  <c:v>3.405245110226996E-12</c:v>
                </c:pt>
                <c:pt idx="197">
                  <c:v>3.405245110226996E-12</c:v>
                </c:pt>
                <c:pt idx="198">
                  <c:v>3.405245110226996E-12</c:v>
                </c:pt>
                <c:pt idx="199">
                  <c:v>3.405245110226996E-12</c:v>
                </c:pt>
                <c:pt idx="200">
                  <c:v>3.405245110226996E-12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1.8710023142399717</c:v>
                </c:pt>
                <c:pt idx="2">
                  <c:v>2.4086044865700527</c:v>
                </c:pt>
                <c:pt idx="3">
                  <c:v>3.1013039149971742</c:v>
                </c:pt>
                <c:pt idx="4">
                  <c:v>3.9940163794444374</c:v>
                </c:pt>
                <c:pt idx="5">
                  <c:v>5.1447114103069351</c:v>
                </c:pt>
                <c:pt idx="6">
                  <c:v>6.6282185635942055</c:v>
                </c:pt>
                <c:pt idx="7">
                  <c:v>8.5411469138879976</c:v>
                </c:pt>
                <c:pt idx="8">
                  <c:v>11.008244250310744</c:v>
                </c:pt>
                <c:pt idx="9">
                  <c:v>14.19061845421473</c:v>
                </c:pt>
                <c:pt idx="10">
                  <c:v>18.29636781943659</c:v>
                </c:pt>
                <c:pt idx="11">
                  <c:v>23.594328000345911</c:v>
                </c:pt>
                <c:pt idx="12">
                  <c:v>30.431851664566437</c:v>
                </c:pt>
                <c:pt idx="13">
                  <c:v>39.257806814925452</c:v>
                </c:pt>
                <c:pt idx="14">
                  <c:v>50.652329311097141</c:v>
                </c:pt>
                <c:pt idx="15">
                  <c:v>65.365317932831758</c:v>
                </c:pt>
                <c:pt idx="16">
                  <c:v>84.366246933319488</c:v>
                </c:pt>
                <c:pt idx="17">
                  <c:v>108.90863103709552</c:v>
                </c:pt>
                <c:pt idx="18">
                  <c:v>140.61346258757226</c:v>
                </c:pt>
                <c:pt idx="19">
                  <c:v>181.57721661811399</c:v>
                </c:pt>
                <c:pt idx="20">
                  <c:v>234.5116733309676</c:v>
                </c:pt>
                <c:pt idx="21">
                  <c:v>302.92495076093809</c:v>
                </c:pt>
                <c:pt idx="22">
                  <c:v>267.36576742571555</c:v>
                </c:pt>
                <c:pt idx="23">
                  <c:v>297.73700799589739</c:v>
                </c:pt>
                <c:pt idx="24">
                  <c:v>328.03918745937807</c:v>
                </c:pt>
                <c:pt idx="25">
                  <c:v>358.27957663917368</c:v>
                </c:pt>
                <c:pt idx="26">
                  <c:v>388.46411871932219</c:v>
                </c:pt>
                <c:pt idx="27">
                  <c:v>418.59775818754724</c:v>
                </c:pt>
                <c:pt idx="28">
                  <c:v>353.7074479442112</c:v>
                </c:pt>
                <c:pt idx="29">
                  <c:v>385.28927437099543</c:v>
                </c:pt>
                <c:pt idx="30">
                  <c:v>416.81486890309316</c:v>
                </c:pt>
                <c:pt idx="31">
                  <c:v>448.2890770029191</c:v>
                </c:pt>
                <c:pt idx="32">
                  <c:v>479.71600872972459</c:v>
                </c:pt>
                <c:pt idx="33">
                  <c:v>511.09919220055696</c:v>
                </c:pt>
                <c:pt idx="34">
                  <c:v>439.38624527650722</c:v>
                </c:pt>
                <c:pt idx="35">
                  <c:v>470.82617629740298</c:v>
                </c:pt>
                <c:pt idx="36">
                  <c:v>502.22141237657138</c:v>
                </c:pt>
                <c:pt idx="37">
                  <c:v>533.575136212041</c:v>
                </c:pt>
                <c:pt idx="38">
                  <c:v>564.89012638981148</c:v>
                </c:pt>
                <c:pt idx="39">
                  <c:v>596.16882869843118</c:v>
                </c:pt>
                <c:pt idx="40">
                  <c:v>520.17089035819288</c:v>
                </c:pt>
                <c:pt idx="41">
                  <c:v>550.51745019793634</c:v>
                </c:pt>
                <c:pt idx="42">
                  <c:v>580.82895174144664</c:v>
                </c:pt>
                <c:pt idx="43">
                  <c:v>611.10747904792333</c:v>
                </c:pt>
                <c:pt idx="44">
                  <c:v>641.35489310149637</c:v>
                </c:pt>
                <c:pt idx="45">
                  <c:v>671.57286529064868</c:v>
                </c:pt>
                <c:pt idx="46">
                  <c:v>595.38237005397184</c:v>
                </c:pt>
                <c:pt idx="47">
                  <c:v>624.07436481383252</c:v>
                </c:pt>
                <c:pt idx="48">
                  <c:v>652.73905939374663</c:v>
                </c:pt>
                <c:pt idx="49">
                  <c:v>681.37781948179838</c:v>
                </c:pt>
                <c:pt idx="50">
                  <c:v>709.99188677114626</c:v>
                </c:pt>
                <c:pt idx="51">
                  <c:v>738.58239485956085</c:v>
                </c:pt>
                <c:pt idx="52">
                  <c:v>3.4554122145673649E-12</c:v>
                </c:pt>
                <c:pt idx="53">
                  <c:v>3.4554122145673649E-12</c:v>
                </c:pt>
                <c:pt idx="54">
                  <c:v>3.4554122145673649E-12</c:v>
                </c:pt>
                <c:pt idx="55">
                  <c:v>3.4554122145673649E-12</c:v>
                </c:pt>
                <c:pt idx="56">
                  <c:v>3.4554122145673649E-12</c:v>
                </c:pt>
                <c:pt idx="57">
                  <c:v>3.4554122145673649E-12</c:v>
                </c:pt>
                <c:pt idx="58">
                  <c:v>3.4554122145673649E-12</c:v>
                </c:pt>
                <c:pt idx="59">
                  <c:v>3.4554122145673649E-12</c:v>
                </c:pt>
                <c:pt idx="60">
                  <c:v>3.4554122145673649E-12</c:v>
                </c:pt>
                <c:pt idx="61">
                  <c:v>3.4554122145673649E-12</c:v>
                </c:pt>
                <c:pt idx="62">
                  <c:v>3.4554122145673649E-12</c:v>
                </c:pt>
                <c:pt idx="63">
                  <c:v>3.4554122145673649E-12</c:v>
                </c:pt>
                <c:pt idx="64">
                  <c:v>3.4554122145673649E-12</c:v>
                </c:pt>
                <c:pt idx="65">
                  <c:v>3.4554122145673649E-12</c:v>
                </c:pt>
                <c:pt idx="66">
                  <c:v>3.4554122145673649E-12</c:v>
                </c:pt>
                <c:pt idx="67">
                  <c:v>3.4554122145673649E-12</c:v>
                </c:pt>
                <c:pt idx="68">
                  <c:v>3.4554122145673649E-12</c:v>
                </c:pt>
                <c:pt idx="69">
                  <c:v>3.4554122145673649E-12</c:v>
                </c:pt>
                <c:pt idx="70">
                  <c:v>3.4554122145673649E-12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117.72474944809574</c:v>
                </c:pt>
                <c:pt idx="22">
                  <c:v>127.1409435652896</c:v>
                </c:pt>
                <c:pt idx="23">
                  <c:v>136.54024093843057</c:v>
                </c:pt>
                <c:pt idx="24">
                  <c:v>145.923970279027</c:v>
                </c:pt>
                <c:pt idx="25">
                  <c:v>155.29327512886556</c:v>
                </c:pt>
                <c:pt idx="26">
                  <c:v>164.64914953217098</c:v>
                </c:pt>
                <c:pt idx="27">
                  <c:v>173.99246515445861</c:v>
                </c:pt>
                <c:pt idx="28">
                  <c:v>183.32399225800415</c:v>
                </c:pt>
                <c:pt idx="29">
                  <c:v>192.64441617417944</c:v>
                </c:pt>
                <c:pt idx="30">
                  <c:v>201.954350415145</c:v>
                </c:pt>
                <c:pt idx="31">
                  <c:v>162.74342737221238</c:v>
                </c:pt>
                <c:pt idx="32">
                  <c:v>172.90134126179336</c:v>
                </c:pt>
                <c:pt idx="33">
                  <c:v>183.04522494888076</c:v>
                </c:pt>
                <c:pt idx="34">
                  <c:v>193.17596631436231</c:v>
                </c:pt>
                <c:pt idx="35">
                  <c:v>203.29435238958658</c:v>
                </c:pt>
                <c:pt idx="36">
                  <c:v>213.40108537115125</c:v>
                </c:pt>
                <c:pt idx="37">
                  <c:v>223.49679543820852</c:v>
                </c:pt>
                <c:pt idx="38">
                  <c:v>233.58205112932433</c:v>
                </c:pt>
                <c:pt idx="39">
                  <c:v>243.65736783107673</c:v>
                </c:pt>
                <c:pt idx="40">
                  <c:v>253.72321478750428</c:v>
                </c:pt>
                <c:pt idx="41">
                  <c:v>215.71900389754799</c:v>
                </c:pt>
                <c:pt idx="42">
                  <c:v>227.32535187982873</c:v>
                </c:pt>
                <c:pt idx="43">
                  <c:v>238.91813856816086</c:v>
                </c:pt>
                <c:pt idx="44">
                  <c:v>250.49811509434733</c:v>
                </c:pt>
                <c:pt idx="45">
                  <c:v>262.06595742232179</c:v>
                </c:pt>
                <c:pt idx="46">
                  <c:v>273.62227692796188</c:v>
                </c:pt>
                <c:pt idx="47">
                  <c:v>285.16762909642119</c:v>
                </c:pt>
                <c:pt idx="48">
                  <c:v>296.70252073615876</c:v>
                </c:pt>
                <c:pt idx="49">
                  <c:v>308.22741601166098</c:v>
                </c:pt>
                <c:pt idx="50">
                  <c:v>319.74274152614299</c:v>
                </c:pt>
                <c:pt idx="51">
                  <c:v>270.74529722893834</c:v>
                </c:pt>
                <c:pt idx="52">
                  <c:v>284.30059123871615</c:v>
                </c:pt>
                <c:pt idx="53">
                  <c:v>297.84141768671242</c:v>
                </c:pt>
                <c:pt idx="54">
                  <c:v>311.36852709156392</c:v>
                </c:pt>
                <c:pt idx="55">
                  <c:v>324.88259941909052</c:v>
                </c:pt>
                <c:pt idx="56">
                  <c:v>338.38425343574306</c:v>
                </c:pt>
                <c:pt idx="57">
                  <c:v>351.87405449055399</c:v>
                </c:pt>
                <c:pt idx="58">
                  <c:v>365.35252104096782</c:v>
                </c:pt>
                <c:pt idx="59">
                  <c:v>378.82013016511155</c:v>
                </c:pt>
                <c:pt idx="60">
                  <c:v>392.27732224909045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80" zoomScaleNormal="80" workbookViewId="0">
      <selection activeCell="D14" sqref="D1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12.54</v>
      </c>
      <c r="D5" s="269" t="s">
        <v>229</v>
      </c>
      <c r="E5" s="270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0.52057416267942591</v>
      </c>
      <c r="D9" s="33">
        <f t="shared" ref="D9:D18" si="0">C9*$C$5</f>
        <v>6.5280000000000005</v>
      </c>
      <c r="E9" s="34">
        <v>153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44</v>
      </c>
      <c r="C10" s="32">
        <v>2.038216560509554E-2</v>
      </c>
      <c r="D10" s="33">
        <f t="shared" si="0"/>
        <v>0.25559235668789804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29</v>
      </c>
      <c r="C11" s="32">
        <v>3.0573248407643312E-2</v>
      </c>
      <c r="D11" s="33">
        <f t="shared" si="0"/>
        <v>0.38338853503184711</v>
      </c>
      <c r="E11" s="34">
        <v>69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26</v>
      </c>
      <c r="C12" s="32">
        <v>3.0573248407643312E-2</v>
      </c>
      <c r="D12" s="33">
        <f t="shared" si="0"/>
        <v>0.38338853503184711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327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6</v>
      </c>
      <c r="C13" s="32">
        <v>5.0955414012738863E-2</v>
      </c>
      <c r="D13" s="33">
        <f t="shared" si="0"/>
        <v>0.63898089171974526</v>
      </c>
      <c r="E13" s="34">
        <v>105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50</v>
      </c>
      <c r="C14" s="32">
        <v>1.019108280254777E-2</v>
      </c>
      <c r="D14" s="33">
        <f t="shared" si="0"/>
        <v>0.12779617834394902</v>
      </c>
      <c r="E14" s="34">
        <v>105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8</v>
      </c>
      <c r="C15" s="32">
        <v>1.019108280254777E-2</v>
      </c>
      <c r="D15" s="33">
        <f t="shared" si="0"/>
        <v>0.12779617834394902</v>
      </c>
      <c r="E15" s="34">
        <v>45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18</v>
      </c>
      <c r="C16" s="32">
        <v>2.038216560509554E-2</v>
      </c>
      <c r="D16" s="33">
        <f t="shared" si="0"/>
        <v>0.25559235668789804</v>
      </c>
      <c r="E16" s="34">
        <v>51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164</v>
      </c>
      <c r="C17" s="32">
        <v>0.29554140127388534</v>
      </c>
      <c r="D17" s="33">
        <f t="shared" si="0"/>
        <v>3.7060891719745217</v>
      </c>
      <c r="E17" s="34">
        <v>60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39</v>
      </c>
      <c r="C18" s="32">
        <v>1.019108280254777E-2</v>
      </c>
      <c r="D18" s="33">
        <f t="shared" si="0"/>
        <v>0.12779617834394902</v>
      </c>
      <c r="E18" s="34">
        <v>90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0.99955505439917114</v>
      </c>
      <c r="D19" s="38">
        <f>SUM(D9:D18)</f>
        <v>12.534420382165607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36</v>
      </c>
      <c r="B36" s="60">
        <v>144</v>
      </c>
      <c r="C36" s="60">
        <v>1</v>
      </c>
      <c r="D36" s="60">
        <v>34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44</v>
      </c>
      <c r="B37" s="60">
        <v>188</v>
      </c>
      <c r="C37" s="60">
        <v>2</v>
      </c>
      <c r="D37" s="60">
        <v>47</v>
      </c>
      <c r="E37" s="51">
        <v>0.3</v>
      </c>
      <c r="F37" s="51">
        <v>0</v>
      </c>
      <c r="G37" s="51">
        <v>0</v>
      </c>
      <c r="H37" s="51">
        <v>0.7</v>
      </c>
      <c r="I37" s="53">
        <f t="shared" ref="I37:I55" si="1">IF(A37&lt;&gt;0,(B37-(B36-D36))/(A37-A36),"")</f>
        <v>9.75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52</v>
      </c>
      <c r="B38" s="60">
        <v>232</v>
      </c>
      <c r="C38" s="60">
        <v>3</v>
      </c>
      <c r="D38" s="60">
        <v>63</v>
      </c>
      <c r="E38" s="51">
        <v>0.3</v>
      </c>
      <c r="F38" s="51">
        <v>0</v>
      </c>
      <c r="G38" s="51">
        <v>0</v>
      </c>
      <c r="H38" s="51">
        <v>0.7</v>
      </c>
      <c r="I38" s="53">
        <f t="shared" si="1"/>
        <v>11.375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60</v>
      </c>
      <c r="B39" s="60">
        <v>250</v>
      </c>
      <c r="C39" s="60">
        <v>4</v>
      </c>
      <c r="D39" s="60">
        <v>54</v>
      </c>
      <c r="E39" s="51">
        <v>0.6</v>
      </c>
      <c r="F39" s="51">
        <v>0</v>
      </c>
      <c r="G39" s="51">
        <v>0</v>
      </c>
      <c r="H39" s="51">
        <v>0.4</v>
      </c>
      <c r="I39" s="49">
        <f t="shared" si="1"/>
        <v>10.125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69</v>
      </c>
      <c r="B40" s="60">
        <v>274</v>
      </c>
      <c r="C40" s="60">
        <v>5</v>
      </c>
      <c r="D40" s="60">
        <v>51</v>
      </c>
      <c r="E40" s="51">
        <v>0.6</v>
      </c>
      <c r="F40" s="51">
        <v>0</v>
      </c>
      <c r="G40" s="51">
        <v>0</v>
      </c>
      <c r="H40" s="51">
        <v>0.4</v>
      </c>
      <c r="I40" s="49">
        <f t="shared" si="1"/>
        <v>8.6666666666666661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78</v>
      </c>
      <c r="B41" s="60">
        <v>296</v>
      </c>
      <c r="C41" s="60">
        <v>6</v>
      </c>
      <c r="D41" s="60">
        <v>49</v>
      </c>
      <c r="E41" s="51">
        <v>0.6</v>
      </c>
      <c r="F41" s="51">
        <v>0</v>
      </c>
      <c r="G41" s="51">
        <v>0</v>
      </c>
      <c r="H41" s="51">
        <v>0.4</v>
      </c>
      <c r="I41" s="53">
        <f t="shared" si="1"/>
        <v>8.1111111111111107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87</v>
      </c>
      <c r="B42" s="60">
        <v>317</v>
      </c>
      <c r="C42" s="60">
        <v>7</v>
      </c>
      <c r="D42" s="60">
        <v>46</v>
      </c>
      <c r="E42" s="51">
        <v>0.6</v>
      </c>
      <c r="F42" s="51">
        <v>0</v>
      </c>
      <c r="G42" s="51">
        <v>0</v>
      </c>
      <c r="H42" s="51">
        <v>0.4</v>
      </c>
      <c r="I42" s="53">
        <f t="shared" si="1"/>
        <v>7.7777777777777777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96</v>
      </c>
      <c r="B43" s="60">
        <v>338</v>
      </c>
      <c r="C43" s="60">
        <v>8</v>
      </c>
      <c r="D43" s="60">
        <v>44</v>
      </c>
      <c r="E43" s="51">
        <v>0.6</v>
      </c>
      <c r="F43" s="51">
        <v>0</v>
      </c>
      <c r="G43" s="51">
        <v>0</v>
      </c>
      <c r="H43" s="51">
        <v>0.4</v>
      </c>
      <c r="I43" s="49">
        <f t="shared" si="1"/>
        <v>7.4444444444444446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105</v>
      </c>
      <c r="B44" s="60">
        <v>358</v>
      </c>
      <c r="C44" s="60">
        <v>9</v>
      </c>
      <c r="D44" s="60">
        <v>43</v>
      </c>
      <c r="E44" s="51">
        <v>0.6</v>
      </c>
      <c r="F44" s="51">
        <v>0</v>
      </c>
      <c r="G44" s="51">
        <v>0</v>
      </c>
      <c r="H44" s="51">
        <v>0.39999999999999997</v>
      </c>
      <c r="I44" s="49">
        <f t="shared" si="1"/>
        <v>7.1111111111111107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114</v>
      </c>
      <c r="B45" s="60">
        <v>378</v>
      </c>
      <c r="C45" s="60">
        <v>10</v>
      </c>
      <c r="D45" s="60">
        <v>43</v>
      </c>
      <c r="E45" s="51">
        <v>0.6</v>
      </c>
      <c r="F45" s="51">
        <v>0</v>
      </c>
      <c r="G45" s="51">
        <v>0</v>
      </c>
      <c r="H45" s="51">
        <v>0.39999999999999997</v>
      </c>
      <c r="I45" s="49">
        <f t="shared" si="1"/>
        <v>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123</v>
      </c>
      <c r="B46" s="60">
        <v>397</v>
      </c>
      <c r="C46" s="60">
        <v>11</v>
      </c>
      <c r="D46" s="60">
        <v>40</v>
      </c>
      <c r="E46" s="51">
        <v>0.6</v>
      </c>
      <c r="F46" s="51">
        <v>0</v>
      </c>
      <c r="G46" s="51">
        <v>0</v>
      </c>
      <c r="H46" s="51">
        <v>0.4</v>
      </c>
      <c r="I46" s="49">
        <f t="shared" si="1"/>
        <v>6.8888888888888893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132</v>
      </c>
      <c r="B47" s="60">
        <v>419</v>
      </c>
      <c r="C47" s="60">
        <v>12</v>
      </c>
      <c r="D47" s="60">
        <v>41</v>
      </c>
      <c r="E47" s="51">
        <v>0.6</v>
      </c>
      <c r="F47" s="51">
        <v>0</v>
      </c>
      <c r="G47" s="51">
        <v>0</v>
      </c>
      <c r="H47" s="51">
        <v>0.40000000000000008</v>
      </c>
      <c r="I47" s="49">
        <f t="shared" si="1"/>
        <v>6.8888888888888893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141</v>
      </c>
      <c r="B48" s="60">
        <v>441</v>
      </c>
      <c r="C48" s="60">
        <v>13</v>
      </c>
      <c r="D48" s="60">
        <v>45</v>
      </c>
      <c r="E48" s="51">
        <v>0.6</v>
      </c>
      <c r="F48" s="51">
        <v>0</v>
      </c>
      <c r="G48" s="51">
        <v>0</v>
      </c>
      <c r="H48" s="51">
        <v>0.4</v>
      </c>
      <c r="I48" s="49">
        <f t="shared" si="1"/>
        <v>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153</v>
      </c>
      <c r="B49" s="60">
        <v>481</v>
      </c>
      <c r="C49" s="60">
        <v>14</v>
      </c>
      <c r="D49" s="60">
        <v>481</v>
      </c>
      <c r="E49" s="51">
        <v>0.6</v>
      </c>
      <c r="F49" s="51">
        <v>0</v>
      </c>
      <c r="G49" s="51">
        <v>0</v>
      </c>
      <c r="H49" s="51">
        <v>0.4</v>
      </c>
      <c r="I49" s="49">
        <f t="shared" si="1"/>
        <v>7.083333333333333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Robinier faux-acacia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5</v>
      </c>
      <c r="B62" s="60">
        <v>41</v>
      </c>
      <c r="C62" s="60">
        <v>1</v>
      </c>
      <c r="D62" s="60">
        <v>8</v>
      </c>
      <c r="E62" s="51">
        <v>0</v>
      </c>
      <c r="F62" s="51">
        <v>0.5</v>
      </c>
      <c r="G62" s="51">
        <v>0</v>
      </c>
      <c r="H62" s="51">
        <v>0.5</v>
      </c>
      <c r="I62" s="53">
        <f>IFERROR(B62/A62,"")</f>
        <v>8.1999999999999993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10</v>
      </c>
      <c r="B63" s="60">
        <v>121</v>
      </c>
      <c r="C63" s="60">
        <v>2</v>
      </c>
      <c r="D63" s="60">
        <v>37</v>
      </c>
      <c r="E63" s="51">
        <v>0</v>
      </c>
      <c r="F63" s="51">
        <v>0.5</v>
      </c>
      <c r="G63" s="51">
        <v>0</v>
      </c>
      <c r="H63" s="51">
        <v>0.5</v>
      </c>
      <c r="I63" s="49">
        <f>IF(A63&lt;&gt;0,(B63-(B62-D62))/(A63-A62),"")</f>
        <v>17.600000000000001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15</v>
      </c>
      <c r="B64" s="60">
        <v>169</v>
      </c>
      <c r="C64" s="60">
        <v>3</v>
      </c>
      <c r="D64" s="60">
        <v>29</v>
      </c>
      <c r="E64" s="51">
        <v>0</v>
      </c>
      <c r="F64" s="51">
        <v>0.5</v>
      </c>
      <c r="G64" s="51">
        <v>0</v>
      </c>
      <c r="H64" s="51">
        <v>0.5</v>
      </c>
      <c r="I64" s="49">
        <f>IF(A64&lt;&gt;0,(B64-(B63-D63))/(A64-A63),"")</f>
        <v>17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20</v>
      </c>
      <c r="B65" s="60">
        <v>217</v>
      </c>
      <c r="C65" s="60">
        <v>4</v>
      </c>
      <c r="D65" s="60">
        <v>23</v>
      </c>
      <c r="E65" s="51">
        <v>0</v>
      </c>
      <c r="F65" s="51">
        <v>0.5</v>
      </c>
      <c r="G65" s="51">
        <v>0</v>
      </c>
      <c r="H65" s="51">
        <v>0.5</v>
      </c>
      <c r="I65" s="49">
        <f>IF(A65&lt;&gt;0,(B65-(B64-D64))/(A65-A64),"")</f>
        <v>15.4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25</v>
      </c>
      <c r="B66" s="60">
        <v>259</v>
      </c>
      <c r="C66" s="60">
        <v>5</v>
      </c>
      <c r="D66" s="60">
        <v>18</v>
      </c>
      <c r="E66" s="51">
        <v>0</v>
      </c>
      <c r="F66" s="51">
        <v>0.5</v>
      </c>
      <c r="G66" s="51">
        <v>0</v>
      </c>
      <c r="H66" s="51">
        <v>0.5</v>
      </c>
      <c r="I66" s="49">
        <f t="shared" ref="I66:I81" si="2">IF(A66&lt;&gt;0,(B66-(B65-D65))/(A66-A65),"")</f>
        <v>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30</v>
      </c>
      <c r="B67" s="60">
        <v>294</v>
      </c>
      <c r="C67" s="60">
        <v>6</v>
      </c>
      <c r="D67" s="60">
        <v>14</v>
      </c>
      <c r="E67" s="51">
        <v>0.6</v>
      </c>
      <c r="F67" s="51">
        <v>0.2</v>
      </c>
      <c r="G67" s="51">
        <v>0</v>
      </c>
      <c r="H67" s="51">
        <v>0.2</v>
      </c>
      <c r="I67" s="49">
        <f t="shared" si="2"/>
        <v>10.6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35</v>
      </c>
      <c r="B68" s="60">
        <v>323</v>
      </c>
      <c r="C68" s="60">
        <v>7</v>
      </c>
      <c r="D68" s="60">
        <v>11</v>
      </c>
      <c r="E68" s="51">
        <v>0.6</v>
      </c>
      <c r="F68" s="51">
        <v>0.2</v>
      </c>
      <c r="G68" s="51">
        <v>0</v>
      </c>
      <c r="H68" s="51">
        <v>0.2</v>
      </c>
      <c r="I68" s="49">
        <f t="shared" si="2"/>
        <v>8.6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40</v>
      </c>
      <c r="B69" s="50">
        <v>350</v>
      </c>
      <c r="C69" s="50">
        <v>8</v>
      </c>
      <c r="D69" s="50">
        <v>9</v>
      </c>
      <c r="E69" s="51">
        <v>0.6</v>
      </c>
      <c r="F69" s="51">
        <v>0.3</v>
      </c>
      <c r="G69" s="51">
        <v>0</v>
      </c>
      <c r="H69" s="51">
        <v>0.1</v>
      </c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45</v>
      </c>
      <c r="B70" s="50">
        <v>378</v>
      </c>
      <c r="C70" s="50">
        <v>9</v>
      </c>
      <c r="D70" s="50">
        <v>378</v>
      </c>
      <c r="E70" s="51">
        <v>0.6</v>
      </c>
      <c r="F70" s="51">
        <v>0.3</v>
      </c>
      <c r="G70" s="51">
        <v>0</v>
      </c>
      <c r="H70" s="51">
        <v>0.1</v>
      </c>
      <c r="I70" s="49">
        <f t="shared" si="2"/>
        <v>7.4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Merisier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v>40</v>
      </c>
      <c r="C88" s="60">
        <v>1</v>
      </c>
      <c r="D88" s="60">
        <v>3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2.6666666666666665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85</v>
      </c>
      <c r="C89" s="60">
        <v>2</v>
      </c>
      <c r="D89" s="60">
        <v>25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9.6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113</v>
      </c>
      <c r="C90" s="60">
        <v>3</v>
      </c>
      <c r="D90" s="60">
        <v>27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10.6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31</v>
      </c>
      <c r="B91" s="60">
        <v>155</v>
      </c>
      <c r="C91" s="60">
        <v>4</v>
      </c>
      <c r="D91" s="60">
        <v>36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37</v>
      </c>
      <c r="B92" s="60">
        <v>188</v>
      </c>
      <c r="C92" s="60">
        <v>5</v>
      </c>
      <c r="D92" s="60">
        <v>36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44</v>
      </c>
      <c r="B93" s="60">
        <v>230</v>
      </c>
      <c r="C93" s="60">
        <v>6</v>
      </c>
      <c r="D93" s="60">
        <v>43</v>
      </c>
      <c r="E93" s="87">
        <v>0.3</v>
      </c>
      <c r="F93" s="87">
        <v>0</v>
      </c>
      <c r="G93" s="87">
        <v>0</v>
      </c>
      <c r="H93" s="87">
        <v>0.7</v>
      </c>
      <c r="I93" s="53">
        <f t="shared" si="3"/>
        <v>11.142857142857142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52</v>
      </c>
      <c r="B94" s="60">
        <v>270</v>
      </c>
      <c r="C94" s="60">
        <v>7</v>
      </c>
      <c r="D94" s="60">
        <v>48</v>
      </c>
      <c r="E94" s="87">
        <v>0.3</v>
      </c>
      <c r="F94" s="87">
        <v>0</v>
      </c>
      <c r="G94" s="87">
        <v>0</v>
      </c>
      <c r="H94" s="87">
        <v>0.69999999999999984</v>
      </c>
      <c r="I94" s="53">
        <f t="shared" si="3"/>
        <v>10.375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60</v>
      </c>
      <c r="B95" s="60">
        <v>297</v>
      </c>
      <c r="C95" s="60">
        <v>8</v>
      </c>
      <c r="D95" s="60">
        <v>47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9.375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69</v>
      </c>
      <c r="B96" s="60">
        <v>328</v>
      </c>
      <c r="C96" s="60">
        <v>9</v>
      </c>
      <c r="D96" s="60">
        <v>328</v>
      </c>
      <c r="E96" s="87">
        <v>0.6</v>
      </c>
      <c r="F96" s="87">
        <v>0</v>
      </c>
      <c r="G96" s="87">
        <v>0</v>
      </c>
      <c r="H96" s="87">
        <v>0.40000000000000008</v>
      </c>
      <c r="I96" s="53">
        <f t="shared" si="3"/>
        <v>8.6666666666666661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Frêne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25</v>
      </c>
      <c r="B114" s="60">
        <v>18.3855</v>
      </c>
      <c r="C114" s="50">
        <v>1</v>
      </c>
      <c r="D114" s="60">
        <v>5.0469999999999997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0.73541999999999996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27.037499999999994</v>
      </c>
      <c r="C115" s="50">
        <v>2</v>
      </c>
      <c r="D115" s="60">
        <v>5.0469999999999997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2.7397999999999989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35</v>
      </c>
      <c r="B116" s="60">
        <v>34.247500000000002</v>
      </c>
      <c r="C116" s="50">
        <v>3</v>
      </c>
      <c r="D116" s="60">
        <v>5.0469999999999997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2.4514000000000018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40</v>
      </c>
      <c r="B117" s="60">
        <v>40.015499999999996</v>
      </c>
      <c r="C117" s="50">
        <v>4</v>
      </c>
      <c r="D117" s="60">
        <v>5.0469999999999997</v>
      </c>
      <c r="E117" s="51">
        <v>0.3</v>
      </c>
      <c r="F117" s="51">
        <v>0</v>
      </c>
      <c r="G117" s="51">
        <v>0</v>
      </c>
      <c r="H117" s="51">
        <v>0.7</v>
      </c>
      <c r="I117" s="53">
        <f t="shared" si="4"/>
        <v>2.1629999999999989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45</v>
      </c>
      <c r="B118" s="60">
        <v>44.341499999999996</v>
      </c>
      <c r="C118" s="50">
        <v>5</v>
      </c>
      <c r="D118" s="60">
        <v>5.0469999999999997</v>
      </c>
      <c r="E118" s="51">
        <v>0.3</v>
      </c>
      <c r="F118" s="51">
        <v>0</v>
      </c>
      <c r="G118" s="51">
        <v>0</v>
      </c>
      <c r="H118" s="51">
        <v>0.7</v>
      </c>
      <c r="I118" s="53">
        <f t="shared" si="4"/>
        <v>1.8745999999999996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50</v>
      </c>
      <c r="B119" s="60">
        <v>47.225499999999997</v>
      </c>
      <c r="C119" s="50">
        <v>6</v>
      </c>
      <c r="D119" s="60">
        <v>4.3259999999999996</v>
      </c>
      <c r="E119" s="51">
        <v>0.3</v>
      </c>
      <c r="F119" s="51">
        <v>0</v>
      </c>
      <c r="G119" s="51">
        <v>0</v>
      </c>
      <c r="H119" s="51">
        <v>0.7</v>
      </c>
      <c r="I119" s="53">
        <f t="shared" si="4"/>
        <v>1.5861999999999994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55</v>
      </c>
      <c r="B120" s="60">
        <v>49.568750000000001</v>
      </c>
      <c r="C120" s="60">
        <v>7</v>
      </c>
      <c r="D120" s="60">
        <v>3.2444999999999999</v>
      </c>
      <c r="E120" s="87">
        <v>0.3</v>
      </c>
      <c r="F120" s="87">
        <v>0</v>
      </c>
      <c r="G120" s="87">
        <v>0</v>
      </c>
      <c r="H120" s="87">
        <v>0.70000000000000007</v>
      </c>
      <c r="I120" s="53">
        <f t="shared" si="4"/>
        <v>1.3338500000000011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60</v>
      </c>
      <c r="B121" s="60">
        <v>51.911999999999999</v>
      </c>
      <c r="C121" s="60">
        <v>8</v>
      </c>
      <c r="D121" s="60">
        <v>2.5234999999999999</v>
      </c>
      <c r="E121" s="87">
        <v>0.6</v>
      </c>
      <c r="F121" s="87">
        <v>0</v>
      </c>
      <c r="G121" s="87">
        <v>0</v>
      </c>
      <c r="H121" s="87">
        <v>0.40000000000000008</v>
      </c>
      <c r="I121" s="53">
        <f t="shared" si="4"/>
        <v>1.11755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65</v>
      </c>
      <c r="B122" s="60">
        <v>54.074999999999996</v>
      </c>
      <c r="C122" s="60">
        <v>9</v>
      </c>
      <c r="D122" s="60">
        <v>2.1629999999999998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0.93729999999999902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70</v>
      </c>
      <c r="B123" s="60">
        <v>55.877499999999998</v>
      </c>
      <c r="C123" s="60">
        <v>10</v>
      </c>
      <c r="D123" s="60">
        <v>1.8025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0.79309999999999969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75</v>
      </c>
      <c r="B124" s="60">
        <v>57.499749999999999</v>
      </c>
      <c r="C124" s="60">
        <v>11</v>
      </c>
      <c r="D124" s="60">
        <v>1.4419999999999999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0.68495000000000061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80</v>
      </c>
      <c r="B125" s="60">
        <v>59.122</v>
      </c>
      <c r="C125" s="60">
        <v>12</v>
      </c>
      <c r="D125" s="60">
        <v>59.122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0.61285000000000023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Charme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58</v>
      </c>
      <c r="C140" s="50">
        <v>1</v>
      </c>
      <c r="D140" s="60">
        <v>8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5.8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104</v>
      </c>
      <c r="C141" s="50">
        <v>2</v>
      </c>
      <c r="D141" s="60">
        <v>15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10.8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147</v>
      </c>
      <c r="C142" s="50">
        <v>3</v>
      </c>
      <c r="D142" s="60">
        <v>20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11.6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239</v>
      </c>
      <c r="C143" s="50">
        <v>4</v>
      </c>
      <c r="D143" s="60">
        <v>31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22.4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328</v>
      </c>
      <c r="C144" s="50">
        <v>5</v>
      </c>
      <c r="D144" s="60">
        <v>43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24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387</v>
      </c>
      <c r="C145" s="50">
        <v>6</v>
      </c>
      <c r="D145" s="60">
        <v>49</v>
      </c>
      <c r="E145" s="51">
        <v>0</v>
      </c>
      <c r="F145" s="51">
        <v>0</v>
      </c>
      <c r="G145" s="51">
        <v>0</v>
      </c>
      <c r="H145" s="51">
        <v>1</v>
      </c>
      <c r="I145" s="57">
        <f t="shared" si="5"/>
        <v>20.399999999999999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429</v>
      </c>
      <c r="C146" s="50">
        <v>7</v>
      </c>
      <c r="D146" s="60">
        <v>54</v>
      </c>
      <c r="E146" s="51">
        <v>0.3</v>
      </c>
      <c r="F146" s="51">
        <v>0</v>
      </c>
      <c r="G146" s="51">
        <v>0</v>
      </c>
      <c r="H146" s="51">
        <v>0.7</v>
      </c>
      <c r="I146" s="57">
        <f t="shared" si="5"/>
        <v>18.2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461</v>
      </c>
      <c r="C147" s="50">
        <v>8</v>
      </c>
      <c r="D147" s="60">
        <v>56</v>
      </c>
      <c r="E147" s="51">
        <v>0.3</v>
      </c>
      <c r="F147" s="51">
        <v>0</v>
      </c>
      <c r="G147" s="51">
        <v>0</v>
      </c>
      <c r="H147" s="51">
        <v>0.7</v>
      </c>
      <c r="I147" s="57">
        <f>IF(A147&lt;&gt;0,(B147-(B146-D146))/(A147-A146),"")</f>
        <v>17.2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485</v>
      </c>
      <c r="C148" s="50">
        <v>9</v>
      </c>
      <c r="D148" s="60">
        <v>58</v>
      </c>
      <c r="E148" s="51">
        <v>0.3</v>
      </c>
      <c r="F148" s="51">
        <v>0</v>
      </c>
      <c r="G148" s="51">
        <v>0</v>
      </c>
      <c r="H148" s="51">
        <v>0.7</v>
      </c>
      <c r="I148" s="57">
        <f t="shared" si="5"/>
        <v>16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502</v>
      </c>
      <c r="C149" s="50">
        <v>10</v>
      </c>
      <c r="D149" s="60">
        <v>58</v>
      </c>
      <c r="E149" s="51">
        <v>0.3</v>
      </c>
      <c r="F149" s="51">
        <v>0</v>
      </c>
      <c r="G149" s="51">
        <v>0</v>
      </c>
      <c r="H149" s="51">
        <v>0.7</v>
      </c>
      <c r="I149" s="57">
        <f t="shared" si="5"/>
        <v>15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518</v>
      </c>
      <c r="C150" s="50">
        <v>11</v>
      </c>
      <c r="D150" s="60">
        <v>59</v>
      </c>
      <c r="E150" s="51">
        <v>0.6</v>
      </c>
      <c r="F150" s="51">
        <v>0</v>
      </c>
      <c r="G150" s="51">
        <v>0</v>
      </c>
      <c r="H150" s="51">
        <v>0.4</v>
      </c>
      <c r="I150" s="57">
        <f t="shared" si="5"/>
        <v>14.8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529</v>
      </c>
      <c r="C151" s="50">
        <v>12</v>
      </c>
      <c r="D151" s="60">
        <v>58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5"/>
        <v>14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539</v>
      </c>
      <c r="C152" s="50">
        <v>13</v>
      </c>
      <c r="D152" s="60">
        <v>58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5"/>
        <v>13.6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545</v>
      </c>
      <c r="C153" s="50">
        <v>14</v>
      </c>
      <c r="D153" s="60">
        <v>57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5"/>
        <v>12.8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553</v>
      </c>
      <c r="C154" s="50">
        <v>15</v>
      </c>
      <c r="D154" s="50">
        <v>56</v>
      </c>
      <c r="E154" s="54">
        <v>0.6</v>
      </c>
      <c r="F154" s="54">
        <v>0</v>
      </c>
      <c r="G154" s="54">
        <v>0</v>
      </c>
      <c r="H154" s="54">
        <v>0.4</v>
      </c>
      <c r="I154" s="57">
        <f t="shared" si="5"/>
        <v>13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85</v>
      </c>
      <c r="B155" s="56">
        <v>558</v>
      </c>
      <c r="C155" s="50">
        <v>16</v>
      </c>
      <c r="D155" s="50">
        <v>54</v>
      </c>
      <c r="E155" s="54">
        <v>0.6</v>
      </c>
      <c r="F155" s="54">
        <v>0</v>
      </c>
      <c r="G155" s="54">
        <v>0</v>
      </c>
      <c r="H155" s="54">
        <v>0.4</v>
      </c>
      <c r="I155" s="57">
        <f t="shared" si="5"/>
        <v>12.2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90</v>
      </c>
      <c r="B156" s="56">
        <v>561</v>
      </c>
      <c r="C156" s="50">
        <v>17</v>
      </c>
      <c r="D156" s="50">
        <v>53</v>
      </c>
      <c r="E156" s="54">
        <v>0.6</v>
      </c>
      <c r="F156" s="54">
        <v>0</v>
      </c>
      <c r="G156" s="54">
        <v>0</v>
      </c>
      <c r="H156" s="54">
        <v>0.40000000000000008</v>
      </c>
      <c r="I156" s="57">
        <f t="shared" si="5"/>
        <v>11.4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95</v>
      </c>
      <c r="B157" s="56">
        <v>565</v>
      </c>
      <c r="C157" s="50">
        <v>18</v>
      </c>
      <c r="D157" s="50">
        <v>51</v>
      </c>
      <c r="E157" s="54">
        <v>0.6</v>
      </c>
      <c r="F157" s="54">
        <v>0</v>
      </c>
      <c r="G157" s="54">
        <v>0</v>
      </c>
      <c r="H157" s="54">
        <v>0.4</v>
      </c>
      <c r="I157" s="57">
        <f t="shared" si="5"/>
        <v>11.4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100</v>
      </c>
      <c r="B158" s="56">
        <v>567</v>
      </c>
      <c r="C158" s="50">
        <v>19</v>
      </c>
      <c r="D158" s="50">
        <v>50</v>
      </c>
      <c r="E158" s="54">
        <v>0.6</v>
      </c>
      <c r="F158" s="54">
        <v>0</v>
      </c>
      <c r="G158" s="54">
        <v>0</v>
      </c>
      <c r="H158" s="54">
        <v>0.4</v>
      </c>
      <c r="I158" s="57">
        <f t="shared" si="5"/>
        <v>10.6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>
        <v>105</v>
      </c>
      <c r="B159" s="56">
        <v>569</v>
      </c>
      <c r="C159" s="50">
        <v>20</v>
      </c>
      <c r="D159" s="58">
        <v>569</v>
      </c>
      <c r="E159" s="54">
        <v>0.6</v>
      </c>
      <c r="F159" s="54">
        <v>0</v>
      </c>
      <c r="G159" s="54">
        <v>0</v>
      </c>
      <c r="H159" s="54">
        <v>0.40000000000000008</v>
      </c>
      <c r="I159" s="57">
        <f t="shared" si="5"/>
        <v>10.4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Tilleul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43</v>
      </c>
      <c r="C166" s="60">
        <v>1</v>
      </c>
      <c r="D166" s="60">
        <v>11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4.3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96</v>
      </c>
      <c r="C167" s="60">
        <v>2</v>
      </c>
      <c r="D167" s="60">
        <v>20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12.8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149</v>
      </c>
      <c r="C168" s="60">
        <v>3</v>
      </c>
      <c r="D168" s="60">
        <v>25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14.6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196</v>
      </c>
      <c r="C169" s="60">
        <v>4</v>
      </c>
      <c r="D169" s="60">
        <v>28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14.4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237</v>
      </c>
      <c r="C170" s="60">
        <v>5</v>
      </c>
      <c r="D170" s="60">
        <v>29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13.8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273</v>
      </c>
      <c r="C171" s="60">
        <v>6</v>
      </c>
      <c r="D171" s="60">
        <v>29</v>
      </c>
      <c r="E171" s="51">
        <v>0</v>
      </c>
      <c r="F171" s="51">
        <v>0</v>
      </c>
      <c r="G171" s="51">
        <v>0</v>
      </c>
      <c r="H171" s="51">
        <v>1</v>
      </c>
      <c r="I171" s="49">
        <f t="shared" si="6"/>
        <v>13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303</v>
      </c>
      <c r="C172" s="60">
        <v>7</v>
      </c>
      <c r="D172" s="60">
        <v>29</v>
      </c>
      <c r="E172" s="51">
        <v>0.3</v>
      </c>
      <c r="F172" s="51">
        <v>0</v>
      </c>
      <c r="G172" s="51">
        <v>0</v>
      </c>
      <c r="H172" s="51">
        <v>0.7</v>
      </c>
      <c r="I172" s="49">
        <f t="shared" si="6"/>
        <v>11.8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330</v>
      </c>
      <c r="C173" s="50">
        <v>8</v>
      </c>
      <c r="D173" s="50">
        <v>28</v>
      </c>
      <c r="E173" s="51">
        <v>0.3</v>
      </c>
      <c r="F173" s="51">
        <v>0</v>
      </c>
      <c r="G173" s="51">
        <v>0</v>
      </c>
      <c r="H173" s="51">
        <v>0.7</v>
      </c>
      <c r="I173" s="49">
        <f t="shared" si="6"/>
        <v>11.2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354</v>
      </c>
      <c r="C174" s="50">
        <v>9</v>
      </c>
      <c r="D174" s="50">
        <v>27</v>
      </c>
      <c r="E174" s="51">
        <v>0.3</v>
      </c>
      <c r="F174" s="51">
        <v>0</v>
      </c>
      <c r="G174" s="51">
        <v>0</v>
      </c>
      <c r="H174" s="51">
        <v>0.7</v>
      </c>
      <c r="I174" s="49">
        <f t="shared" si="6"/>
        <v>10.4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376</v>
      </c>
      <c r="C175" s="50">
        <v>10</v>
      </c>
      <c r="D175" s="50">
        <v>24</v>
      </c>
      <c r="E175" s="51">
        <v>0.3</v>
      </c>
      <c r="F175" s="51">
        <v>0</v>
      </c>
      <c r="G175" s="51">
        <v>0</v>
      </c>
      <c r="H175" s="51">
        <v>0.69999999999999984</v>
      </c>
      <c r="I175" s="49">
        <f t="shared" si="6"/>
        <v>9.8000000000000007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398</v>
      </c>
      <c r="C176" s="50">
        <v>11</v>
      </c>
      <c r="D176" s="50">
        <v>25</v>
      </c>
      <c r="E176" s="51">
        <v>0.6</v>
      </c>
      <c r="F176" s="51">
        <v>0</v>
      </c>
      <c r="G176" s="51">
        <v>0</v>
      </c>
      <c r="H176" s="51">
        <v>0.4</v>
      </c>
      <c r="I176" s="49">
        <f t="shared" si="6"/>
        <v>9.1999999999999993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415</v>
      </c>
      <c r="C177" s="50">
        <v>12</v>
      </c>
      <c r="D177" s="50">
        <v>24</v>
      </c>
      <c r="E177" s="51">
        <v>0.6</v>
      </c>
      <c r="F177" s="51">
        <v>0</v>
      </c>
      <c r="G177" s="51">
        <v>0</v>
      </c>
      <c r="H177" s="51">
        <v>0.40000000000000008</v>
      </c>
      <c r="I177" s="49">
        <f t="shared" si="6"/>
        <v>8.4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431</v>
      </c>
      <c r="C178" s="50">
        <v>13</v>
      </c>
      <c r="D178" s="50">
        <v>23</v>
      </c>
      <c r="E178" s="51">
        <v>0.6</v>
      </c>
      <c r="F178" s="51">
        <v>0</v>
      </c>
      <c r="G178" s="51">
        <v>0</v>
      </c>
      <c r="H178" s="51">
        <v>0.4</v>
      </c>
      <c r="I178" s="49">
        <f t="shared" si="6"/>
        <v>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446</v>
      </c>
      <c r="C179" s="50">
        <v>14</v>
      </c>
      <c r="D179" s="50">
        <v>22</v>
      </c>
      <c r="E179" s="51">
        <v>0.6</v>
      </c>
      <c r="F179" s="51">
        <v>0</v>
      </c>
      <c r="G179" s="51">
        <v>0</v>
      </c>
      <c r="H179" s="51">
        <v>0.4</v>
      </c>
      <c r="I179" s="49">
        <f t="shared" si="6"/>
        <v>7.6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459</v>
      </c>
      <c r="C180" s="50">
        <v>15</v>
      </c>
      <c r="D180" s="50">
        <v>22</v>
      </c>
      <c r="E180" s="51">
        <v>0.6</v>
      </c>
      <c r="F180" s="51">
        <v>0</v>
      </c>
      <c r="G180" s="51">
        <v>0</v>
      </c>
      <c r="H180" s="51">
        <v>0.4</v>
      </c>
      <c r="I180" s="49">
        <f t="shared" si="6"/>
        <v>7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85</v>
      </c>
      <c r="B181" s="50">
        <v>472</v>
      </c>
      <c r="C181" s="50">
        <v>16</v>
      </c>
      <c r="D181" s="50">
        <v>21</v>
      </c>
      <c r="E181" s="51">
        <v>0.6</v>
      </c>
      <c r="F181" s="51">
        <v>0</v>
      </c>
      <c r="G181" s="51">
        <v>0</v>
      </c>
      <c r="H181" s="51">
        <v>0.4</v>
      </c>
      <c r="I181" s="49">
        <f t="shared" si="6"/>
        <v>7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90</v>
      </c>
      <c r="B182" s="50">
        <v>483</v>
      </c>
      <c r="C182" s="50">
        <v>17</v>
      </c>
      <c r="D182" s="50">
        <v>20</v>
      </c>
      <c r="E182" s="51">
        <v>0.6</v>
      </c>
      <c r="F182" s="51">
        <v>0</v>
      </c>
      <c r="G182" s="51">
        <v>0</v>
      </c>
      <c r="H182" s="51">
        <v>0.4</v>
      </c>
      <c r="I182" s="49">
        <f t="shared" si="6"/>
        <v>6.4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95</v>
      </c>
      <c r="B183" s="50">
        <v>494</v>
      </c>
      <c r="C183" s="50">
        <v>18</v>
      </c>
      <c r="D183" s="50">
        <v>19</v>
      </c>
      <c r="E183" s="51">
        <v>0.6</v>
      </c>
      <c r="F183" s="51">
        <v>0</v>
      </c>
      <c r="G183" s="51">
        <v>0</v>
      </c>
      <c r="H183" s="51">
        <v>0.4</v>
      </c>
      <c r="I183" s="49">
        <f t="shared" si="6"/>
        <v>6.2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100</v>
      </c>
      <c r="B184" s="50">
        <v>504</v>
      </c>
      <c r="C184" s="50">
        <v>19</v>
      </c>
      <c r="D184" s="50">
        <v>18</v>
      </c>
      <c r="E184" s="51">
        <v>0.6</v>
      </c>
      <c r="F184" s="51">
        <v>0</v>
      </c>
      <c r="G184" s="51">
        <v>0</v>
      </c>
      <c r="H184" s="51">
        <v>0.4</v>
      </c>
      <c r="I184" s="49">
        <f t="shared" si="6"/>
        <v>5.8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>
        <v>105</v>
      </c>
      <c r="B185" s="50">
        <v>514</v>
      </c>
      <c r="C185" s="50">
        <v>20</v>
      </c>
      <c r="D185" s="50">
        <v>514</v>
      </c>
      <c r="E185" s="51">
        <v>0.6</v>
      </c>
      <c r="F185" s="51">
        <v>0</v>
      </c>
      <c r="G185" s="51">
        <v>0</v>
      </c>
      <c r="H185" s="51">
        <v>0.4</v>
      </c>
      <c r="I185" s="49">
        <f t="shared" si="6"/>
        <v>5.6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Châtaignier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115</v>
      </c>
      <c r="C192" s="60">
        <v>1</v>
      </c>
      <c r="D192" s="60">
        <v>71</v>
      </c>
      <c r="E192" s="51">
        <v>0</v>
      </c>
      <c r="F192" s="51">
        <v>0.5</v>
      </c>
      <c r="G192" s="51">
        <v>0</v>
      </c>
      <c r="H192" s="51">
        <v>0.5</v>
      </c>
      <c r="I192" s="49">
        <f>IFERROR(B192/A192,"")</f>
        <v>11.5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16</v>
      </c>
      <c r="B193" s="60">
        <v>92</v>
      </c>
      <c r="C193" s="60">
        <v>2</v>
      </c>
      <c r="D193" s="60">
        <v>33</v>
      </c>
      <c r="E193" s="51">
        <v>0</v>
      </c>
      <c r="F193" s="51">
        <v>0.5</v>
      </c>
      <c r="G193" s="51">
        <v>0</v>
      </c>
      <c r="H193" s="51">
        <v>0.5</v>
      </c>
      <c r="I193" s="49">
        <f t="shared" ref="I193:I211" si="7">IF(A193&lt;&gt;0,(B193-(B192-D192))/(A193-A192),"")</f>
        <v>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131</v>
      </c>
      <c r="C194" s="60">
        <v>3</v>
      </c>
      <c r="D194" s="60">
        <v>41</v>
      </c>
      <c r="E194" s="51">
        <v>0</v>
      </c>
      <c r="F194" s="51">
        <v>0.5</v>
      </c>
      <c r="G194" s="51">
        <v>0</v>
      </c>
      <c r="H194" s="51">
        <v>0.5</v>
      </c>
      <c r="I194" s="49">
        <f t="shared" si="7"/>
        <v>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45</v>
      </c>
      <c r="B195" s="60">
        <v>231</v>
      </c>
      <c r="C195" s="60">
        <v>4</v>
      </c>
      <c r="D195" s="60">
        <v>231</v>
      </c>
      <c r="E195" s="51">
        <v>0.6</v>
      </c>
      <c r="F195" s="51">
        <v>0.3</v>
      </c>
      <c r="G195" s="51">
        <v>0</v>
      </c>
      <c r="H195" s="51">
        <v>0.1</v>
      </c>
      <c r="I195" s="49">
        <f t="shared" si="7"/>
        <v>7.05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Douglas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21</v>
      </c>
      <c r="B218" s="60">
        <v>247</v>
      </c>
      <c r="C218" s="50">
        <v>1</v>
      </c>
      <c r="D218" s="60">
        <v>55</v>
      </c>
      <c r="E218" s="63">
        <v>0.1</v>
      </c>
      <c r="F218" s="63">
        <v>0.8</v>
      </c>
      <c r="G218" s="63">
        <v>0</v>
      </c>
      <c r="H218" s="63">
        <v>0.1</v>
      </c>
      <c r="I218" s="53">
        <f>IFERROR(B218/A218,"")</f>
        <v>11.761904761904763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27</v>
      </c>
      <c r="B219" s="60">
        <v>344</v>
      </c>
      <c r="C219" s="50">
        <v>2</v>
      </c>
      <c r="D219" s="60">
        <v>81</v>
      </c>
      <c r="E219" s="63">
        <v>9.9999999999999992E-2</v>
      </c>
      <c r="F219" s="63">
        <v>0.79999999999999993</v>
      </c>
      <c r="G219" s="63">
        <v>0</v>
      </c>
      <c r="H219" s="63">
        <v>9.9999999999999992E-2</v>
      </c>
      <c r="I219" s="53">
        <f t="shared" ref="I219:I237" si="8">IF(A219&lt;&gt;0,(B219-(B218-D218))/(A219-A218),"")</f>
        <v>25.333333333333332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33</v>
      </c>
      <c r="B220" s="60">
        <v>422</v>
      </c>
      <c r="C220" s="50">
        <v>3</v>
      </c>
      <c r="D220" s="60">
        <v>87</v>
      </c>
      <c r="E220" s="63">
        <v>0.3</v>
      </c>
      <c r="F220" s="63">
        <v>0.5</v>
      </c>
      <c r="G220" s="63">
        <v>0</v>
      </c>
      <c r="H220" s="63">
        <v>0.2</v>
      </c>
      <c r="I220" s="53">
        <f t="shared" si="8"/>
        <v>26.5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39</v>
      </c>
      <c r="B221" s="55">
        <v>494</v>
      </c>
      <c r="C221" s="55">
        <v>4</v>
      </c>
      <c r="D221" s="55">
        <v>90</v>
      </c>
      <c r="E221" s="63">
        <v>0.3</v>
      </c>
      <c r="F221" s="63">
        <v>0.5</v>
      </c>
      <c r="G221" s="63">
        <v>0</v>
      </c>
      <c r="H221" s="63">
        <v>0.2</v>
      </c>
      <c r="I221" s="53">
        <f t="shared" si="8"/>
        <v>26.5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45</v>
      </c>
      <c r="B222" s="55">
        <v>558</v>
      </c>
      <c r="C222" s="55">
        <v>5</v>
      </c>
      <c r="D222" s="55">
        <v>89</v>
      </c>
      <c r="E222" s="63">
        <v>0.3</v>
      </c>
      <c r="F222" s="63">
        <v>0.5</v>
      </c>
      <c r="G222" s="63">
        <v>0</v>
      </c>
      <c r="H222" s="63">
        <v>0.2</v>
      </c>
      <c r="I222" s="53">
        <f t="shared" si="8"/>
        <v>25.666666666666668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51</v>
      </c>
      <c r="B223" s="55">
        <v>615</v>
      </c>
      <c r="C223" s="55">
        <v>6</v>
      </c>
      <c r="D223" s="55">
        <v>615</v>
      </c>
      <c r="E223" s="63">
        <v>0.7</v>
      </c>
      <c r="F223" s="63">
        <v>0.3</v>
      </c>
      <c r="G223" s="63">
        <v>0</v>
      </c>
      <c r="H223" s="63">
        <v>0</v>
      </c>
      <c r="I223" s="53">
        <f t="shared" si="8"/>
        <v>24.333333333333332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Cèdre de l'Atlas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20</v>
      </c>
      <c r="B244" s="60">
        <v>158</v>
      </c>
      <c r="C244" s="60">
        <v>1</v>
      </c>
      <c r="D244" s="60">
        <v>55.3</v>
      </c>
      <c r="E244" s="51">
        <v>0</v>
      </c>
      <c r="F244" s="51">
        <v>1</v>
      </c>
      <c r="G244" s="51">
        <v>0</v>
      </c>
      <c r="H244" s="63">
        <v>0</v>
      </c>
      <c r="I244" s="53">
        <f>IFERROR(B244/A244,"")</f>
        <v>7.9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30</v>
      </c>
      <c r="B245" s="60">
        <v>194.7</v>
      </c>
      <c r="C245" s="60">
        <v>2</v>
      </c>
      <c r="D245" s="60">
        <v>48.674999999999997</v>
      </c>
      <c r="E245" s="63">
        <v>0</v>
      </c>
      <c r="F245" s="63">
        <v>1</v>
      </c>
      <c r="G245" s="63">
        <v>0</v>
      </c>
      <c r="H245" s="63">
        <v>0</v>
      </c>
      <c r="I245" s="53">
        <f>IF(A245&lt;&gt;0,(B245-(B244-D244))/(A245-A244),"")</f>
        <v>9.1999999999999993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40</v>
      </c>
      <c r="B246" s="60">
        <v>246.02499999999998</v>
      </c>
      <c r="C246" s="60">
        <v>3</v>
      </c>
      <c r="D246" s="60">
        <v>49.204999999999998</v>
      </c>
      <c r="E246" s="63">
        <v>0.5</v>
      </c>
      <c r="F246" s="63">
        <v>0.5</v>
      </c>
      <c r="G246" s="63">
        <v>0</v>
      </c>
      <c r="H246" s="63">
        <v>0</v>
      </c>
      <c r="I246" s="53">
        <f>IF(A246&lt;&gt;0,(B246-(B245-D245))/(A246-A245),"")</f>
        <v>10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50</v>
      </c>
      <c r="B247" s="60">
        <v>311.82</v>
      </c>
      <c r="C247" s="60">
        <v>4</v>
      </c>
      <c r="D247" s="60">
        <v>62.364000000000004</v>
      </c>
      <c r="E247" s="63">
        <v>0.7</v>
      </c>
      <c r="F247" s="63">
        <v>0.3</v>
      </c>
      <c r="G247" s="63">
        <v>0</v>
      </c>
      <c r="H247" s="63">
        <v>0</v>
      </c>
      <c r="I247" s="53">
        <f t="shared" ref="I247:I263" si="9">IF(A247&lt;&gt;0,(B247-(B246-D246))/(A247-A246),"")</f>
        <v>11.5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60</v>
      </c>
      <c r="B248" s="60">
        <v>384.45600000000002</v>
      </c>
      <c r="C248" s="60">
        <v>5</v>
      </c>
      <c r="D248" s="60">
        <v>384.45600000000002</v>
      </c>
      <c r="E248" s="63">
        <v>0.7</v>
      </c>
      <c r="F248" s="63">
        <v>0.3</v>
      </c>
      <c r="G248" s="63">
        <v>0</v>
      </c>
      <c r="H248" s="63">
        <v>0</v>
      </c>
      <c r="I248" s="53">
        <f t="shared" si="9"/>
        <v>13.500000000000004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Pin pignon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27</v>
      </c>
      <c r="B270" s="60">
        <v>118</v>
      </c>
      <c r="C270" s="50">
        <v>1</v>
      </c>
      <c r="D270" s="60">
        <v>15</v>
      </c>
      <c r="E270" s="51">
        <v>0</v>
      </c>
      <c r="F270" s="51">
        <v>1</v>
      </c>
      <c r="G270" s="51">
        <v>0</v>
      </c>
      <c r="H270" s="51">
        <v>0</v>
      </c>
      <c r="I270" s="53">
        <f>IFERROR(B270/A270,"")</f>
        <v>4.3703703703703702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30</v>
      </c>
      <c r="B271" s="60">
        <v>132</v>
      </c>
      <c r="C271" s="50">
        <v>2</v>
      </c>
      <c r="D271" s="60">
        <v>13</v>
      </c>
      <c r="E271" s="51">
        <v>0</v>
      </c>
      <c r="F271" s="51">
        <v>1</v>
      </c>
      <c r="G271" s="51">
        <v>0</v>
      </c>
      <c r="H271" s="51">
        <v>0</v>
      </c>
      <c r="I271" s="53">
        <f>IF(A271&lt;&gt;0,(B271-(B270-D270))/(A271-A270),"")</f>
        <v>9.6666666666666661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35</v>
      </c>
      <c r="B272" s="60">
        <v>169</v>
      </c>
      <c r="C272" s="50">
        <v>3</v>
      </c>
      <c r="D272" s="60">
        <v>23</v>
      </c>
      <c r="E272" s="51">
        <v>0</v>
      </c>
      <c r="F272" s="51">
        <v>1</v>
      </c>
      <c r="G272" s="51">
        <v>0</v>
      </c>
      <c r="H272" s="51">
        <v>0</v>
      </c>
      <c r="I272" s="53">
        <f t="shared" ref="I272:I289" si="10">IF(A272&lt;&gt;0,(B272-(B271-D271))/(A272-A271),"")</f>
        <v>10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40</v>
      </c>
      <c r="B273" s="60">
        <v>208</v>
      </c>
      <c r="C273" s="50">
        <v>4</v>
      </c>
      <c r="D273" s="60">
        <v>34</v>
      </c>
      <c r="E273" s="51">
        <v>0.5</v>
      </c>
      <c r="F273" s="51">
        <v>0.5</v>
      </c>
      <c r="G273" s="51">
        <v>0</v>
      </c>
      <c r="H273" s="51">
        <v>0</v>
      </c>
      <c r="I273" s="53">
        <f t="shared" si="10"/>
        <v>12.4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50</v>
      </c>
      <c r="B274" s="60">
        <v>315</v>
      </c>
      <c r="C274" s="50">
        <v>5</v>
      </c>
      <c r="D274" s="60">
        <v>79</v>
      </c>
      <c r="E274" s="51">
        <v>0.7</v>
      </c>
      <c r="F274" s="51">
        <v>0.3</v>
      </c>
      <c r="G274" s="51">
        <v>0</v>
      </c>
      <c r="H274" s="51">
        <v>0</v>
      </c>
      <c r="I274" s="53">
        <f t="shared" si="10"/>
        <v>14.1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60</v>
      </c>
      <c r="B275" s="60">
        <v>393</v>
      </c>
      <c r="C275" s="50">
        <v>6</v>
      </c>
      <c r="D275" s="60">
        <v>88</v>
      </c>
      <c r="E275" s="63">
        <v>0.7</v>
      </c>
      <c r="F275" s="63">
        <v>0.3</v>
      </c>
      <c r="G275" s="63">
        <v>0</v>
      </c>
      <c r="H275" s="63">
        <v>0</v>
      </c>
      <c r="I275" s="53">
        <f t="shared" si="10"/>
        <v>15.7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70</v>
      </c>
      <c r="B276" s="60">
        <v>448</v>
      </c>
      <c r="C276" s="50">
        <v>7</v>
      </c>
      <c r="D276" s="60">
        <v>78</v>
      </c>
      <c r="E276" s="63">
        <v>0.7</v>
      </c>
      <c r="F276" s="63">
        <v>0.3</v>
      </c>
      <c r="G276" s="63">
        <v>0</v>
      </c>
      <c r="H276" s="63">
        <v>0</v>
      </c>
      <c r="I276" s="53">
        <f t="shared" si="10"/>
        <v>14.3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80</v>
      </c>
      <c r="B277" s="55">
        <v>460</v>
      </c>
      <c r="C277" s="55">
        <v>8</v>
      </c>
      <c r="D277" s="55">
        <v>45</v>
      </c>
      <c r="E277" s="63">
        <v>0.7</v>
      </c>
      <c r="F277" s="63">
        <v>0.3</v>
      </c>
      <c r="G277" s="63">
        <v>0</v>
      </c>
      <c r="H277" s="63">
        <v>0</v>
      </c>
      <c r="I277" s="53">
        <f t="shared" si="10"/>
        <v>9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>
        <v>90</v>
      </c>
      <c r="B278" s="55">
        <v>497</v>
      </c>
      <c r="C278" s="55">
        <v>9</v>
      </c>
      <c r="D278" s="55">
        <v>497</v>
      </c>
      <c r="E278" s="63">
        <v>0.7</v>
      </c>
      <c r="F278" s="63">
        <v>0.3</v>
      </c>
      <c r="G278" s="63">
        <v>0</v>
      </c>
      <c r="H278" s="63">
        <v>0</v>
      </c>
      <c r="I278" s="53">
        <f t="shared" si="10"/>
        <v>8.1999999999999993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/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Robinier faux-acacia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Merisier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Frêne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Charme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Tilleul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Châtaignier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Douglas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Cèdre de l'Atlas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Pin pignon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528.20489749461376</v>
      </c>
      <c r="T3" s="59">
        <f>IF('Données projet'!E9&gt;30,$R$33-$H$33,LOOKUP('Données projet'!$E$9,$A$3:$A$203,R3:R203)-LOOKUP('Données projet'!$E$9,$A$3:$A$203,$H$3:$H$203))</f>
        <v>276.26988364830532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436.23918637269577</v>
      </c>
      <c r="AO3" s="59">
        <f>IF('Données projet'!E10&gt;30,$AM$33-$H$33,LOOKUP('Données projet'!$E$10,$A$3:$A$203,AM3:AM203)-LOOKUP('Données projet'!$E$10,$A$3:$A$203,$H$3:$H$203))</f>
        <v>611.43967996341894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288.82868507674738</v>
      </c>
      <c r="BJ3" s="59">
        <f>IF('Données projet'!E11&gt;30,$BH$33-$H$33,LOOKUP('Données projet'!$E$11,$A$3:$A$203,BH3:BH203)-LOOKUP('Données projet'!$E$11,$A$3:$A$203,$H$3:$H$203))</f>
        <v>283.48738729114024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93.329407403816901</v>
      </c>
      <c r="CE3" s="59">
        <f>IF('Données projet'!E12&gt;30,$CC$33-$H$33,LOOKUP('Données projet'!$E$12,$A$3:$A$203,CC3:CC203)-LOOKUP('Données projet'!$E$12,$A$3:$A$203,$H$3:$H$203))</f>
        <v>90.925148357295313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805.04572055352492</v>
      </c>
      <c r="CZ3" s="59">
        <f>IF('Données projet'!E13&gt;30,$CX$33-$H$33,LOOKUP('Données projet'!$E$13,$A$3:$A$203,CX3:CX203)-LOOKUP('Données projet'!$E$13,$A$3:$A$203,$H$3:$H$203))</f>
        <v>708.66645042414962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482.69499576870095</v>
      </c>
      <c r="DU3" s="59">
        <f>IF('Données projet'!E14&gt;30,$DS$33-$H$33,LOOKUP('Données projet'!$E$14,$A$3:$A$203,DS3:DS203)-LOOKUP('Données projet'!$E$14,$A$3:$A$203,$H$3:$H$203))</f>
        <v>384.28918352579575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197.34725966440715</v>
      </c>
      <c r="EP3" s="59">
        <f>IF('Données projet'!E15&gt;30,$EN$33-$H$33,LOOKUP('Données projet'!$E$15,$A$3:$A$203,EN3:EN203)-LOOKUP('Données projet'!$E$15,$A$3:$A$203,$H$3:$H$203))</f>
        <v>240.16326570529532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346.42094266871379</v>
      </c>
      <c r="FK3" s="59">
        <f>IF('Données projet'!E16&gt;30,$FI$33-$H$33,LOOKUP('Données projet'!$E$16,$A$3:$A$203,FI3:FI203)-LOOKUP('Données projet'!$E$16,$A$3:$A$203,$H$3:$H$203))</f>
        <v>453.48153556975973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198.26255998041</v>
      </c>
      <c r="GF3" s="59">
        <f>IF('Données projet'!E17&gt;30,$GD$33-$H$33,LOOKUP('Données projet'!$E$17,$A$3:$A$203,GD3:GD203)-LOOKUP('Données projet'!$E$17,$A$3:$A$203,$H$3:$H$203))</f>
        <v>238.62101708181166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604.0566904089452</v>
      </c>
      <c r="HA3" s="59">
        <f>IF('Données projet'!E18&gt;30,$GY$33-$H$33,LOOKUP('Données projet'!$E$18,$A$3:$A$203,GY3:GY203)-LOOKUP('Données projet'!$E$18,$A$3:$A$203,$H$3:$H$203))</f>
        <v>369.5187835902687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</v>
      </c>
      <c r="N4" s="13">
        <f>IF('Données projet'!$A$36&gt;35,N3+M4-V3,IF(A4&lt;'Données projet'!$A$36,$K$205^A4,IF(A4='Données projet'!$A$36,'Données projet'!$B$36,N3+M4-V3)))</f>
        <v>4</v>
      </c>
      <c r="O4" s="13">
        <f>N4*VLOOKUP('Données projet'!$B$9,Paramètres!$A$1:$I$89,3,0)*VLOOKUP('Données projet'!$B$9,Paramètres!$A$1:$I$89,5,0)</f>
        <v>3.6191999999999998</v>
      </c>
      <c r="P4" s="13">
        <f>EXP(-1.0587+0.8836*LN(O4)+0.284)</f>
        <v>1.4359593421107981</v>
      </c>
      <c r="Q4" s="20">
        <f t="shared" ref="Q4:Q34" si="2">(O4+P4)*0.475*44/12</f>
        <v>8.8044025208429719</v>
      </c>
      <c r="R4" s="59">
        <f t="shared" si="0"/>
        <v>266.69329140973184</v>
      </c>
      <c r="S4" s="59">
        <f ca="1">AVERAGE(OFFSET($R$3,0,0,'Données projet'!$E$9+1,1))-AVERAGE(OFFSET($H$3,0,0,'Données projet'!$E$9+1,1))</f>
        <v>528.20489749461376</v>
      </c>
      <c r="T4" s="59">
        <f>$T$3</f>
        <v>276.26988364830532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8.1999999999999993</v>
      </c>
      <c r="AI4" s="13">
        <f>IF('Données projet'!$A$62&gt;35,AI3+AH4-AQ3,IF(A4&lt;'Données projet'!$A$62,$AF$205^A4,IF(A4='Données projet'!$A$62,'Données projet'!$B$62,AI3+AH4-AQ3)))</f>
        <v>2.1016324782757847</v>
      </c>
      <c r="AJ4" s="13">
        <f>AI4*VLOOKUP('Données projet'!$B$10,Paramètres!$A$1:$I$89,3,0)*VLOOKUP('Données projet'!$B$10,Paramètres!$A$1:$I$89,5,0)</f>
        <v>1.9015570663439298</v>
      </c>
      <c r="AK4" s="13">
        <f>EXP(-1.0587+0.8836*LN(AJ4)+0.284)</f>
        <v>0.81315455339418119</v>
      </c>
      <c r="AL4" s="20">
        <f t="shared" ref="AL4:AL67" si="4">(AJ4+AK4)*0.475*44/12</f>
        <v>4.7281227377105433</v>
      </c>
      <c r="AM4" s="59">
        <f t="shared" ref="AM4:AM67" si="5">AL4+(AD4+AE4)*44/12</f>
        <v>262.61701162659938</v>
      </c>
      <c r="AN4" s="59">
        <f ca="1">AVERAGE(OFFSET($AM$3,0,0,'Données projet'!$E$10+1,1))-AVERAGE(OFFSET($H$3,0,0,'Données projet'!$E$10+1,1))</f>
        <v>436.23918637269577</v>
      </c>
      <c r="AO4" s="59">
        <f>$AO$3</f>
        <v>611.43967996341894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2.6666666666666665</v>
      </c>
      <c r="BD4" s="12">
        <f>IF('Données projet'!$A$88&gt;35,BD3+BC4-BL3,IF(A4&lt;'Données projet'!$A$88,$BA$205^A4,IF(A4='Données projet'!$A$88,'Données projet'!$B$88,BD3+BC4-BL3)))</f>
        <v>1.2788040393997409</v>
      </c>
      <c r="BE4" s="13">
        <f>BD4*VLOOKUP('Données projet'!$B$11,Paramètres!$A$1:$I$89,3,0)*VLOOKUP('Données projet'!$B$11,Paramètres!$A$1:$I$89,5,0)</f>
        <v>0.99746715073179792</v>
      </c>
      <c r="BF4" s="13">
        <f>EXP(-1.0587+0.8836*LN(BE4)+0.284)</f>
        <v>0.45981048445793882</v>
      </c>
      <c r="BG4" s="20">
        <f t="shared" ref="BG4:BG67" si="7">(BE4+BF4)*0.475*44/12</f>
        <v>2.5380918812887914</v>
      </c>
      <c r="BH4" s="59">
        <f t="shared" ref="BH4:BH67" si="8">BG4+(AY4+AZ4)*44/12</f>
        <v>260.42698077017764</v>
      </c>
      <c r="BI4" s="59">
        <f ca="1">AVERAGE(OFFSET($BH$3,0,0,'Données projet'!$E$11+1,1))-AVERAGE(OFFSET($H$3,0,0,'Données projet'!$E$11+1,1))</f>
        <v>288.82868507674738</v>
      </c>
      <c r="BJ4" s="59">
        <f>$BJ$3</f>
        <v>283.48738729114024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0.73541999999999996</v>
      </c>
      <c r="BY4" s="12">
        <f>IF('Données projet'!$A$114&gt;35,BY3+BX4-CG3,IF(A4&lt;'Données projet'!$A$114,$BV$205^A4,IF(A4='Données projet'!$A$114,'Données projet'!$B$114,BY3+BX4-CG3)))</f>
        <v>1.1235153693328321</v>
      </c>
      <c r="BZ4" s="13">
        <f>BY4*VLOOKUP('Données projet'!$B$12,Paramètres!$A$1:$I$89,3,0)*VLOOKUP('Données projet'!$B$12,Paramètres!$A$1:$I$89,5,0)</f>
        <v>0.98150302664916234</v>
      </c>
      <c r="CA4" s="13">
        <f>EXP(-1.0587+0.8836*LN(BZ4)+0.284)</f>
        <v>0.45330188056319282</v>
      </c>
      <c r="CB4" s="20">
        <f t="shared" ref="CB4:CB67" si="10">(BZ4+CA4)*0.475*44/12</f>
        <v>2.4989518800615187</v>
      </c>
      <c r="CC4" s="59">
        <f t="shared" ref="CC4:CC67" si="11">CB4+(BT4+BU4)*44/12</f>
        <v>260.38784076895035</v>
      </c>
      <c r="CD4" s="59">
        <f ca="1">AVERAGE(OFFSET($CC$3,0,0,'Données projet'!$E$12+1,1))-AVERAGE(OFFSET($H$3,0,0,'Données projet'!$E$12+1,1))</f>
        <v>93.329407403816901</v>
      </c>
      <c r="CE4" s="59">
        <f>$CE$3</f>
        <v>90.925148357295313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5.8</v>
      </c>
      <c r="CT4" s="12">
        <f>IF('Données projet'!$A$140&gt;35,CT3+CS4-DB3,IF(A4&lt;'Données projet'!$A$140,$CQ$205^A4,IF(A4='Données projet'!$A$140,'Données projet'!$B$140,CT3+CS4-DB3)))</f>
        <v>1.5008690410666499</v>
      </c>
      <c r="CU4" s="17">
        <f>CT4*VLOOKUP('Données projet'!$B$13,Paramètres!$A$1:$I$89,3,0)*VLOOKUP('Données projet'!$B$13,Paramètres!$A$1:$I$89,5,0)</f>
        <v>1.4282269794790241</v>
      </c>
      <c r="CV4" s="13">
        <f>EXP(-1.0587+0.8836*LN(CU4)+0.284)</f>
        <v>0.63143826967046157</v>
      </c>
      <c r="CW4" s="20">
        <f t="shared" ref="CW4:CW67" si="13">(CU4+CV4)*0.475*44/12</f>
        <v>3.5872503089353542</v>
      </c>
      <c r="CX4" s="59">
        <f t="shared" ref="CX4:CX67" si="14">CW4+(CO4+CP4)*44/12</f>
        <v>261.47613919782424</v>
      </c>
      <c r="CY4" s="59">
        <f ca="1">AVERAGE(OFFSET($CX$3,0,0,'Données projet'!$E$13+1,1))-AVERAGE(OFFSET($H$3,0,0,'Données projet'!$E$13+1,1))</f>
        <v>805.04572055352492</v>
      </c>
      <c r="CZ4" s="59">
        <f>$CZ$3</f>
        <v>708.66645042414962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4.3</v>
      </c>
      <c r="DO4" s="12">
        <f>IF('Données projet'!$A$166&gt;35,DO3+DN4-DW3,IF(A4&lt;'Données projet'!$A$166,$DL$205^A4,IF(A4='Données projet'!$A$166,'Données projet'!$B$166,DO3+DN4-DW3)))</f>
        <v>1.4566219347661553</v>
      </c>
      <c r="DP4" s="17">
        <f>DO4*VLOOKUP('Données projet'!$B$14,Paramètres!$A$1:$I$89,3,0)*VLOOKUP('Données projet'!$B$14,Paramètres!$A$1:$I$89,5,0)</f>
        <v>0.97710199384113694</v>
      </c>
      <c r="DQ4" s="13">
        <f>EXP(-1.0587+0.8836*LN(DP4)+0.284)</f>
        <v>0.45150541166725155</v>
      </c>
      <c r="DR4" s="20">
        <f t="shared" ref="DR4:DR67" si="16">(DP4+DQ4)*0.475*44/12</f>
        <v>2.4881578979271102</v>
      </c>
      <c r="DS4" s="59">
        <f t="shared" ref="DS4:DS67" si="17">DR4+(DJ4+DK4)*44/12</f>
        <v>260.37704678681598</v>
      </c>
      <c r="DT4" s="59">
        <f ca="1">AVERAGE(OFFSET($DS$3,0,0,'Données projet'!$E$14+1,1))-AVERAGE(OFFSET($H$3,0,0,'Données projet'!$E$14+1,1))</f>
        <v>482.69499576870095</v>
      </c>
      <c r="DU4" s="59">
        <f>$DU$3</f>
        <v>384.28918352579575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11.5</v>
      </c>
      <c r="EJ4" s="12">
        <f>IF('Données projet'!$A$192&gt;35,EJ3+EI4-ER3,IF(A4&lt;'Données projet'!$A$192,$EG$205^A4,IF(A4='Données projet'!$A$192,'Données projet'!$B$192,EJ3+EI4-ER3)))</f>
        <v>1.6071994829923506</v>
      </c>
      <c r="EK4" s="17">
        <f>EJ4*VLOOKUP('Données projet'!$B$15,Paramètres!$A$1:$I$89,3,0)*VLOOKUP('Données projet'!$B$15,Paramètres!$A$1:$I$89,5,0)</f>
        <v>1.1783986609299915</v>
      </c>
      <c r="EL4" s="13">
        <f>EXP(-1.0587+0.8836*LN(EK4)+0.284)</f>
        <v>0.53277751568396181</v>
      </c>
      <c r="EM4" s="20">
        <f t="shared" ref="EM4:EM67" si="19">(EK4+EL4)*0.475*44/12</f>
        <v>2.9802985076026349</v>
      </c>
      <c r="EN4" s="59">
        <f t="shared" ref="EN4:EN67" si="20">EM4+(EE4+EF4)*44/12</f>
        <v>260.8691873964915</v>
      </c>
      <c r="EO4" s="59">
        <f ca="1">AVERAGE(OFFSET($EN$3,0,0,'Données projet'!$E$15+1,1))-AVERAGE(OFFSET($H$3,0,0,'Données projet'!$E$15+1,1))</f>
        <v>197.34725966440715</v>
      </c>
      <c r="EP4" s="59">
        <f>$EP$3</f>
        <v>240.16326570529532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11.761904761904763</v>
      </c>
      <c r="FE4" s="12">
        <f>IF('Données projet'!$A$218&gt;35,FE3+FD4-FM3,IF(A4&lt;'Données projet'!$A$218,$FB$205^A4,IF(A4='Données projet'!$A$218,'Données projet'!$B$218,FE3+FD4-FM3)))</f>
        <v>1.2999838295126607</v>
      </c>
      <c r="FF4" s="17">
        <f>FE4*VLOOKUP('Données projet'!$B$16,Paramètres!$A$1:$I$89,3,0)*VLOOKUP('Données projet'!$B$16,Paramètres!$A$1:$I$89,5,0)</f>
        <v>0.72669096069757722</v>
      </c>
      <c r="FG4" s="13">
        <f>EXP(-1.0587+0.8836*LN(FF4)+0.284)</f>
        <v>0.34756874125838721</v>
      </c>
      <c r="FH4" s="20">
        <f t="shared" ref="FH4:FH67" si="22">(FF4+FG4)*0.475*44/12</f>
        <v>1.8710023142399717</v>
      </c>
      <c r="FI4" s="59">
        <f t="shared" ref="FI4:FI67" si="23">FH4+(EZ4+FA4)*44/12</f>
        <v>259.7598912031288</v>
      </c>
      <c r="FJ4" s="59">
        <f ca="1">AVERAGE(OFFSET($FI$3,0,0,'Données projet'!$E$16+1,1))-AVERAGE(OFFSET($H$3,0,0,'Données projet'!$E$16+1,1))</f>
        <v>346.42094266871379</v>
      </c>
      <c r="FK4" s="59">
        <f>$FK$3</f>
        <v>453.48153556975973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7.9</v>
      </c>
      <c r="FZ4" s="12">
        <f>IF('Données projet'!$A$244&gt;35,FZ3+FY4-GH3,IF(A4&lt;'Données projet'!$A$244,$FW$205^A4,IF(A4='Données projet'!$A$244,'Données projet'!$B$244,FZ3+FY4-GH3)))</f>
        <v>1.2880503926580862</v>
      </c>
      <c r="GA4" s="17">
        <f>FZ4*VLOOKUP('Données projet'!$B$17,Paramètres!$A$1:$I$89,3,0)*VLOOKUP('Données projet'!$B$17,Paramètres!$A$1:$I$89,5,0)</f>
        <v>0.60280758376398436</v>
      </c>
      <c r="GB4" s="13">
        <f>EXP(-1.0587+0.8836*LN(GA4)+0.284)</f>
        <v>0.29465781953181042</v>
      </c>
      <c r="GC4" s="20">
        <f t="shared" ref="GC4:GC67" si="25">(GA4+GB4)*0.475*44/12</f>
        <v>1.5630855774068424</v>
      </c>
      <c r="GD4" s="59">
        <f t="shared" ref="GD4:GD67" si="26">GC4+(FU4+FV4)*44/12</f>
        <v>259.45197446629572</v>
      </c>
      <c r="GE4" s="59">
        <f ca="1">AVERAGE(OFFSET($GD$3,0,0,'Données projet'!$E$17+1,1))-AVERAGE(OFFSET($H$3,0,0,'Données projet'!$E$17+1,1))</f>
        <v>198.26255998041</v>
      </c>
      <c r="GF4" s="59">
        <f>$GF$3</f>
        <v>238.62101708181166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4.3703703703703702</v>
      </c>
      <c r="GU4" s="12">
        <f>IF('Données projet'!$A$270&gt;35,GU3+GT4-HC3,IF(A4&lt;'Données projet'!$A$270,$GR$205^A4,IF(A4='Données projet'!$A$270,'Données projet'!$B$270,GU3+GT4-HC3)))</f>
        <v>1.1932635389591795</v>
      </c>
      <c r="GV4" s="17">
        <f>GU4*VLOOKUP('Données projet'!$B$18,Paramètres!$A$1:$I$89,3,0)*VLOOKUP('Données projet'!$B$18,Paramètres!$A$1:$I$89,5,0)</f>
        <v>1.3746395968809746</v>
      </c>
      <c r="GW4" s="13">
        <f>EXP(-1.0587+0.8836*LN(GV4)+0.284)</f>
        <v>0.61045791986395648</v>
      </c>
      <c r="GX4" s="20">
        <f t="shared" ref="GX4:GX67" si="28">(GV4+GW4)*0.475*44/12</f>
        <v>3.4573781749974213</v>
      </c>
      <c r="GY4" s="59">
        <f t="shared" ref="GY4:GY67" si="29">GX4+(GP4+GQ4)*44/12</f>
        <v>261.34626706388627</v>
      </c>
      <c r="GZ4" s="59">
        <f ca="1">AVERAGE(OFFSET($GY$3,0,0,'Données projet'!$E$18+1,1))-AVERAGE(OFFSET($H$3,0,0,'Données projet'!$E$18+1,1))</f>
        <v>604.0566904089452</v>
      </c>
      <c r="HA4" s="59">
        <f>$HA$3</f>
        <v>369.5187835902687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</v>
      </c>
      <c r="N5" s="13">
        <f>IF('Données projet'!$A$36&gt;35,N4+M5-V4,IF(A5&lt;'Données projet'!$A$36,$K$205^A5,IF(A5='Données projet'!$A$36,'Données projet'!$B$36,N4+M5-V4)))</f>
        <v>8</v>
      </c>
      <c r="O5" s="13">
        <f>N5*VLOOKUP('Données projet'!$B$9,Paramètres!$A$1:$I$89,3,0)*VLOOKUP('Données projet'!$B$9,Paramètres!$A$1:$I$89,5,0)</f>
        <v>7.2383999999999995</v>
      </c>
      <c r="P5" s="13">
        <f t="shared" ref="P5:P68" si="33">EXP(-1.0587+0.8836*LN(O5)+0.284)</f>
        <v>2.6493067597344675</v>
      </c>
      <c r="Q5" s="20">
        <f t="shared" si="2"/>
        <v>17.221089273204196</v>
      </c>
      <c r="R5" s="59">
        <f t="shared" si="0"/>
        <v>276.33220038431534</v>
      </c>
      <c r="S5" s="59">
        <f ca="1">AVERAGE(OFFSET($R$3,0,0,'Données projet'!$E$9+1,1))-AVERAGE(OFFSET($H$3,0,0,'Données projet'!$E$9+1,1))</f>
        <v>528.20489749461376</v>
      </c>
      <c r="T5" s="59">
        <f t="shared" ref="T5:T68" si="34">$T$3</f>
        <v>276.26988364830532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8.1999999999999993</v>
      </c>
      <c r="AI5" s="13">
        <f>IF('Données projet'!$A$62&gt;35,AI4+AH5-AQ4,IF(A5&lt;'Données projet'!$A$62,$AF$205^A5,IF(A5='Données projet'!$A$62,'Données projet'!$B$62,AI4+AH5-AQ4)))</f>
        <v>4.4168590737436171</v>
      </c>
      <c r="AJ5" s="13">
        <f>AI5*VLOOKUP('Données projet'!$B$10,Paramètres!$A$1:$I$89,3,0)*VLOOKUP('Données projet'!$B$10,Paramètres!$A$1:$I$89,5,0)</f>
        <v>3.9963740899232247</v>
      </c>
      <c r="AK5" s="13">
        <f t="shared" ref="AK5:AK68" si="35">EXP(-1.0587+0.8836*LN(AJ5)+0.284)</f>
        <v>1.567415948479109</v>
      </c>
      <c r="AL5" s="20">
        <f t="shared" si="4"/>
        <v>9.6902676502173968</v>
      </c>
      <c r="AM5" s="59">
        <f t="shared" si="5"/>
        <v>268.80137876132852</v>
      </c>
      <c r="AN5" s="59">
        <f ca="1">AVERAGE(OFFSET($AM$3,0,0,'Données projet'!$E$10+1,1))-AVERAGE(OFFSET($H$3,0,0,'Données projet'!$E$10+1,1))</f>
        <v>436.23918637269577</v>
      </c>
      <c r="AO5" s="59">
        <f t="shared" ref="AO5:AO68" si="36">$AO$3</f>
        <v>611.43967996341894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2.6666666666666665</v>
      </c>
      <c r="BD5" s="12">
        <f>IF('Données projet'!$A$88&gt;35,BD4+BC5-BL4,IF(A5&lt;'Données projet'!$A$88,$BA$205^A5,IF(A5='Données projet'!$A$88,'Données projet'!$B$88,BD4+BC5-BL4)))</f>
        <v>1.6353397711850939</v>
      </c>
      <c r="BE5" s="13">
        <f>BD5*VLOOKUP('Données projet'!$B$11,Paramètres!$A$1:$I$89,3,0)*VLOOKUP('Données projet'!$B$11,Paramètres!$A$1:$I$89,5,0)</f>
        <v>1.2755650215243732</v>
      </c>
      <c r="BF5" s="13">
        <f t="shared" ref="BF5:BF68" si="37">EXP(-1.0587+0.8836*LN(BE5)+0.284)</f>
        <v>0.57141400910743001</v>
      </c>
      <c r="BG5" s="20">
        <f t="shared" si="7"/>
        <v>3.2168218116837237</v>
      </c>
      <c r="BH5" s="59">
        <f t="shared" si="8"/>
        <v>262.32793292279484</v>
      </c>
      <c r="BI5" s="59">
        <f ca="1">AVERAGE(OFFSET($BH$3,0,0,'Données projet'!$E$11+1,1))-AVERAGE(OFFSET($H$3,0,0,'Données projet'!$E$11+1,1))</f>
        <v>288.82868507674738</v>
      </c>
      <c r="BJ5" s="59">
        <f t="shared" ref="BJ5:BJ68" si="38">$BJ$3</f>
        <v>283.48738729114024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0.73541999999999996</v>
      </c>
      <c r="BY5" s="12">
        <f>IF('Données projet'!$A$114&gt;35,BY4+BX5-CG4,IF(A5&lt;'Données projet'!$A$114,$BV$205^A5,IF(A5='Données projet'!$A$114,'Données projet'!$B$114,BY4+BX5-CG4)))</f>
        <v>1.2622867851270902</v>
      </c>
      <c r="BZ5" s="13">
        <f>BY5*VLOOKUP('Données projet'!$B$12,Paramètres!$A$1:$I$89,3,0)*VLOOKUP('Données projet'!$B$12,Paramètres!$A$1:$I$89,5,0)</f>
        <v>1.1027337354870261</v>
      </c>
      <c r="CA5" s="13">
        <f t="shared" ref="CA5:CA68" si="39">EXP(-1.0587+0.8836*LN(BZ5)+0.284)</f>
        <v>0.5024341390849002</v>
      </c>
      <c r="CB5" s="20">
        <f t="shared" si="10"/>
        <v>2.7956673815461048</v>
      </c>
      <c r="CC5" s="59">
        <f t="shared" si="11"/>
        <v>261.90677849265722</v>
      </c>
      <c r="CD5" s="59">
        <f ca="1">AVERAGE(OFFSET($CC$3,0,0,'Données projet'!$E$12+1,1))-AVERAGE(OFFSET($H$3,0,0,'Données projet'!$E$12+1,1))</f>
        <v>93.329407403816901</v>
      </c>
      <c r="CE5" s="59">
        <f t="shared" ref="CE5:CE68" si="40">$CE$3</f>
        <v>90.925148357295313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5.8</v>
      </c>
      <c r="CT5" s="12">
        <f>IF('Données projet'!$A$140&gt;35,CT4+CS5-DB4,IF(A5&lt;'Données projet'!$A$140,$CQ$205^A5,IF(A5='Données projet'!$A$140,'Données projet'!$B$140,CT4+CS5-DB4)))</f>
        <v>2.2526078784323249</v>
      </c>
      <c r="CU5" s="17">
        <f>CT5*VLOOKUP('Données projet'!$B$13,Paramètres!$A$1:$I$89,3,0)*VLOOKUP('Données projet'!$B$13,Paramètres!$A$1:$I$89,5,0)</f>
        <v>2.1435816571162003</v>
      </c>
      <c r="CV5" s="13">
        <f t="shared" ref="CV5:CV68" si="41">EXP(-1.0587+0.8836*LN(CU5)+0.284)</f>
        <v>0.90395621954898819</v>
      </c>
      <c r="CW5" s="20">
        <f t="shared" si="13"/>
        <v>5.3077951351918697</v>
      </c>
      <c r="CX5" s="59">
        <f t="shared" si="14"/>
        <v>264.41890624630304</v>
      </c>
      <c r="CY5" s="59">
        <f ca="1">AVERAGE(OFFSET($CX$3,0,0,'Données projet'!$E$13+1,1))-AVERAGE(OFFSET($H$3,0,0,'Données projet'!$E$13+1,1))</f>
        <v>805.04572055352492</v>
      </c>
      <c r="CZ5" s="59">
        <f t="shared" ref="CZ5:CZ68" si="42">$CZ$3</f>
        <v>708.66645042414962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4.3</v>
      </c>
      <c r="DO5" s="12">
        <f>IF('Données projet'!$A$166&gt;35,DO4+DN5-DW4,IF(A5&lt;'Données projet'!$A$166,$DL$205^A5,IF(A5='Données projet'!$A$166,'Données projet'!$B$166,DO4+DN5-DW4)))</f>
        <v>2.1217474608418976</v>
      </c>
      <c r="DP5" s="17">
        <f>DO5*VLOOKUP('Données projet'!$B$14,Paramètres!$A$1:$I$89,3,0)*VLOOKUP('Données projet'!$B$14,Paramètres!$A$1:$I$89,5,0)</f>
        <v>1.423268196732745</v>
      </c>
      <c r="DQ5" s="13">
        <f t="shared" ref="DQ5:DQ68" si="43">EXP(-1.0587+0.8836*LN(DP5)+0.284)</f>
        <v>0.62950072235007126</v>
      </c>
      <c r="DR5" s="20">
        <f t="shared" si="16"/>
        <v>3.5752392007359055</v>
      </c>
      <c r="DS5" s="59">
        <f t="shared" si="17"/>
        <v>262.68635031184704</v>
      </c>
      <c r="DT5" s="59">
        <f ca="1">AVERAGE(OFFSET($DS$3,0,0,'Données projet'!$E$14+1,1))-AVERAGE(OFFSET($H$3,0,0,'Données projet'!$E$14+1,1))</f>
        <v>482.69499576870095</v>
      </c>
      <c r="DU5" s="59">
        <f t="shared" ref="DU5:DU68" si="44">$DU$3</f>
        <v>384.28918352579575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11.5</v>
      </c>
      <c r="EJ5" s="12">
        <f>IF('Données projet'!$A$192&gt;35,EJ4+EI5-ER4,IF(A5&lt;'Données projet'!$A$192,$EG$205^A5,IF(A5='Données projet'!$A$192,'Données projet'!$B$192,EJ4+EI5-ER4)))</f>
        <v>2.5830901781308793</v>
      </c>
      <c r="EK5" s="17">
        <f>EJ5*VLOOKUP('Données projet'!$B$15,Paramètres!$A$1:$I$89,3,0)*VLOOKUP('Données projet'!$B$15,Paramètres!$A$1:$I$89,5,0)</f>
        <v>1.8939217186055606</v>
      </c>
      <c r="EL5" s="13">
        <f t="shared" ref="EL5:EL68" si="45">EXP(-1.0587+0.8836*LN(EK5)+0.284)</f>
        <v>0.81026886193479808</v>
      </c>
      <c r="EM5" s="20">
        <f t="shared" si="19"/>
        <v>4.709798594441124</v>
      </c>
      <c r="EN5" s="59">
        <f t="shared" si="20"/>
        <v>263.82090970555225</v>
      </c>
      <c r="EO5" s="59">
        <f ca="1">AVERAGE(OFFSET($EN$3,0,0,'Données projet'!$E$15+1,1))-AVERAGE(OFFSET($H$3,0,0,'Données projet'!$E$15+1,1))</f>
        <v>197.34725966440715</v>
      </c>
      <c r="EP5" s="59">
        <f t="shared" ref="EP5:EP68" si="46">$EP$3</f>
        <v>240.16326570529532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11.761904761904763</v>
      </c>
      <c r="FE5" s="12">
        <f>IF('Données projet'!$A$218&gt;35,FE4+FD5-FM4,IF(A5&lt;'Données projet'!$A$218,$FB$205^A5,IF(A5='Données projet'!$A$218,'Données projet'!$B$218,FE4+FD5-FM4)))</f>
        <v>1.6899579569944023</v>
      </c>
      <c r="FF5" s="17">
        <f>FE5*VLOOKUP('Données projet'!$B$16,Paramètres!$A$1:$I$89,3,0)*VLOOKUP('Données projet'!$B$16,Paramètres!$A$1:$I$89,5,0)</f>
        <v>0.94468649795987092</v>
      </c>
      <c r="FG5" s="13">
        <f t="shared" ref="FG5:FG68" si="47">EXP(-1.0587+0.8836*LN(FF5)+0.284)</f>
        <v>0.43824430772628387</v>
      </c>
      <c r="FH5" s="20">
        <f t="shared" si="22"/>
        <v>2.4086044865700527</v>
      </c>
      <c r="FI5" s="59">
        <f t="shared" si="23"/>
        <v>261.51971559768117</v>
      </c>
      <c r="FJ5" s="59">
        <f ca="1">AVERAGE(OFFSET($FI$3,0,0,'Données projet'!$E$16+1,1))-AVERAGE(OFFSET($H$3,0,0,'Données projet'!$E$16+1,1))</f>
        <v>346.42094266871379</v>
      </c>
      <c r="FK5" s="59">
        <f t="shared" ref="FK5:FK68" si="48">$FK$3</f>
        <v>453.48153556975973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7.9</v>
      </c>
      <c r="FZ5" s="12">
        <f>IF('Données projet'!$A$244&gt;35,FZ4+FY5-GH4,IF(A5&lt;'Données projet'!$A$244,$FW$205^A5,IF(A5='Données projet'!$A$244,'Données projet'!$B$244,FZ4+FY5-GH4)))</f>
        <v>1.6590738140266501</v>
      </c>
      <c r="GA5" s="17">
        <f>FZ5*VLOOKUP('Données projet'!$B$17,Paramètres!$A$1:$I$89,3,0)*VLOOKUP('Données projet'!$B$17,Paramètres!$A$1:$I$89,5,0)</f>
        <v>0.77644654496447219</v>
      </c>
      <c r="GB5" s="13">
        <f t="shared" ref="GB5:GB68" si="49">EXP(-1.0587+0.8836*LN(GA5)+0.284)</f>
        <v>0.36851455096495994</v>
      </c>
      <c r="GC5" s="20">
        <f t="shared" si="25"/>
        <v>1.9941405754104276</v>
      </c>
      <c r="GD5" s="59">
        <f t="shared" si="26"/>
        <v>261.10525168652157</v>
      </c>
      <c r="GE5" s="59">
        <f ca="1">AVERAGE(OFFSET($GD$3,0,0,'Données projet'!$E$17+1,1))-AVERAGE(OFFSET($H$3,0,0,'Données projet'!$E$17+1,1))</f>
        <v>198.26255998041</v>
      </c>
      <c r="GF5" s="59">
        <f t="shared" ref="GF5:GF68" si="50">$GF$3</f>
        <v>238.62101708181166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4.3703703703703702</v>
      </c>
      <c r="GU5" s="12">
        <f>IF('Données projet'!$A$270&gt;35,GU4+GT5-HC4,IF(A5&lt;'Données projet'!$A$270,$GR$205^A5,IF(A5='Données projet'!$A$270,'Données projet'!$B$270,GU4+GT5-HC4)))</f>
        <v>1.4238778734093853</v>
      </c>
      <c r="GV5" s="17">
        <f>GU5*VLOOKUP('Données projet'!$B$18,Paramètres!$A$1:$I$89,3,0)*VLOOKUP('Données projet'!$B$18,Paramètres!$A$1:$I$89,5,0)</f>
        <v>1.6403073101676118</v>
      </c>
      <c r="GW5" s="13">
        <f t="shared" ref="GW5:GW68" si="51">EXP(-1.0587+0.8836*LN(GV5)+0.284)</f>
        <v>0.71360845921711513</v>
      </c>
      <c r="GX5" s="20">
        <f t="shared" si="28"/>
        <v>4.0997366316783994</v>
      </c>
      <c r="GY5" s="59">
        <f t="shared" si="29"/>
        <v>263.21084774278955</v>
      </c>
      <c r="GZ5" s="59">
        <f ca="1">AVERAGE(OFFSET($GY$3,0,0,'Données projet'!$E$18+1,1))-AVERAGE(OFFSET($H$3,0,0,'Données projet'!$E$18+1,1))</f>
        <v>604.0566904089452</v>
      </c>
      <c r="HA5" s="59">
        <f t="shared" ref="HA5:HA68" si="52">$HA$3</f>
        <v>369.5187835902687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</v>
      </c>
      <c r="N6" s="13">
        <f>IF('Données projet'!$A$36&gt;35,N5+M6-V5,IF(A6&lt;'Données projet'!$A$36,$K$205^A6,IF(A6='Données projet'!$A$36,'Données projet'!$B$36,N5+M6-V5)))</f>
        <v>12</v>
      </c>
      <c r="O6" s="13">
        <f>N6*VLOOKUP('Données projet'!$B$9,Paramètres!$A$1:$I$89,3,0)*VLOOKUP('Données projet'!$B$9,Paramètres!$A$1:$I$89,5,0)</f>
        <v>10.8576</v>
      </c>
      <c r="P6" s="13">
        <f t="shared" si="33"/>
        <v>3.7907617001683773</v>
      </c>
      <c r="Q6" s="20">
        <f t="shared" si="2"/>
        <v>25.512563294459923</v>
      </c>
      <c r="R6" s="59">
        <f t="shared" si="0"/>
        <v>285.84589662779325</v>
      </c>
      <c r="S6" s="59">
        <f ca="1">AVERAGE(OFFSET($R$3,0,0,'Données projet'!$E$9+1,1))-AVERAGE(OFFSET($H$3,0,0,'Données projet'!$E$9+1,1))</f>
        <v>528.20489749461376</v>
      </c>
      <c r="T6" s="59">
        <f t="shared" si="34"/>
        <v>276.26988364830532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8.1999999999999993</v>
      </c>
      <c r="AI6" s="13">
        <f>IF('Données projet'!$A$62&gt;35,AI5+AH6-AQ5,IF(A6&lt;'Données projet'!$A$62,$AF$205^A6,IF(A6='Données projet'!$A$62,'Données projet'!$B$62,AI5+AH6-AQ5)))</f>
        <v>9.282614481346684</v>
      </c>
      <c r="AJ6" s="13">
        <f>AI6*VLOOKUP('Données projet'!$B$10,Paramètres!$A$1:$I$89,3,0)*VLOOKUP('Données projet'!$B$10,Paramètres!$A$1:$I$89,5,0)</f>
        <v>8.3989095827224798</v>
      </c>
      <c r="AK6" s="13">
        <f t="shared" si="35"/>
        <v>3.0213109491815406</v>
      </c>
      <c r="AL6" s="20">
        <f t="shared" si="4"/>
        <v>19.890217426399502</v>
      </c>
      <c r="AM6" s="59">
        <f t="shared" si="5"/>
        <v>280.2235507597328</v>
      </c>
      <c r="AN6" s="59">
        <f ca="1">AVERAGE(OFFSET($AM$3,0,0,'Données projet'!$E$10+1,1))-AVERAGE(OFFSET($H$3,0,0,'Données projet'!$E$10+1,1))</f>
        <v>436.23918637269577</v>
      </c>
      <c r="AO6" s="59">
        <f t="shared" si="36"/>
        <v>611.43967996341894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2.6666666666666665</v>
      </c>
      <c r="BD6" s="12">
        <f>IF('Données projet'!$A$88&gt;35,BD5+BC6-BL5,IF(A6&lt;'Données projet'!$A$88,$BA$205^A6,IF(A6='Données projet'!$A$88,'Données projet'!$B$88,BD5+BC6-BL5)))</f>
        <v>2.0912791051825459</v>
      </c>
      <c r="BE6" s="13">
        <f>BD6*VLOOKUP('Données projet'!$B$11,Paramètres!$A$1:$I$89,3,0)*VLOOKUP('Données projet'!$B$11,Paramètres!$A$1:$I$89,5,0)</f>
        <v>1.6311977020423858</v>
      </c>
      <c r="BF6" s="13">
        <f t="shared" si="37"/>
        <v>0.71010553443370616</v>
      </c>
      <c r="BG6" s="20">
        <f t="shared" si="7"/>
        <v>4.0777698035291934</v>
      </c>
      <c r="BH6" s="59">
        <f t="shared" si="8"/>
        <v>264.41110313686249</v>
      </c>
      <c r="BI6" s="59">
        <f ca="1">AVERAGE(OFFSET($BH$3,0,0,'Données projet'!$E$11+1,1))-AVERAGE(OFFSET($H$3,0,0,'Données projet'!$E$11+1,1))</f>
        <v>288.82868507674738</v>
      </c>
      <c r="BJ6" s="59">
        <f t="shared" si="38"/>
        <v>283.48738729114024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0.73541999999999996</v>
      </c>
      <c r="BY6" s="12">
        <f>IF('Données projet'!$A$114&gt;35,BY5+BX6-CG5,IF(A6&lt;'Données projet'!$A$114,$BV$205^A6,IF(A6='Données projet'!$A$114,'Données projet'!$B$114,BY5+BX6-CG5)))</f>
        <v>1.4181986035960161</v>
      </c>
      <c r="BZ6" s="13">
        <f>BY6*VLOOKUP('Données projet'!$B$12,Paramètres!$A$1:$I$89,3,0)*VLOOKUP('Données projet'!$B$12,Paramètres!$A$1:$I$89,5,0)</f>
        <v>1.23893830010148</v>
      </c>
      <c r="CA6" s="13">
        <f t="shared" si="39"/>
        <v>0.55689172037924806</v>
      </c>
      <c r="CB6" s="20">
        <f t="shared" si="10"/>
        <v>3.1277372856706012</v>
      </c>
      <c r="CC6" s="59">
        <f t="shared" si="11"/>
        <v>263.46107061900392</v>
      </c>
      <c r="CD6" s="59">
        <f ca="1">AVERAGE(OFFSET($CC$3,0,0,'Données projet'!$E$12+1,1))-AVERAGE(OFFSET($H$3,0,0,'Données projet'!$E$12+1,1))</f>
        <v>93.329407403816901</v>
      </c>
      <c r="CE6" s="59">
        <f t="shared" si="40"/>
        <v>90.925148357295313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5.8</v>
      </c>
      <c r="CT6" s="12">
        <f>IF('Données projet'!$A$140&gt;35,CT5+CS6-DB5,IF(A6&lt;'Données projet'!$A$140,$CQ$205^A6,IF(A6='Données projet'!$A$140,'Données projet'!$B$140,CT5+CS6-DB5)))</f>
        <v>3.3808694264019041</v>
      </c>
      <c r="CU6" s="17">
        <f>CT6*VLOOKUP('Données projet'!$B$13,Paramètres!$A$1:$I$89,3,0)*VLOOKUP('Données projet'!$B$13,Paramètres!$A$1:$I$89,5,0)</f>
        <v>3.2172353461640522</v>
      </c>
      <c r="CV6" s="13">
        <f t="shared" si="41"/>
        <v>1.2940882523445252</v>
      </c>
      <c r="CW6" s="20">
        <f t="shared" si="13"/>
        <v>7.8572219340691047</v>
      </c>
      <c r="CX6" s="59">
        <f t="shared" si="14"/>
        <v>268.19055526740243</v>
      </c>
      <c r="CY6" s="59">
        <f ca="1">AVERAGE(OFFSET($CX$3,0,0,'Données projet'!$E$13+1,1))-AVERAGE(OFFSET($H$3,0,0,'Données projet'!$E$13+1,1))</f>
        <v>805.04572055352492</v>
      </c>
      <c r="CZ6" s="59">
        <f t="shared" si="42"/>
        <v>708.66645042414962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4.3</v>
      </c>
      <c r="DO6" s="12">
        <f>IF('Données projet'!$A$166&gt;35,DO5+DN6-DW5,IF(A6&lt;'Données projet'!$A$166,$DL$205^A6,IF(A6='Données projet'!$A$166,'Données projet'!$B$166,DO5+DN6-DW5)))</f>
        <v>3.0905838914967023</v>
      </c>
      <c r="DP6" s="17">
        <f>DO6*VLOOKUP('Données projet'!$B$14,Paramètres!$A$1:$I$89,3,0)*VLOOKUP('Données projet'!$B$14,Paramètres!$A$1:$I$89,5,0)</f>
        <v>2.0731636744159876</v>
      </c>
      <c r="DQ6" s="13">
        <f t="shared" si="43"/>
        <v>0.87766646688900307</v>
      </c>
      <c r="DR6" s="20">
        <f t="shared" si="16"/>
        <v>5.1393624961061919</v>
      </c>
      <c r="DS6" s="59">
        <f t="shared" si="17"/>
        <v>265.47269582943949</v>
      </c>
      <c r="DT6" s="59">
        <f ca="1">AVERAGE(OFFSET($DS$3,0,0,'Données projet'!$E$14+1,1))-AVERAGE(OFFSET($H$3,0,0,'Données projet'!$E$14+1,1))</f>
        <v>482.69499576870095</v>
      </c>
      <c r="DU6" s="59">
        <f t="shared" si="44"/>
        <v>384.28918352579575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11.5</v>
      </c>
      <c r="EJ6" s="12">
        <f>IF('Données projet'!$A$192&gt;35,EJ5+EI6-ER5,IF(A6&lt;'Données projet'!$A$192,$EG$205^A6,IF(A6='Données projet'!$A$192,'Données projet'!$B$192,EJ5+EI6-ER5)))</f>
        <v>4.1515411988145683</v>
      </c>
      <c r="EK6" s="17">
        <f>EJ6*VLOOKUP('Données projet'!$B$15,Paramètres!$A$1:$I$89,3,0)*VLOOKUP('Données projet'!$B$15,Paramètres!$A$1:$I$89,5,0)</f>
        <v>3.0439100069708416</v>
      </c>
      <c r="EL6" s="13">
        <f t="shared" si="45"/>
        <v>1.2322885431422059</v>
      </c>
      <c r="EM6" s="20">
        <f t="shared" si="19"/>
        <v>7.447712474780225</v>
      </c>
      <c r="EN6" s="59">
        <f t="shared" si="20"/>
        <v>267.78104580811356</v>
      </c>
      <c r="EO6" s="59">
        <f ca="1">AVERAGE(OFFSET($EN$3,0,0,'Données projet'!$E$15+1,1))-AVERAGE(OFFSET($H$3,0,0,'Données projet'!$E$15+1,1))</f>
        <v>197.34725966440715</v>
      </c>
      <c r="EP6" s="59">
        <f t="shared" si="46"/>
        <v>240.16326570529532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11.761904761904763</v>
      </c>
      <c r="FE6" s="12">
        <f>IF('Données projet'!$A$218&gt;35,FE5+FD6-FM5,IF(A6&lt;'Données projet'!$A$218,$FB$205^A6,IF(A6='Données projet'!$A$218,'Données projet'!$B$218,FE5+FD6-FM5)))</f>
        <v>2.1969180166489752</v>
      </c>
      <c r="FF6" s="17">
        <f>FE6*VLOOKUP('Données projet'!$B$16,Paramètres!$A$1:$I$89,3,0)*VLOOKUP('Données projet'!$B$16,Paramètres!$A$1:$I$89,5,0)</f>
        <v>1.2280771713067771</v>
      </c>
      <c r="FG6" s="13">
        <f t="shared" si="47"/>
        <v>0.55257579424183967</v>
      </c>
      <c r="FH6" s="20">
        <f t="shared" si="22"/>
        <v>3.1013039149971742</v>
      </c>
      <c r="FI6" s="59">
        <f t="shared" si="23"/>
        <v>263.43463724833049</v>
      </c>
      <c r="FJ6" s="59">
        <f ca="1">AVERAGE(OFFSET($FI$3,0,0,'Données projet'!$E$16+1,1))-AVERAGE(OFFSET($H$3,0,0,'Données projet'!$E$16+1,1))</f>
        <v>346.42094266871379</v>
      </c>
      <c r="FK6" s="59">
        <f t="shared" si="48"/>
        <v>453.48153556975973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7.9</v>
      </c>
      <c r="FZ6" s="12">
        <f>IF('Données projet'!$A$244&gt;35,FZ5+FY6-GH5,IF(A6&lt;'Données projet'!$A$244,$FW$205^A6,IF(A6='Données projet'!$A$244,'Données projet'!$B$244,FZ5+FY6-GH5)))</f>
        <v>2.1369706776057753</v>
      </c>
      <c r="GA6" s="17">
        <f>FZ6*VLOOKUP('Données projet'!$B$17,Paramètres!$A$1:$I$89,3,0)*VLOOKUP('Données projet'!$B$17,Paramètres!$A$1:$I$89,5,0)</f>
        <v>1.0001022771195029</v>
      </c>
      <c r="GB6" s="13">
        <f t="shared" si="49"/>
        <v>0.46088365986243646</v>
      </c>
      <c r="GC6" s="20">
        <f t="shared" si="25"/>
        <v>2.5445505069102112</v>
      </c>
      <c r="GD6" s="59">
        <f t="shared" si="26"/>
        <v>262.8778838402435</v>
      </c>
      <c r="GE6" s="59">
        <f ca="1">AVERAGE(OFFSET($GD$3,0,0,'Données projet'!$E$17+1,1))-AVERAGE(OFFSET($H$3,0,0,'Données projet'!$E$17+1,1))</f>
        <v>198.26255998041</v>
      </c>
      <c r="GF6" s="59">
        <f t="shared" si="50"/>
        <v>238.62101708181166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4.3703703703703702</v>
      </c>
      <c r="GU6" s="12">
        <f>IF('Données projet'!$A$270&gt;35,GU5+GT6-HC5,IF(A6&lt;'Données projet'!$A$270,$GR$205^A6,IF(A6='Données projet'!$A$270,'Données projet'!$B$270,GU5+GT6-HC5)))</f>
        <v>1.6990615502701536</v>
      </c>
      <c r="GV6" s="17">
        <f>GU6*VLOOKUP('Données projet'!$B$18,Paramètres!$A$1:$I$89,3,0)*VLOOKUP('Données projet'!$B$18,Paramètres!$A$1:$I$89,5,0)</f>
        <v>1.9573189059112168</v>
      </c>
      <c r="GW6" s="13">
        <f t="shared" si="51"/>
        <v>0.83418859268745515</v>
      </c>
      <c r="GX6" s="20">
        <f t="shared" si="28"/>
        <v>4.861875560059354</v>
      </c>
      <c r="GY6" s="59">
        <f t="shared" si="29"/>
        <v>265.19520889339265</v>
      </c>
      <c r="GZ6" s="59">
        <f ca="1">AVERAGE(OFFSET($GY$3,0,0,'Données projet'!$E$18+1,1))-AVERAGE(OFFSET($H$3,0,0,'Données projet'!$E$18+1,1))</f>
        <v>604.0566904089452</v>
      </c>
      <c r="HA6" s="59">
        <f t="shared" si="52"/>
        <v>369.5187835902687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</v>
      </c>
      <c r="N7" s="13">
        <f>IF('Données projet'!$A$36&gt;35,N6+M7-V6,IF(A7&lt;'Données projet'!$A$36,$K$205^A7,IF(A7='Données projet'!$A$36,'Données projet'!$B$36,N6+M7-V6)))</f>
        <v>16</v>
      </c>
      <c r="O7" s="13">
        <f>N7*VLOOKUP('Données projet'!$B$9,Paramètres!$A$1:$I$89,3,0)*VLOOKUP('Données projet'!$B$9,Paramètres!$A$1:$I$89,5,0)</f>
        <v>14.476799999999999</v>
      </c>
      <c r="P7" s="13">
        <f t="shared" si="33"/>
        <v>4.8879004449090973</v>
      </c>
      <c r="Q7" s="20">
        <f t="shared" si="2"/>
        <v>33.726853274883347</v>
      </c>
      <c r="R7" s="59">
        <f t="shared" si="0"/>
        <v>295.2824088304389</v>
      </c>
      <c r="S7" s="59">
        <f ca="1">AVERAGE(OFFSET($R$3,0,0,'Données projet'!$E$9+1,1))-AVERAGE(OFFSET($H$3,0,0,'Données projet'!$E$9+1,1))</f>
        <v>528.20489749461376</v>
      </c>
      <c r="T7" s="59">
        <f t="shared" si="34"/>
        <v>276.26988364830532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8.1999999999999993</v>
      </c>
      <c r="AI7" s="13">
        <f>IF('Données projet'!$A$62&gt;35,AI6+AH7-AQ6,IF(A7&lt;'Données projet'!$A$62,$AF$205^A7,IF(A7='Données projet'!$A$62,'Données projet'!$B$62,AI6+AH7-AQ6)))</f>
        <v>19.508644077311324</v>
      </c>
      <c r="AJ7" s="13">
        <f>AI7*VLOOKUP('Données projet'!$B$10,Paramètres!$A$1:$I$89,3,0)*VLOOKUP('Données projet'!$B$10,Paramètres!$A$1:$I$89,5,0)</f>
        <v>17.651421161151287</v>
      </c>
      <c r="AK7" s="13">
        <f t="shared" si="35"/>
        <v>5.8238018188481702</v>
      </c>
      <c r="AL7" s="20">
        <f t="shared" si="4"/>
        <v>40.886013356832393</v>
      </c>
      <c r="AM7" s="59">
        <f t="shared" si="5"/>
        <v>302.44156891238794</v>
      </c>
      <c r="AN7" s="59">
        <f ca="1">AVERAGE(OFFSET($AM$3,0,0,'Données projet'!$E$10+1,1))-AVERAGE(OFFSET($H$3,0,0,'Données projet'!$E$10+1,1))</f>
        <v>436.23918637269577</v>
      </c>
      <c r="AO7" s="59">
        <f t="shared" si="36"/>
        <v>611.43967996341894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2.6666666666666665</v>
      </c>
      <c r="BD7" s="12">
        <f>IF('Données projet'!$A$88&gt;35,BD6+BC7-BL6,IF(A7&lt;'Données projet'!$A$88,$BA$205^A7,IF(A7='Données projet'!$A$88,'Données projet'!$B$88,BD6+BC7-BL6)))</f>
        <v>2.6743361672197152</v>
      </c>
      <c r="BE7" s="13">
        <f>BD7*VLOOKUP('Données projet'!$B$11,Paramètres!$A$1:$I$89,3,0)*VLOOKUP('Données projet'!$B$11,Paramètres!$A$1:$I$89,5,0)</f>
        <v>2.0859822104313781</v>
      </c>
      <c r="BF7" s="13">
        <f t="shared" si="37"/>
        <v>0.88245976121767966</v>
      </c>
      <c r="BG7" s="20">
        <f t="shared" si="7"/>
        <v>5.1700364339554419</v>
      </c>
      <c r="BH7" s="59">
        <f t="shared" si="8"/>
        <v>266.72559198951097</v>
      </c>
      <c r="BI7" s="59">
        <f ca="1">AVERAGE(OFFSET($BH$3,0,0,'Données projet'!$E$11+1,1))-AVERAGE(OFFSET($H$3,0,0,'Données projet'!$E$11+1,1))</f>
        <v>288.82868507674738</v>
      </c>
      <c r="BJ7" s="59">
        <f t="shared" si="38"/>
        <v>283.48738729114024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0.73541999999999996</v>
      </c>
      <c r="BY7" s="12">
        <f>IF('Données projet'!$A$114&gt;35,BY6+BX7-CG6,IF(A7&lt;'Données projet'!$A$114,$BV$205^A7,IF(A7='Données projet'!$A$114,'Données projet'!$B$114,BY6+BX7-CG6)))</f>
        <v>1.593367927906485</v>
      </c>
      <c r="BZ7" s="13">
        <f>BY7*VLOOKUP('Données projet'!$B$12,Paramètres!$A$1:$I$89,3,0)*VLOOKUP('Données projet'!$B$12,Paramètres!$A$1:$I$89,5,0)</f>
        <v>1.3919662218191053</v>
      </c>
      <c r="CA7" s="13">
        <f t="shared" si="39"/>
        <v>0.61725182287932423</v>
      </c>
      <c r="CB7" s="20">
        <f t="shared" si="10"/>
        <v>3.4993880945164313</v>
      </c>
      <c r="CC7" s="59">
        <f t="shared" si="11"/>
        <v>265.05494365007195</v>
      </c>
      <c r="CD7" s="59">
        <f ca="1">AVERAGE(OFFSET($CC$3,0,0,'Données projet'!$E$12+1,1))-AVERAGE(OFFSET($H$3,0,0,'Données projet'!$E$12+1,1))</f>
        <v>93.329407403816901</v>
      </c>
      <c r="CE7" s="59">
        <f t="shared" si="40"/>
        <v>90.925148357295313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5.8</v>
      </c>
      <c r="CT7" s="12">
        <f>IF('Données projet'!$A$140&gt;35,CT6+CS7-DB6,IF(A7&lt;'Données projet'!$A$140,$CQ$205^A7,IF(A7='Données projet'!$A$140,'Données projet'!$B$140,CT6+CS7-DB6)))</f>
        <v>5.0742422539753802</v>
      </c>
      <c r="CU7" s="17">
        <f>CT7*VLOOKUP('Données projet'!$B$13,Paramètres!$A$1:$I$89,3,0)*VLOOKUP('Données projet'!$B$13,Paramètres!$A$1:$I$89,5,0)</f>
        <v>4.8286489288829717</v>
      </c>
      <c r="CV7" s="13">
        <f t="shared" si="41"/>
        <v>1.8525945932333423</v>
      </c>
      <c r="CW7" s="20">
        <f t="shared" si="13"/>
        <v>11.636499134352581</v>
      </c>
      <c r="CX7" s="59">
        <f t="shared" si="14"/>
        <v>273.1920546899081</v>
      </c>
      <c r="CY7" s="59">
        <f ca="1">AVERAGE(OFFSET($CX$3,0,0,'Données projet'!$E$13+1,1))-AVERAGE(OFFSET($H$3,0,0,'Données projet'!$E$13+1,1))</f>
        <v>805.04572055352492</v>
      </c>
      <c r="CZ7" s="59">
        <f t="shared" si="42"/>
        <v>708.66645042414962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4.3</v>
      </c>
      <c r="DO7" s="12">
        <f>IF('Données projet'!$A$166&gt;35,DO6+DN7-DW6,IF(A7&lt;'Données projet'!$A$166,$DL$205^A7,IF(A7='Données projet'!$A$166,'Données projet'!$B$166,DO6+DN7-DW6)))</f>
        <v>4.5018122875890398</v>
      </c>
      <c r="DP7" s="17">
        <f>DO7*VLOOKUP('Données projet'!$B$14,Paramètres!$A$1:$I$89,3,0)*VLOOKUP('Données projet'!$B$14,Paramètres!$A$1:$I$89,5,0)</f>
        <v>3.0198156825147278</v>
      </c>
      <c r="DQ7" s="13">
        <f t="shared" si="43"/>
        <v>1.2236656762294473</v>
      </c>
      <c r="DR7" s="20">
        <f t="shared" si="16"/>
        <v>7.390730033146105</v>
      </c>
      <c r="DS7" s="59">
        <f t="shared" si="17"/>
        <v>268.94628558870164</v>
      </c>
      <c r="DT7" s="59">
        <f ca="1">AVERAGE(OFFSET($DS$3,0,0,'Données projet'!$E$14+1,1))-AVERAGE(OFFSET($H$3,0,0,'Données projet'!$E$14+1,1))</f>
        <v>482.69499576870095</v>
      </c>
      <c r="DU7" s="59">
        <f t="shared" si="44"/>
        <v>384.28918352579575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11.5</v>
      </c>
      <c r="EJ7" s="12">
        <f>IF('Données projet'!$A$192&gt;35,EJ6+EI7-ER6,IF(A7&lt;'Données projet'!$A$192,$EG$205^A7,IF(A7='Données projet'!$A$192,'Données projet'!$B$192,EJ6+EI7-ER6)))</f>
        <v>6.6723548683562175</v>
      </c>
      <c r="EK7" s="17">
        <f>EJ7*VLOOKUP('Données projet'!$B$15,Paramètres!$A$1:$I$89,3,0)*VLOOKUP('Données projet'!$B$15,Paramètres!$A$1:$I$89,5,0)</f>
        <v>4.8921705894787788</v>
      </c>
      <c r="EL7" s="13">
        <f t="shared" si="45"/>
        <v>1.8741125629997808</v>
      </c>
      <c r="EM7" s="20">
        <f t="shared" si="19"/>
        <v>11.784609823900155</v>
      </c>
      <c r="EN7" s="59">
        <f t="shared" si="20"/>
        <v>273.3401653794557</v>
      </c>
      <c r="EO7" s="59">
        <f ca="1">AVERAGE(OFFSET($EN$3,0,0,'Données projet'!$E$15+1,1))-AVERAGE(OFFSET($H$3,0,0,'Données projet'!$E$15+1,1))</f>
        <v>197.34725966440715</v>
      </c>
      <c r="EP7" s="59">
        <f t="shared" si="46"/>
        <v>240.16326570529532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11.761904761904763</v>
      </c>
      <c r="FE7" s="12">
        <f>IF('Données projet'!$A$218&gt;35,FE6+FD7-FM6,IF(A7&lt;'Données projet'!$A$218,$FB$205^A7,IF(A7='Données projet'!$A$218,'Données projet'!$B$218,FE6+FD7-FM6)))</f>
        <v>2.855957896408694</v>
      </c>
      <c r="FF7" s="17">
        <f>FE7*VLOOKUP('Données projet'!$B$16,Paramètres!$A$1:$I$89,3,0)*VLOOKUP('Données projet'!$B$16,Paramètres!$A$1:$I$89,5,0)</f>
        <v>1.5964804640924601</v>
      </c>
      <c r="FG7" s="13">
        <f t="shared" si="47"/>
        <v>0.69673468200003985</v>
      </c>
      <c r="FH7" s="20">
        <f t="shared" si="22"/>
        <v>3.9940163794444374</v>
      </c>
      <c r="FI7" s="59">
        <f t="shared" si="23"/>
        <v>265.54957193499996</v>
      </c>
      <c r="FJ7" s="59">
        <f ca="1">AVERAGE(OFFSET($FI$3,0,0,'Données projet'!$E$16+1,1))-AVERAGE(OFFSET($H$3,0,0,'Données projet'!$E$16+1,1))</f>
        <v>346.42094266871379</v>
      </c>
      <c r="FK7" s="59">
        <f t="shared" si="48"/>
        <v>453.48153556975973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7.9</v>
      </c>
      <c r="FZ7" s="12">
        <f>IF('Données projet'!$A$244&gt;35,FZ6+FY7-GH6,IF(A7&lt;'Données projet'!$A$244,$FW$205^A7,IF(A7='Données projet'!$A$244,'Données projet'!$B$244,FZ6+FY7-GH6)))</f>
        <v>2.7525259203889356</v>
      </c>
      <c r="GA7" s="17">
        <f>FZ7*VLOOKUP('Données projet'!$B$17,Paramètres!$A$1:$I$89,3,0)*VLOOKUP('Données projet'!$B$17,Paramètres!$A$1:$I$89,5,0)</f>
        <v>1.2881821307420218</v>
      </c>
      <c r="GB7" s="13">
        <f t="shared" si="49"/>
        <v>0.57640532069082717</v>
      </c>
      <c r="GC7" s="20">
        <f t="shared" si="25"/>
        <v>3.2474898112455457</v>
      </c>
      <c r="GD7" s="59">
        <f t="shared" si="26"/>
        <v>264.80304536680109</v>
      </c>
      <c r="GE7" s="59">
        <f ca="1">AVERAGE(OFFSET($GD$3,0,0,'Données projet'!$E$17+1,1))-AVERAGE(OFFSET($H$3,0,0,'Données projet'!$E$17+1,1))</f>
        <v>198.26255998041</v>
      </c>
      <c r="GF7" s="59">
        <f t="shared" si="50"/>
        <v>238.62101708181166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4.3703703703703702</v>
      </c>
      <c r="GU7" s="12">
        <f>IF('Données projet'!$A$270&gt;35,GU6+GT7-HC6,IF(A7&lt;'Données projet'!$A$270,$GR$205^A7,IF(A7='Données projet'!$A$270,'Données projet'!$B$270,GU6+GT7-HC6)))</f>
        <v>2.0274281983848335</v>
      </c>
      <c r="GV7" s="17">
        <f>GU7*VLOOKUP('Données projet'!$B$18,Paramètres!$A$1:$I$89,3,0)*VLOOKUP('Données projet'!$B$18,Paramètres!$A$1:$I$89,5,0)</f>
        <v>2.335597284539328</v>
      </c>
      <c r="GW7" s="13">
        <f t="shared" si="51"/>
        <v>0.97514344061069858</v>
      </c>
      <c r="GX7" s="20">
        <f t="shared" si="28"/>
        <v>5.7662067629696301</v>
      </c>
      <c r="GY7" s="59">
        <f t="shared" si="29"/>
        <v>267.32176231852515</v>
      </c>
      <c r="GZ7" s="59">
        <f ca="1">AVERAGE(OFFSET($GY$3,0,0,'Données projet'!$E$18+1,1))-AVERAGE(OFFSET($H$3,0,0,'Données projet'!$E$18+1,1))</f>
        <v>604.0566904089452</v>
      </c>
      <c r="HA7" s="59">
        <f t="shared" si="52"/>
        <v>369.5187835902687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</v>
      </c>
      <c r="N8" s="13">
        <f>IF('Données projet'!$A$36&gt;35,N7+M8-V7,IF(A8&lt;'Données projet'!$A$36,$K$205^A8,IF(A8='Données projet'!$A$36,'Données projet'!$B$36,N7+M8-V7)))</f>
        <v>20</v>
      </c>
      <c r="O8" s="13">
        <f>N8*VLOOKUP('Données projet'!$B$9,Paramètres!$A$1:$I$89,3,0)*VLOOKUP('Données projet'!$B$9,Paramètres!$A$1:$I$89,5,0)</f>
        <v>18.096</v>
      </c>
      <c r="P8" s="13">
        <f t="shared" si="33"/>
        <v>5.9532214687411624</v>
      </c>
      <c r="Q8" s="20">
        <f t="shared" si="2"/>
        <v>41.885727391390851</v>
      </c>
      <c r="R8" s="59">
        <f t="shared" si="0"/>
        <v>304.66350516916862</v>
      </c>
      <c r="S8" s="59">
        <f ca="1">AVERAGE(OFFSET($R$3,0,0,'Données projet'!$E$9+1,1))-AVERAGE(OFFSET($H$3,0,0,'Données projet'!$E$9+1,1))</f>
        <v>528.20489749461376</v>
      </c>
      <c r="T8" s="59">
        <f t="shared" si="34"/>
        <v>276.26988364830532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41</v>
      </c>
      <c r="AG8" s="12">
        <f>VLOOKUP(A8,'Données projet'!$A$61:$I$81,9,0)</f>
        <v>8.1999999999999993</v>
      </c>
      <c r="AH8" s="12">
        <f t="array" ref="AH8">INDEX(AG:AG,MIN(IF(ISNUMBER(AG8:AG204),ROW(AG8:AG204),"")))</f>
        <v>8.1999999999999993</v>
      </c>
      <c r="AI8" s="13">
        <f>IF('Données projet'!$A$62&gt;35,AI7+AH8-AQ7,IF(A8&lt;'Données projet'!$A$62,$AF$205^A8,IF(A8='Données projet'!$A$62,'Données projet'!$B$62,AI7+AH8-AQ7)))</f>
        <v>41</v>
      </c>
      <c r="AJ8" s="13">
        <f>AI8*VLOOKUP('Données projet'!$B$10,Paramètres!$A$1:$I$89,3,0)*VLOOKUP('Données projet'!$B$10,Paramètres!$A$1:$I$89,5,0)</f>
        <v>37.096799999999995</v>
      </c>
      <c r="AK8" s="13">
        <f t="shared" si="35"/>
        <v>11.225811641270189</v>
      </c>
      <c r="AL8" s="20">
        <f t="shared" si="4"/>
        <v>84.161881941878903</v>
      </c>
      <c r="AM8" s="59">
        <f t="shared" si="5"/>
        <v>346.93965971965667</v>
      </c>
      <c r="AN8" s="59">
        <f ca="1">AVERAGE(OFFSET($AM$3,0,0,'Données projet'!$E$10+1,1))-AVERAGE(OFFSET($H$3,0,0,'Données projet'!$E$10+1,1))</f>
        <v>436.23918637269577</v>
      </c>
      <c r="AO8" s="59">
        <f t="shared" si="36"/>
        <v>611.43967996341894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8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0.15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1.1955495772214559</v>
      </c>
      <c r="AW8" s="21">
        <f>EXP(-LN(2)/2)*AW7+(1-EXP(-LN(2)/2))/(LN(2)/2)*AQ8*AT8*VLOOKUP('Données projet'!$B$10,Paramètres!$A$1:$I$89,3,0)*0.475*44/12</f>
        <v>0</v>
      </c>
      <c r="AX8" s="21">
        <f t="shared" si="6"/>
        <v>1.1955495772214559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2.6666666666666665</v>
      </c>
      <c r="BD8" s="12">
        <f>IF('Données projet'!$A$88&gt;35,BD7+BC8-BL7,IF(A8&lt;'Données projet'!$A$88,$BA$205^A8,IF(A8='Données projet'!$A$88,'Données projet'!$B$88,BD7+BC8-BL7)))</f>
        <v>3.4199518933533928</v>
      </c>
      <c r="BE8" s="13">
        <f>BD8*VLOOKUP('Données projet'!$B$11,Paramètres!$A$1:$I$89,3,0)*VLOOKUP('Données projet'!$B$11,Paramètres!$A$1:$I$89,5,0)</f>
        <v>2.6675624768156463</v>
      </c>
      <c r="BF8" s="13">
        <f t="shared" si="37"/>
        <v>1.0966471776471767</v>
      </c>
      <c r="BG8" s="20">
        <f t="shared" si="7"/>
        <v>6.5559984815227494</v>
      </c>
      <c r="BH8" s="59">
        <f t="shared" si="8"/>
        <v>269.33377625930052</v>
      </c>
      <c r="BI8" s="59">
        <f ca="1">AVERAGE(OFFSET($BH$3,0,0,'Données projet'!$E$11+1,1))-AVERAGE(OFFSET($H$3,0,0,'Données projet'!$E$11+1,1))</f>
        <v>288.82868507674738</v>
      </c>
      <c r="BJ8" s="59">
        <f t="shared" si="38"/>
        <v>283.48738729114024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0.73541999999999996</v>
      </c>
      <c r="BY8" s="12">
        <f>IF('Données projet'!$A$114&gt;35,BY7+BX8-CG7,IF(A8&lt;'Données projet'!$A$114,$BV$205^A8,IF(A8='Données projet'!$A$114,'Données projet'!$B$114,BY7+BX8-CG7)))</f>
        <v>1.790173356004944</v>
      </c>
      <c r="BZ8" s="13">
        <f>BY8*VLOOKUP('Données projet'!$B$12,Paramètres!$A$1:$I$89,3,0)*VLOOKUP('Données projet'!$B$12,Paramètres!$A$1:$I$89,5,0)</f>
        <v>1.5638954438059194</v>
      </c>
      <c r="CA8" s="13">
        <f t="shared" si="39"/>
        <v>0.68415420611458289</v>
      </c>
      <c r="CB8" s="20">
        <f t="shared" si="10"/>
        <v>3.9153531402782078</v>
      </c>
      <c r="CC8" s="59">
        <f t="shared" si="11"/>
        <v>266.693130918056</v>
      </c>
      <c r="CD8" s="59">
        <f ca="1">AVERAGE(OFFSET($CC$3,0,0,'Données projet'!$E$12+1,1))-AVERAGE(OFFSET($H$3,0,0,'Données projet'!$E$12+1,1))</f>
        <v>93.329407403816901</v>
      </c>
      <c r="CE8" s="59">
        <f t="shared" si="40"/>
        <v>90.925148357295313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5.8</v>
      </c>
      <c r="CT8" s="12">
        <f>IF('Données projet'!$A$140&gt;35,CT7+CS8-DB7,IF(A8&lt;'Données projet'!$A$140,$CQ$205^A8,IF(A8='Données projet'!$A$140,'Données projet'!$B$140,CT7+CS8-DB7)))</f>
        <v>7.6157731058639051</v>
      </c>
      <c r="CU8" s="17">
        <f>CT8*VLOOKUP('Données projet'!$B$13,Paramètres!$A$1:$I$89,3,0)*VLOOKUP('Données projet'!$B$13,Paramètres!$A$1:$I$89,5,0)</f>
        <v>7.2471696875400919</v>
      </c>
      <c r="CV8" s="13">
        <f t="shared" si="41"/>
        <v>2.652142711796817</v>
      </c>
      <c r="CW8" s="20">
        <f t="shared" si="13"/>
        <v>17.241302428845113</v>
      </c>
      <c r="CX8" s="59">
        <f t="shared" si="14"/>
        <v>280.0190802066229</v>
      </c>
      <c r="CY8" s="59">
        <f ca="1">AVERAGE(OFFSET($CX$3,0,0,'Données projet'!$E$13+1,1))-AVERAGE(OFFSET($H$3,0,0,'Données projet'!$E$13+1,1))</f>
        <v>805.04572055352492</v>
      </c>
      <c r="CZ8" s="59">
        <f t="shared" si="42"/>
        <v>708.66645042414962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4.3</v>
      </c>
      <c r="DO8" s="12">
        <f>IF('Données projet'!$A$166&gt;35,DO7+DN8-DW7,IF(A8&lt;'Données projet'!$A$166,$DL$205^A8,IF(A8='Données projet'!$A$166,'Données projet'!$B$166,DO7+DN8-DW7)))</f>
        <v>6.5574385243019986</v>
      </c>
      <c r="DP8" s="17">
        <f>DO8*VLOOKUP('Données projet'!$B$14,Paramètres!$A$1:$I$89,3,0)*VLOOKUP('Données projet'!$B$14,Paramètres!$A$1:$I$89,5,0)</f>
        <v>4.3987297621017802</v>
      </c>
      <c r="DQ8" s="13">
        <f t="shared" si="43"/>
        <v>1.7060668758254369</v>
      </c>
      <c r="DR8" s="20">
        <f t="shared" si="16"/>
        <v>10.632520811056571</v>
      </c>
      <c r="DS8" s="59">
        <f t="shared" si="17"/>
        <v>273.41029858883434</v>
      </c>
      <c r="DT8" s="59">
        <f ca="1">AVERAGE(OFFSET($DS$3,0,0,'Données projet'!$E$14+1,1))-AVERAGE(OFFSET($H$3,0,0,'Données projet'!$E$14+1,1))</f>
        <v>482.69499576870095</v>
      </c>
      <c r="DU8" s="59">
        <f t="shared" si="44"/>
        <v>384.28918352579575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11.5</v>
      </c>
      <c r="EJ8" s="12">
        <f>IF('Données projet'!$A$192&gt;35,EJ7+EI8-ER7,IF(A8&lt;'Données projet'!$A$192,$EG$205^A8,IF(A8='Données projet'!$A$192,'Données projet'!$B$192,EJ7+EI8-ER7)))</f>
        <v>10.723805294763606</v>
      </c>
      <c r="EK8" s="17">
        <f>EJ8*VLOOKUP('Données projet'!$B$15,Paramètres!$A$1:$I$89,3,0)*VLOOKUP('Données projet'!$B$15,Paramètres!$A$1:$I$89,5,0)</f>
        <v>7.8626940421206752</v>
      </c>
      <c r="EL8" s="13">
        <f t="shared" si="45"/>
        <v>2.8502236090239195</v>
      </c>
      <c r="EM8" s="20">
        <f t="shared" si="19"/>
        <v>18.658331575743503</v>
      </c>
      <c r="EN8" s="59">
        <f t="shared" si="20"/>
        <v>281.43610935352126</v>
      </c>
      <c r="EO8" s="59">
        <f ca="1">AVERAGE(OFFSET($EN$3,0,0,'Données projet'!$E$15+1,1))-AVERAGE(OFFSET($H$3,0,0,'Données projet'!$E$15+1,1))</f>
        <v>197.34725966440715</v>
      </c>
      <c r="EP8" s="59">
        <f t="shared" si="46"/>
        <v>240.16326570529532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11.761904761904763</v>
      </c>
      <c r="FE8" s="12">
        <f>IF('Données projet'!$A$218&gt;35,FE7+FD8-FM7,IF(A8&lt;'Données projet'!$A$218,$FB$205^A8,IF(A8='Données projet'!$A$218,'Données projet'!$B$218,FE7+FD8-FM7)))</f>
        <v>3.7126990831002966</v>
      </c>
      <c r="FF8" s="17">
        <f>FE8*VLOOKUP('Données projet'!$B$16,Paramètres!$A$1:$I$89,3,0)*VLOOKUP('Données projet'!$B$16,Paramètres!$A$1:$I$89,5,0)</f>
        <v>2.0753987874530657</v>
      </c>
      <c r="FG8" s="13">
        <f t="shared" si="47"/>
        <v>0.87850250076144254</v>
      </c>
      <c r="FH8" s="20">
        <f t="shared" si="22"/>
        <v>5.1447114103069351</v>
      </c>
      <c r="FI8" s="59">
        <f t="shared" si="23"/>
        <v>267.92248918808468</v>
      </c>
      <c r="FJ8" s="59">
        <f ca="1">AVERAGE(OFFSET($FI$3,0,0,'Données projet'!$E$16+1,1))-AVERAGE(OFFSET($H$3,0,0,'Données projet'!$E$16+1,1))</f>
        <v>346.42094266871379</v>
      </c>
      <c r="FK8" s="59">
        <f t="shared" si="48"/>
        <v>453.48153556975973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7.9</v>
      </c>
      <c r="FZ8" s="12">
        <f>IF('Données projet'!$A$244&gt;35,FZ7+FY8-GH7,IF(A8&lt;'Données projet'!$A$244,$FW$205^A8,IF(A8='Données projet'!$A$244,'Données projet'!$B$244,FZ7+FY8-GH7)))</f>
        <v>3.5453920925585285</v>
      </c>
      <c r="GA8" s="17">
        <f>FZ8*VLOOKUP('Données projet'!$B$17,Paramètres!$A$1:$I$89,3,0)*VLOOKUP('Données projet'!$B$17,Paramètres!$A$1:$I$89,5,0)</f>
        <v>1.6592434993173915</v>
      </c>
      <c r="GB8" s="13">
        <f t="shared" si="49"/>
        <v>0.72088277944126433</v>
      </c>
      <c r="GC8" s="20">
        <f t="shared" si="25"/>
        <v>4.1453866021713255</v>
      </c>
      <c r="GD8" s="59">
        <f t="shared" si="26"/>
        <v>266.92316437994907</v>
      </c>
      <c r="GE8" s="59">
        <f ca="1">AVERAGE(OFFSET($GD$3,0,0,'Données projet'!$E$17+1,1))-AVERAGE(OFFSET($H$3,0,0,'Données projet'!$E$17+1,1))</f>
        <v>198.26255998041</v>
      </c>
      <c r="GF8" s="59">
        <f t="shared" si="50"/>
        <v>238.62101708181166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4.3703703703703702</v>
      </c>
      <c r="GU8" s="12">
        <f>IF('Données projet'!$A$270&gt;35,GU7+GT8-HC7,IF(A8&lt;'Données projet'!$A$270,$GR$205^A8,IF(A8='Données projet'!$A$270,'Données projet'!$B$270,GU7+GT8-HC7)))</f>
        <v>2.4192561469903198</v>
      </c>
      <c r="GV8" s="17">
        <f>GU8*VLOOKUP('Données projet'!$B$18,Paramètres!$A$1:$I$89,3,0)*VLOOKUP('Données projet'!$B$18,Paramètres!$A$1:$I$89,5,0)</f>
        <v>2.7869830813328482</v>
      </c>
      <c r="GW8" s="13">
        <f t="shared" si="51"/>
        <v>1.1399157673717384</v>
      </c>
      <c r="GX8" s="20">
        <f t="shared" si="28"/>
        <v>6.8393488281604879</v>
      </c>
      <c r="GY8" s="59">
        <f t="shared" si="29"/>
        <v>269.61712660593827</v>
      </c>
      <c r="GZ8" s="59">
        <f ca="1">AVERAGE(OFFSET($GY$3,0,0,'Données projet'!$E$18+1,1))-AVERAGE(OFFSET($H$3,0,0,'Données projet'!$E$18+1,1))</f>
        <v>604.0566904089452</v>
      </c>
      <c r="HA8" s="59">
        <f t="shared" si="52"/>
        <v>369.5187835902687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</v>
      </c>
      <c r="N9" s="13">
        <f>IF('Données projet'!$A$36&gt;35,N8+M9-V8,IF(A9&lt;'Données projet'!$A$36,$K$205^A9,IF(A9='Données projet'!$A$36,'Données projet'!$B$36,N8+M9-V8)))</f>
        <v>24</v>
      </c>
      <c r="O9" s="13">
        <f>N9*VLOOKUP('Données projet'!$B$9,Paramètres!$A$1:$I$89,3,0)*VLOOKUP('Données projet'!$B$9,Paramètres!$A$1:$I$89,5,0)</f>
        <v>21.715199999999999</v>
      </c>
      <c r="P9" s="13">
        <f t="shared" si="33"/>
        <v>6.9938544235075568</v>
      </c>
      <c r="Q9" s="20">
        <f t="shared" si="2"/>
        <v>50.00160312094232</v>
      </c>
      <c r="R9" s="59">
        <f t="shared" si="0"/>
        <v>314.00160312094232</v>
      </c>
      <c r="S9" s="59">
        <f ca="1">AVERAGE(OFFSET($R$3,0,0,'Données projet'!$E$9+1,1))-AVERAGE(OFFSET($H$3,0,0,'Données projet'!$E$9+1,1))</f>
        <v>528.20489749461376</v>
      </c>
      <c r="T9" s="59">
        <f t="shared" si="34"/>
        <v>276.26988364830532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17.600000000000001</v>
      </c>
      <c r="AI9" s="13">
        <f>IF('Données projet'!$A$62&gt;35,AI8+AH9-AQ8,IF(A9&lt;'Données projet'!$A$62,$AF$205^A9,IF(A9='Données projet'!$A$62,'Données projet'!$B$62,AI8+AH9-AQ8)))</f>
        <v>50.6</v>
      </c>
      <c r="AJ9" s="13">
        <f>AI9*VLOOKUP('Données projet'!$B$10,Paramètres!$A$1:$I$89,3,0)*VLOOKUP('Données projet'!$B$10,Paramètres!$A$1:$I$89,5,0)</f>
        <v>45.782879999999999</v>
      </c>
      <c r="AK9" s="13">
        <f t="shared" si="35"/>
        <v>13.519148289060759</v>
      </c>
      <c r="AL9" s="20">
        <f t="shared" si="4"/>
        <v>103.28436593678082</v>
      </c>
      <c r="AM9" s="59">
        <f t="shared" si="5"/>
        <v>367.28436593678083</v>
      </c>
      <c r="AN9" s="59">
        <f ca="1">AVERAGE(OFFSET($AM$3,0,0,'Données projet'!$E$10+1,1))-AVERAGE(OFFSET($H$3,0,0,'Données projet'!$E$10+1,1))</f>
        <v>436.23918637269577</v>
      </c>
      <c r="AO9" s="59">
        <f t="shared" si="36"/>
        <v>611.43967996341894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1.1628572111611155</v>
      </c>
      <c r="AW9" s="21">
        <f>EXP(-LN(2)/2)*AW8+(1-EXP(-LN(2)/2))/(LN(2)/2)*AQ9*AT9*VLOOKUP('Données projet'!$B$10,Paramètres!$A$1:$I$89,3,0)*0.475*44/12</f>
        <v>0</v>
      </c>
      <c r="AX9" s="21">
        <f t="shared" si="6"/>
        <v>1.1628572111611155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2.6666666666666665</v>
      </c>
      <c r="BD9" s="12">
        <f>IF('Données projet'!$A$88&gt;35,BD8+BC9-BL8,IF(A9&lt;'Données projet'!$A$88,$BA$205^A9,IF(A9='Données projet'!$A$88,'Données projet'!$B$88,BD8+BC9-BL8)))</f>
        <v>4.3734482957731098</v>
      </c>
      <c r="BE9" s="13">
        <f>BD9*VLOOKUP('Données projet'!$B$11,Paramètres!$A$1:$I$89,3,0)*VLOOKUP('Données projet'!$B$11,Paramètres!$A$1:$I$89,5,0)</f>
        <v>3.4112896707030256</v>
      </c>
      <c r="BF9" s="13">
        <f t="shared" si="37"/>
        <v>1.3628213830192535</v>
      </c>
      <c r="BG9" s="20">
        <f t="shared" si="7"/>
        <v>8.3149100852329703</v>
      </c>
      <c r="BH9" s="59">
        <f t="shared" si="8"/>
        <v>272.31491008523295</v>
      </c>
      <c r="BI9" s="59">
        <f ca="1">AVERAGE(OFFSET($BH$3,0,0,'Données projet'!$E$11+1,1))-AVERAGE(OFFSET($H$3,0,0,'Données projet'!$E$11+1,1))</f>
        <v>288.82868507674738</v>
      </c>
      <c r="BJ9" s="59">
        <f t="shared" si="38"/>
        <v>283.48738729114024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0.73541999999999996</v>
      </c>
      <c r="BY9" s="12">
        <f>IF('Données projet'!$A$114&gt;35,BY8+BX9-CG8,IF(A9&lt;'Données projet'!$A$114,$BV$205^A9,IF(A9='Données projet'!$A$114,'Données projet'!$B$114,BY8+BX9-CG8)))</f>
        <v>2.01128727924169</v>
      </c>
      <c r="BZ9" s="13">
        <f>BY9*VLOOKUP('Données projet'!$B$12,Paramètres!$A$1:$I$89,3,0)*VLOOKUP('Données projet'!$B$12,Paramètres!$A$1:$I$89,5,0)</f>
        <v>1.7570605671455406</v>
      </c>
      <c r="CA9" s="13">
        <f t="shared" si="39"/>
        <v>0.75830797155180596</v>
      </c>
      <c r="CB9" s="20">
        <f t="shared" si="10"/>
        <v>4.3809335382312122</v>
      </c>
      <c r="CC9" s="59">
        <f t="shared" si="11"/>
        <v>268.3809335382312</v>
      </c>
      <c r="CD9" s="59">
        <f ca="1">AVERAGE(OFFSET($CC$3,0,0,'Données projet'!$E$12+1,1))-AVERAGE(OFFSET($H$3,0,0,'Données projet'!$E$12+1,1))</f>
        <v>93.329407403816901</v>
      </c>
      <c r="CE9" s="59">
        <f t="shared" si="40"/>
        <v>90.925148357295313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5.8</v>
      </c>
      <c r="CT9" s="12">
        <f>IF('Données projet'!$A$140&gt;35,CT8+CS9-DB8,IF(A9&lt;'Données projet'!$A$140,$CQ$205^A9,IF(A9='Données projet'!$A$140,'Données projet'!$B$140,CT8+CS9-DB8)))</f>
        <v>11.430278078379139</v>
      </c>
      <c r="CU9" s="17">
        <f>CT9*VLOOKUP('Données projet'!$B$13,Paramètres!$A$1:$I$89,3,0)*VLOOKUP('Données projet'!$B$13,Paramètres!$A$1:$I$89,5,0)</f>
        <v>10.877052619385589</v>
      </c>
      <c r="CV9" s="13">
        <f t="shared" si="41"/>
        <v>3.7967621137556828</v>
      </c>
      <c r="CW9" s="20">
        <f t="shared" si="13"/>
        <v>25.556893993554382</v>
      </c>
      <c r="CX9" s="59">
        <f t="shared" si="14"/>
        <v>289.55689399355435</v>
      </c>
      <c r="CY9" s="59">
        <f ca="1">AVERAGE(OFFSET($CX$3,0,0,'Données projet'!$E$13+1,1))-AVERAGE(OFFSET($H$3,0,0,'Données projet'!$E$13+1,1))</f>
        <v>805.04572055352492</v>
      </c>
      <c r="CZ9" s="59">
        <f t="shared" si="42"/>
        <v>708.66645042414962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4.3</v>
      </c>
      <c r="DO9" s="12">
        <f>IF('Données projet'!$A$166&gt;35,DO8+DN9-DW8,IF(A9&lt;'Données projet'!$A$166,$DL$205^A9,IF(A9='Données projet'!$A$166,'Données projet'!$B$166,DO8+DN9-DW8)))</f>
        <v>9.5517087903788997</v>
      </c>
      <c r="DP9" s="17">
        <f>DO9*VLOOKUP('Données projet'!$B$14,Paramètres!$A$1:$I$89,3,0)*VLOOKUP('Données projet'!$B$14,Paramètres!$A$1:$I$89,5,0)</f>
        <v>6.4072862565861666</v>
      </c>
      <c r="DQ9" s="13">
        <f t="shared" si="43"/>
        <v>2.3786433184573479</v>
      </c>
      <c r="DR9" s="20">
        <f t="shared" si="16"/>
        <v>15.30216067653412</v>
      </c>
      <c r="DS9" s="59">
        <f t="shared" si="17"/>
        <v>279.30216067653413</v>
      </c>
      <c r="DT9" s="59">
        <f ca="1">AVERAGE(OFFSET($DS$3,0,0,'Données projet'!$E$14+1,1))-AVERAGE(OFFSET($H$3,0,0,'Données projet'!$E$14+1,1))</f>
        <v>482.69499576870095</v>
      </c>
      <c r="DU9" s="59">
        <f t="shared" si="44"/>
        <v>384.28918352579575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11.5</v>
      </c>
      <c r="EJ9" s="12">
        <f>IF('Données projet'!$A$192&gt;35,EJ8+EI9-ER8,IF(A9&lt;'Données projet'!$A$192,$EG$205^A9,IF(A9='Données projet'!$A$192,'Données projet'!$B$192,EJ8+EI9-ER8)))</f>
        <v>17.235294325454703</v>
      </c>
      <c r="EK9" s="17">
        <f>EJ9*VLOOKUP('Données projet'!$B$15,Paramètres!$A$1:$I$89,3,0)*VLOOKUP('Données projet'!$B$15,Paramètres!$A$1:$I$89,5,0)</f>
        <v>12.636917799423388</v>
      </c>
      <c r="EL9" s="13">
        <f t="shared" si="45"/>
        <v>4.3347314253281013</v>
      </c>
      <c r="EM9" s="20">
        <f t="shared" si="19"/>
        <v>29.558955733108835</v>
      </c>
      <c r="EN9" s="59">
        <f t="shared" si="20"/>
        <v>293.55895573310886</v>
      </c>
      <c r="EO9" s="59">
        <f ca="1">AVERAGE(OFFSET($EN$3,0,0,'Données projet'!$E$15+1,1))-AVERAGE(OFFSET($H$3,0,0,'Données projet'!$E$15+1,1))</f>
        <v>197.34725966440715</v>
      </c>
      <c r="EP9" s="59">
        <f t="shared" si="46"/>
        <v>240.16326570529532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11.761904761904763</v>
      </c>
      <c r="FE9" s="12">
        <f>IF('Données projet'!$A$218&gt;35,FE8+FD9-FM8,IF(A9&lt;'Données projet'!$A$218,$FB$205^A9,IF(A9='Données projet'!$A$218,'Données projet'!$B$218,FE8+FD9-FM8)))</f>
        <v>4.8264487718768674</v>
      </c>
      <c r="FF9" s="17">
        <f>FE9*VLOOKUP('Données projet'!$B$16,Paramètres!$A$1:$I$89,3,0)*VLOOKUP('Données projet'!$B$16,Paramètres!$A$1:$I$89,5,0)</f>
        <v>2.697984863479169</v>
      </c>
      <c r="FG9" s="13">
        <f t="shared" si="47"/>
        <v>1.1076908668141547</v>
      </c>
      <c r="FH9" s="20">
        <f t="shared" si="22"/>
        <v>6.6282185635942055</v>
      </c>
      <c r="FI9" s="59">
        <f t="shared" si="23"/>
        <v>270.6282185635942</v>
      </c>
      <c r="FJ9" s="59">
        <f ca="1">AVERAGE(OFFSET($FI$3,0,0,'Données projet'!$E$16+1,1))-AVERAGE(OFFSET($H$3,0,0,'Données projet'!$E$16+1,1))</f>
        <v>346.42094266871379</v>
      </c>
      <c r="FK9" s="59">
        <f t="shared" si="48"/>
        <v>453.48153556975973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7.9</v>
      </c>
      <c r="FZ9" s="12">
        <f>IF('Données projet'!$A$244&gt;35,FZ8+FY9-GH8,IF(A9&lt;'Données projet'!$A$244,$FW$205^A9,IF(A9='Données projet'!$A$244,'Données projet'!$B$244,FZ8+FY9-GH8)))</f>
        <v>4.566643676946887</v>
      </c>
      <c r="GA9" s="17">
        <f>FZ9*VLOOKUP('Données projet'!$B$17,Paramètres!$A$1:$I$89,3,0)*VLOOKUP('Données projet'!$B$17,Paramètres!$A$1:$I$89,5,0)</f>
        <v>2.1371892408111433</v>
      </c>
      <c r="GB9" s="13">
        <f t="shared" si="49"/>
        <v>0.9015738804633705</v>
      </c>
      <c r="GC9" s="20">
        <f t="shared" si="25"/>
        <v>5.292512436219778</v>
      </c>
      <c r="GD9" s="59">
        <f t="shared" si="26"/>
        <v>269.29251243621979</v>
      </c>
      <c r="GE9" s="59">
        <f ca="1">AVERAGE(OFFSET($GD$3,0,0,'Données projet'!$E$17+1,1))-AVERAGE(OFFSET($H$3,0,0,'Données projet'!$E$17+1,1))</f>
        <v>198.26255998041</v>
      </c>
      <c r="GF9" s="59">
        <f t="shared" si="50"/>
        <v>238.62101708181166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4.3703703703703702</v>
      </c>
      <c r="GU9" s="12">
        <f>IF('Données projet'!$A$270&gt;35,GU8+GT9-HC8,IF(A9&lt;'Données projet'!$A$270,$GR$205^A9,IF(A9='Données projet'!$A$270,'Données projet'!$B$270,GU8+GT9-HC8)))</f>
        <v>2.8868101516064182</v>
      </c>
      <c r="GV9" s="17">
        <f>GU9*VLOOKUP('Données projet'!$B$18,Paramètres!$A$1:$I$89,3,0)*VLOOKUP('Données projet'!$B$18,Paramètres!$A$1:$I$89,5,0)</f>
        <v>3.3256052946505936</v>
      </c>
      <c r="GW9" s="13">
        <f t="shared" si="51"/>
        <v>1.332530069513594</v>
      </c>
      <c r="GX9" s="20">
        <f t="shared" si="28"/>
        <v>8.11291909258596</v>
      </c>
      <c r="GY9" s="59">
        <f t="shared" si="29"/>
        <v>272.11291909258597</v>
      </c>
      <c r="GZ9" s="59">
        <f ca="1">AVERAGE(OFFSET($GY$3,0,0,'Données projet'!$E$18+1,1))-AVERAGE(OFFSET($H$3,0,0,'Données projet'!$E$18+1,1))</f>
        <v>604.0566904089452</v>
      </c>
      <c r="HA9" s="59">
        <f t="shared" si="52"/>
        <v>369.5187835902687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</v>
      </c>
      <c r="N10" s="13">
        <f>IF('Données projet'!$A$36&gt;35,N9+M10-V9,IF(A10&lt;'Données projet'!$A$36,$K$205^A10,IF(A10='Données projet'!$A$36,'Données projet'!$B$36,N9+M10-V9)))</f>
        <v>28</v>
      </c>
      <c r="O10" s="13">
        <f>N10*VLOOKUP('Données projet'!$B$9,Paramètres!$A$1:$I$89,3,0)*VLOOKUP('Données projet'!$B$9,Paramètres!$A$1:$I$89,5,0)</f>
        <v>25.334399999999999</v>
      </c>
      <c r="P10" s="13">
        <f t="shared" si="33"/>
        <v>8.0143955200794572</v>
      </c>
      <c r="Q10" s="20">
        <f t="shared" si="2"/>
        <v>58.082485530805052</v>
      </c>
      <c r="R10" s="59">
        <f t="shared" si="0"/>
        <v>323.30470775302729</v>
      </c>
      <c r="S10" s="59">
        <f ca="1">AVERAGE(OFFSET($R$3,0,0,'Données projet'!$E$9+1,1))-AVERAGE(OFFSET($H$3,0,0,'Données projet'!$E$9+1,1))</f>
        <v>528.20489749461376</v>
      </c>
      <c r="T10" s="59">
        <f t="shared" si="34"/>
        <v>276.26988364830532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17.600000000000001</v>
      </c>
      <c r="AI10" s="13">
        <f>IF('Données projet'!$A$62&gt;35,AI9+AH10-AQ9,IF(A10&lt;'Données projet'!$A$62,$AF$205^A10,IF(A10='Données projet'!$A$62,'Données projet'!$B$62,AI9+AH10-AQ9)))</f>
        <v>68.2</v>
      </c>
      <c r="AJ10" s="13">
        <f>AI10*VLOOKUP('Données projet'!$B$10,Paramètres!$A$1:$I$89,3,0)*VLOOKUP('Données projet'!$B$10,Paramètres!$A$1:$I$89,5,0)</f>
        <v>61.707360000000001</v>
      </c>
      <c r="AK10" s="13">
        <f t="shared" si="35"/>
        <v>17.599235734890414</v>
      </c>
      <c r="AL10" s="20">
        <f t="shared" si="4"/>
        <v>138.12565423826746</v>
      </c>
      <c r="AM10" s="59">
        <f t="shared" si="5"/>
        <v>403.34787646048972</v>
      </c>
      <c r="AN10" s="59">
        <f ca="1">AVERAGE(OFFSET($AM$3,0,0,'Données projet'!$E$10+1,1))-AVERAGE(OFFSET($H$3,0,0,'Données projet'!$E$10+1,1))</f>
        <v>436.23918637269577</v>
      </c>
      <c r="AO10" s="59">
        <f t="shared" si="36"/>
        <v>611.43967996341894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1.1310588195699118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1.1310588195699118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2.6666666666666665</v>
      </c>
      <c r="BD10" s="12">
        <f>IF('Données projet'!$A$88&gt;35,BD9+BC10-BL9,IF(A10&lt;'Données projet'!$A$88,$BA$205^A10,IF(A10='Données projet'!$A$88,'Données projet'!$B$88,BD9+BC10-BL9)))</f>
        <v>5.5927833467405659</v>
      </c>
      <c r="BE10" s="13">
        <f>BD10*VLOOKUP('Données projet'!$B$11,Paramètres!$A$1:$I$89,3,0)*VLOOKUP('Données projet'!$B$11,Paramètres!$A$1:$I$89,5,0)</f>
        <v>4.3623710104576414</v>
      </c>
      <c r="BF10" s="13">
        <f t="shared" si="37"/>
        <v>1.6936004212396314</v>
      </c>
      <c r="BG10" s="20">
        <f t="shared" si="7"/>
        <v>10.54748357687275</v>
      </c>
      <c r="BH10" s="59">
        <f t="shared" si="8"/>
        <v>275.76970579909499</v>
      </c>
      <c r="BI10" s="59">
        <f ca="1">AVERAGE(OFFSET($BH$3,0,0,'Données projet'!$E$11+1,1))-AVERAGE(OFFSET($H$3,0,0,'Données projet'!$E$11+1,1))</f>
        <v>288.82868507674738</v>
      </c>
      <c r="BJ10" s="59">
        <f t="shared" si="38"/>
        <v>283.48738729114024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0.73541999999999996</v>
      </c>
      <c r="BY10" s="12">
        <f>IF('Données projet'!$A$114&gt;35,BY9+BX10-CG9,IF(A10&lt;'Données projet'!$A$114,$BV$205^A10,IF(A10='Données projet'!$A$114,'Données projet'!$B$114,BY9+BX10-CG9)))</f>
        <v>2.2597121703716545</v>
      </c>
      <c r="BZ10" s="13">
        <f>BY10*VLOOKUP('Données projet'!$B$12,Paramètres!$A$1:$I$89,3,0)*VLOOKUP('Données projet'!$B$12,Paramètres!$A$1:$I$89,5,0)</f>
        <v>1.9740845520366777</v>
      </c>
      <c r="CA10" s="13">
        <f t="shared" si="39"/>
        <v>0.8404990783944809</v>
      </c>
      <c r="CB10" s="20">
        <f t="shared" si="10"/>
        <v>4.9020664896676012</v>
      </c>
      <c r="CC10" s="59">
        <f t="shared" si="11"/>
        <v>270.12428871188985</v>
      </c>
      <c r="CD10" s="59">
        <f ca="1">AVERAGE(OFFSET($CC$3,0,0,'Données projet'!$E$12+1,1))-AVERAGE(OFFSET($H$3,0,0,'Données projet'!$E$12+1,1))</f>
        <v>93.329407403816901</v>
      </c>
      <c r="CE10" s="59">
        <f t="shared" si="40"/>
        <v>90.925148357295313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5.8</v>
      </c>
      <c r="CT10" s="12">
        <f>IF('Données projet'!$A$140&gt;35,CT9+CS10-DB9,IF(A10&lt;'Données projet'!$A$140,$CQ$205^A10,IF(A10='Données projet'!$A$140,'Données projet'!$B$140,CT9+CS10-DB9)))</f>
        <v>17.155350498622049</v>
      </c>
      <c r="CU10" s="17">
        <f>CT10*VLOOKUP('Données projet'!$B$13,Paramètres!$A$1:$I$89,3,0)*VLOOKUP('Données projet'!$B$13,Paramètres!$A$1:$I$89,5,0)</f>
        <v>16.32503153448874</v>
      </c>
      <c r="CV10" s="13">
        <f t="shared" si="41"/>
        <v>5.4353796589943446</v>
      </c>
      <c r="CW10" s="20">
        <f t="shared" si="13"/>
        <v>37.899382828649706</v>
      </c>
      <c r="CX10" s="59">
        <f t="shared" si="14"/>
        <v>303.12160505087195</v>
      </c>
      <c r="CY10" s="59">
        <f ca="1">AVERAGE(OFFSET($CX$3,0,0,'Données projet'!$E$13+1,1))-AVERAGE(OFFSET($H$3,0,0,'Données projet'!$E$13+1,1))</f>
        <v>805.04572055352492</v>
      </c>
      <c r="CZ10" s="59">
        <f t="shared" si="42"/>
        <v>708.66645042414962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4.3</v>
      </c>
      <c r="DO10" s="12">
        <f>IF('Données projet'!$A$166&gt;35,DO9+DN10-DW9,IF(A10&lt;'Données projet'!$A$166,$DL$205^A10,IF(A10='Données projet'!$A$166,'Données projet'!$B$166,DO9+DN10-DW9)))</f>
        <v>13.913228538564606</v>
      </c>
      <c r="DP10" s="17">
        <f>DO10*VLOOKUP('Données projet'!$B$14,Paramètres!$A$1:$I$89,3,0)*VLOOKUP('Données projet'!$B$14,Paramètres!$A$1:$I$89,5,0)</f>
        <v>9.3329937036691391</v>
      </c>
      <c r="DQ10" s="13">
        <f t="shared" si="43"/>
        <v>3.3163670877229423</v>
      </c>
      <c r="DR10" s="20">
        <f t="shared" si="16"/>
        <v>22.030970045007873</v>
      </c>
      <c r="DS10" s="59">
        <f t="shared" si="17"/>
        <v>287.25319226723008</v>
      </c>
      <c r="DT10" s="59">
        <f ca="1">AVERAGE(OFFSET($DS$3,0,0,'Données projet'!$E$14+1,1))-AVERAGE(OFFSET($H$3,0,0,'Données projet'!$E$14+1,1))</f>
        <v>482.69499576870095</v>
      </c>
      <c r="DU10" s="59">
        <f t="shared" si="44"/>
        <v>384.28918352579575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11.5</v>
      </c>
      <c r="EJ10" s="12">
        <f>IF('Données projet'!$A$192&gt;35,EJ9+EI10-ER9,IF(A10&lt;'Données projet'!$A$192,$EG$205^A10,IF(A10='Données projet'!$A$192,'Données projet'!$B$192,EJ9+EI10-ER9)))</f>
        <v>27.700556129091794</v>
      </c>
      <c r="EK10" s="17">
        <f>EJ10*VLOOKUP('Données projet'!$B$15,Paramètres!$A$1:$I$89,3,0)*VLOOKUP('Données projet'!$B$15,Paramètres!$A$1:$I$89,5,0)</f>
        <v>20.310047753850103</v>
      </c>
      <c r="EL10" s="13">
        <f t="shared" si="45"/>
        <v>6.5924289133797958</v>
      </c>
      <c r="EM10" s="20">
        <f t="shared" si="19"/>
        <v>46.855146862092077</v>
      </c>
      <c r="EN10" s="59">
        <f t="shared" si="20"/>
        <v>312.07736908431428</v>
      </c>
      <c r="EO10" s="59">
        <f ca="1">AVERAGE(OFFSET($EN$3,0,0,'Données projet'!$E$15+1,1))-AVERAGE(OFFSET($H$3,0,0,'Données projet'!$E$15+1,1))</f>
        <v>197.34725966440715</v>
      </c>
      <c r="EP10" s="59">
        <f t="shared" si="46"/>
        <v>240.16326570529532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11.761904761904763</v>
      </c>
      <c r="FE10" s="12">
        <f>IF('Données projet'!$A$218&gt;35,FE9+FD10-FM9,IF(A10&lt;'Données projet'!$A$218,$FB$205^A10,IF(A10='Données projet'!$A$218,'Données projet'!$B$218,FE9+FD10-FM9)))</f>
        <v>6.2743053574111673</v>
      </c>
      <c r="FF10" s="17">
        <f>FE10*VLOOKUP('Données projet'!$B$16,Paramètres!$A$1:$I$89,3,0)*VLOOKUP('Données projet'!$B$16,Paramètres!$A$1:$I$89,5,0)</f>
        <v>3.5073366947928428</v>
      </c>
      <c r="FG10" s="13">
        <f t="shared" si="47"/>
        <v>1.3966711026548113</v>
      </c>
      <c r="FH10" s="20">
        <f t="shared" si="22"/>
        <v>8.5411469138879976</v>
      </c>
      <c r="FI10" s="59">
        <f t="shared" si="23"/>
        <v>273.76336913611021</v>
      </c>
      <c r="FJ10" s="59">
        <f ca="1">AVERAGE(OFFSET($FI$3,0,0,'Données projet'!$E$16+1,1))-AVERAGE(OFFSET($H$3,0,0,'Données projet'!$E$16+1,1))</f>
        <v>346.42094266871379</v>
      </c>
      <c r="FK10" s="59">
        <f t="shared" si="48"/>
        <v>453.48153556975973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7.9</v>
      </c>
      <c r="FZ10" s="12">
        <f>IF('Données projet'!$A$244&gt;35,FZ9+FY10-GH9,IF(A10&lt;'Données projet'!$A$244,$FW$205^A10,IF(A10='Données projet'!$A$244,'Données projet'!$B$244,FZ9+FY10-GH9)))</f>
        <v>5.8820671812210037</v>
      </c>
      <c r="GA10" s="17">
        <f>FZ10*VLOOKUP('Données projet'!$B$17,Paramètres!$A$1:$I$89,3,0)*VLOOKUP('Données projet'!$B$17,Paramètres!$A$1:$I$89,5,0)</f>
        <v>2.7528074408114294</v>
      </c>
      <c r="GB10" s="13">
        <f t="shared" si="49"/>
        <v>1.1275556652411438</v>
      </c>
      <c r="GC10" s="20">
        <f t="shared" si="25"/>
        <v>6.7582990763748976</v>
      </c>
      <c r="GD10" s="59">
        <f t="shared" si="26"/>
        <v>271.98052129859713</v>
      </c>
      <c r="GE10" s="59">
        <f ca="1">AVERAGE(OFFSET($GD$3,0,0,'Données projet'!$E$17+1,1))-AVERAGE(OFFSET($H$3,0,0,'Données projet'!$E$17+1,1))</f>
        <v>198.26255998041</v>
      </c>
      <c r="GF10" s="59">
        <f t="shared" si="50"/>
        <v>238.62101708181166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4.3703703703703702</v>
      </c>
      <c r="GU10" s="12">
        <f>IF('Données projet'!$A$270&gt;35,GU9+GT10-HC9,IF(A10&lt;'Données projet'!$A$270,$GR$205^A10,IF(A10='Données projet'!$A$270,'Données projet'!$B$270,GU9+GT10-HC9)))</f>
        <v>3.4447252978091596</v>
      </c>
      <c r="GV10" s="17">
        <f>GU10*VLOOKUP('Données projet'!$B$18,Paramètres!$A$1:$I$89,3,0)*VLOOKUP('Données projet'!$B$18,Paramètres!$A$1:$I$89,5,0)</f>
        <v>3.9683235430761519</v>
      </c>
      <c r="GW10" s="13">
        <f t="shared" si="51"/>
        <v>1.5576908724158824</v>
      </c>
      <c r="GX10" s="20">
        <f t="shared" si="28"/>
        <v>9.6244751069819596</v>
      </c>
      <c r="GY10" s="59">
        <f t="shared" si="29"/>
        <v>274.84669732920418</v>
      </c>
      <c r="GZ10" s="59">
        <f ca="1">AVERAGE(OFFSET($GY$3,0,0,'Données projet'!$E$18+1,1))-AVERAGE(OFFSET($H$3,0,0,'Données projet'!$E$18+1,1))</f>
        <v>604.0566904089452</v>
      </c>
      <c r="HA10" s="59">
        <f t="shared" si="52"/>
        <v>369.5187835902687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</v>
      </c>
      <c r="N11" s="13">
        <f>IF('Données projet'!$A$36&gt;35,N10+M11-V10,IF(A11&lt;'Données projet'!$A$36,$K$205^A11,IF(A11='Données projet'!$A$36,'Données projet'!$B$36,N10+M11-V10)))</f>
        <v>32</v>
      </c>
      <c r="O11" s="13">
        <f>N11*VLOOKUP('Données projet'!$B$9,Paramètres!$A$1:$I$89,3,0)*VLOOKUP('Données projet'!$B$9,Paramètres!$A$1:$I$89,5,0)</f>
        <v>28.953599999999998</v>
      </c>
      <c r="P11" s="13">
        <f t="shared" si="33"/>
        <v>9.0180462007869302</v>
      </c>
      <c r="Q11" s="20">
        <f t="shared" si="2"/>
        <v>66.133950466370564</v>
      </c>
      <c r="R11" s="59">
        <f t="shared" si="0"/>
        <v>332.57839491081501</v>
      </c>
      <c r="S11" s="59">
        <f ca="1">AVERAGE(OFFSET($R$3,0,0,'Données projet'!$E$9+1,1))-AVERAGE(OFFSET($H$3,0,0,'Données projet'!$E$9+1,1))</f>
        <v>528.20489749461376</v>
      </c>
      <c r="T11" s="59">
        <f t="shared" si="34"/>
        <v>276.26988364830532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17.600000000000001</v>
      </c>
      <c r="AI11" s="13">
        <f>IF('Données projet'!$A$62&gt;35,AI10+AH11-AQ10,IF(A11&lt;'Données projet'!$A$62,$AF$205^A11,IF(A11='Données projet'!$A$62,'Données projet'!$B$62,AI10+AH11-AQ10)))</f>
        <v>85.800000000000011</v>
      </c>
      <c r="AJ11" s="13">
        <f>AI11*VLOOKUP('Données projet'!$B$10,Paramètres!$A$1:$I$89,3,0)*VLOOKUP('Données projet'!$B$10,Paramètres!$A$1:$I$89,5,0)</f>
        <v>77.631840000000011</v>
      </c>
      <c r="AK11" s="13">
        <f t="shared" si="35"/>
        <v>21.557147963295233</v>
      </c>
      <c r="AL11" s="20">
        <f t="shared" si="4"/>
        <v>172.75415403607255</v>
      </c>
      <c r="AM11" s="59">
        <f t="shared" si="5"/>
        <v>439.19859848051703</v>
      </c>
      <c r="AN11" s="59">
        <f ca="1">AVERAGE(OFFSET($AM$3,0,0,'Données projet'!$E$10+1,1))-AVERAGE(OFFSET($H$3,0,0,'Données projet'!$E$10+1,1))</f>
        <v>436.23918637269577</v>
      </c>
      <c r="AO11" s="59">
        <f t="shared" si="36"/>
        <v>611.43967996341894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1.1001299566689744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1.1001299566689744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2.6666666666666665</v>
      </c>
      <c r="BD11" s="12">
        <f>IF('Données projet'!$A$88&gt;35,BD10+BC11-BL10,IF(A11&lt;'Données projet'!$A$88,$BA$205^A11,IF(A11='Données projet'!$A$88,'Données projet'!$B$88,BD10+BC11-BL10)))</f>
        <v>7.1520739352994367</v>
      </c>
      <c r="BE11" s="13">
        <f>BD11*VLOOKUP('Données projet'!$B$11,Paramètres!$A$1:$I$89,3,0)*VLOOKUP('Données projet'!$B$11,Paramètres!$A$1:$I$89,5,0)</f>
        <v>5.5786176695335605</v>
      </c>
      <c r="BF11" s="13">
        <f t="shared" si="37"/>
        <v>2.1046649418345189</v>
      </c>
      <c r="BG11" s="20">
        <f t="shared" si="7"/>
        <v>13.381717214799407</v>
      </c>
      <c r="BH11" s="59">
        <f t="shared" si="8"/>
        <v>279.82616165924384</v>
      </c>
      <c r="BI11" s="59">
        <f ca="1">AVERAGE(OFFSET($BH$3,0,0,'Données projet'!$E$11+1,1))-AVERAGE(OFFSET($H$3,0,0,'Données projet'!$E$11+1,1))</f>
        <v>288.82868507674738</v>
      </c>
      <c r="BJ11" s="59">
        <f t="shared" si="38"/>
        <v>283.48738729114024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0.73541999999999996</v>
      </c>
      <c r="BY11" s="12">
        <f>IF('Données projet'!$A$114&gt;35,BY10+BX11-CG10,IF(A11&lt;'Données projet'!$A$114,$BV$205^A11,IF(A11='Données projet'!$A$114,'Données projet'!$B$114,BY10+BX11-CG10)))</f>
        <v>2.5388213536810054</v>
      </c>
      <c r="BZ11" s="13">
        <f>BY11*VLOOKUP('Données projet'!$B$12,Paramètres!$A$1:$I$89,3,0)*VLOOKUP('Données projet'!$B$12,Paramètres!$A$1:$I$89,5,0)</f>
        <v>2.2179143345757266</v>
      </c>
      <c r="CA11" s="13">
        <f t="shared" si="39"/>
        <v>0.93159867400089635</v>
      </c>
      <c r="CB11" s="20">
        <f t="shared" si="10"/>
        <v>5.4854018232709505</v>
      </c>
      <c r="CC11" s="59">
        <f t="shared" si="11"/>
        <v>271.92984626771539</v>
      </c>
      <c r="CD11" s="59">
        <f ca="1">AVERAGE(OFFSET($CC$3,0,0,'Données projet'!$E$12+1,1))-AVERAGE(OFFSET($H$3,0,0,'Données projet'!$E$12+1,1))</f>
        <v>93.329407403816901</v>
      </c>
      <c r="CE11" s="59">
        <f t="shared" si="40"/>
        <v>90.925148357295313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5.8</v>
      </c>
      <c r="CT11" s="12">
        <f>IF('Données projet'!$A$140&gt;35,CT10+CS11-DB10,IF(A11&lt;'Données projet'!$A$140,$CQ$205^A11,IF(A11='Données projet'!$A$140,'Données projet'!$B$140,CT10+CS11-DB10)))</f>
        <v>25.747934452029146</v>
      </c>
      <c r="CU11" s="17">
        <f>CT11*VLOOKUP('Données projet'!$B$13,Paramètres!$A$1:$I$89,3,0)*VLOOKUP('Données projet'!$B$13,Paramètres!$A$1:$I$89,5,0)</f>
        <v>24.501734424550936</v>
      </c>
      <c r="CV11" s="13">
        <f t="shared" si="41"/>
        <v>7.7811964911822624</v>
      </c>
      <c r="CW11" s="20">
        <f t="shared" si="13"/>
        <v>56.226104678235316</v>
      </c>
      <c r="CX11" s="59">
        <f t="shared" si="14"/>
        <v>322.67054912267974</v>
      </c>
      <c r="CY11" s="59">
        <f ca="1">AVERAGE(OFFSET($CX$3,0,0,'Données projet'!$E$13+1,1))-AVERAGE(OFFSET($H$3,0,0,'Données projet'!$E$13+1,1))</f>
        <v>805.04572055352492</v>
      </c>
      <c r="CZ11" s="59">
        <f t="shared" si="42"/>
        <v>708.66645042414962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4.3</v>
      </c>
      <c r="DO11" s="12">
        <f>IF('Données projet'!$A$166&gt;35,DO10+DN11-DW10,IF(A11&lt;'Données projet'!$A$166,$DL$205^A11,IF(A11='Données projet'!$A$166,'Données projet'!$B$166,DO10+DN11-DW10)))</f>
        <v>20.266313872687665</v>
      </c>
      <c r="DP11" s="17">
        <f>DO11*VLOOKUP('Données projet'!$B$14,Paramètres!$A$1:$I$89,3,0)*VLOOKUP('Données projet'!$B$14,Paramètres!$A$1:$I$89,5,0)</f>
        <v>13.594643345798884</v>
      </c>
      <c r="DQ11" s="13">
        <f t="shared" si="43"/>
        <v>4.6237662348068271</v>
      </c>
      <c r="DR11" s="20">
        <f t="shared" si="16"/>
        <v>31.730396686221621</v>
      </c>
      <c r="DS11" s="59">
        <f t="shared" si="17"/>
        <v>298.1748411306661</v>
      </c>
      <c r="DT11" s="59">
        <f ca="1">AVERAGE(OFFSET($DS$3,0,0,'Données projet'!$E$14+1,1))-AVERAGE(OFFSET($H$3,0,0,'Données projet'!$E$14+1,1))</f>
        <v>482.69499576870095</v>
      </c>
      <c r="DU11" s="59">
        <f t="shared" si="44"/>
        <v>384.28918352579575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11.5</v>
      </c>
      <c r="EJ11" s="12">
        <f>IF('Données projet'!$A$192&gt;35,EJ10+EI11-ER10,IF(A11&lt;'Données projet'!$A$192,$EG$205^A11,IF(A11='Données projet'!$A$192,'Données projet'!$B$192,EJ10+EI11-ER10)))</f>
        <v>44.520319489276915</v>
      </c>
      <c r="EK11" s="17">
        <f>EJ11*VLOOKUP('Données projet'!$B$15,Paramètres!$A$1:$I$89,3,0)*VLOOKUP('Données projet'!$B$15,Paramètres!$A$1:$I$89,5,0)</f>
        <v>32.642298249537831</v>
      </c>
      <c r="EL11" s="13">
        <f t="shared" si="45"/>
        <v>10.026023463420534</v>
      </c>
      <c r="EM11" s="20">
        <f t="shared" si="19"/>
        <v>74.31399365006915</v>
      </c>
      <c r="EN11" s="59">
        <f t="shared" si="20"/>
        <v>340.75843809451362</v>
      </c>
      <c r="EO11" s="59">
        <f ca="1">AVERAGE(OFFSET($EN$3,0,0,'Données projet'!$E$15+1,1))-AVERAGE(OFFSET($H$3,0,0,'Données projet'!$E$15+1,1))</f>
        <v>197.34725966440715</v>
      </c>
      <c r="EP11" s="59">
        <f t="shared" si="46"/>
        <v>240.16326570529532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11.761904761904763</v>
      </c>
      <c r="FE11" s="12">
        <f>IF('Données projet'!$A$218&gt;35,FE10+FD11-FM10,IF(A11&lt;'Données projet'!$A$218,$FB$205^A11,IF(A11='Données projet'!$A$218,'Données projet'!$B$218,FE10+FD11-FM10)))</f>
        <v>8.1564955060591728</v>
      </c>
      <c r="FF11" s="17">
        <f>FE11*VLOOKUP('Données projet'!$B$16,Paramètres!$A$1:$I$89,3,0)*VLOOKUP('Données projet'!$B$16,Paramètres!$A$1:$I$89,5,0)</f>
        <v>4.5594809878870777</v>
      </c>
      <c r="FG11" s="13">
        <f t="shared" si="47"/>
        <v>1.7610420266454077</v>
      </c>
      <c r="FH11" s="20">
        <f t="shared" si="22"/>
        <v>11.008244250310744</v>
      </c>
      <c r="FI11" s="59">
        <f t="shared" si="23"/>
        <v>277.45268869475518</v>
      </c>
      <c r="FJ11" s="59">
        <f ca="1">AVERAGE(OFFSET($FI$3,0,0,'Données projet'!$E$16+1,1))-AVERAGE(OFFSET($H$3,0,0,'Données projet'!$E$16+1,1))</f>
        <v>346.42094266871379</v>
      </c>
      <c r="FK11" s="59">
        <f t="shared" si="48"/>
        <v>453.48153556975973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7.9</v>
      </c>
      <c r="FZ11" s="12">
        <f>IF('Données projet'!$A$244&gt;35,FZ10+FY11-GH10,IF(A11&lt;'Données projet'!$A$244,$FW$205^A11,IF(A11='Données projet'!$A$244,'Données projet'!$B$244,FZ10+FY11-GH10)))</f>
        <v>7.5763989424129567</v>
      </c>
      <c r="GA11" s="17">
        <f>FZ11*VLOOKUP('Données projet'!$B$17,Paramètres!$A$1:$I$89,3,0)*VLOOKUP('Données projet'!$B$17,Paramètres!$A$1:$I$89,5,0)</f>
        <v>3.5457547050492639</v>
      </c>
      <c r="GB11" s="13">
        <f t="shared" si="49"/>
        <v>1.4101803587787649</v>
      </c>
      <c r="GC11" s="20">
        <f t="shared" si="25"/>
        <v>8.631586902833817</v>
      </c>
      <c r="GD11" s="59">
        <f t="shared" si="26"/>
        <v>275.07603134727827</v>
      </c>
      <c r="GE11" s="59">
        <f ca="1">AVERAGE(OFFSET($GD$3,0,0,'Données projet'!$E$17+1,1))-AVERAGE(OFFSET($H$3,0,0,'Données projet'!$E$17+1,1))</f>
        <v>198.26255998041</v>
      </c>
      <c r="GF11" s="59">
        <f t="shared" si="50"/>
        <v>238.62101708181166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4.3703703703703702</v>
      </c>
      <c r="GU11" s="12">
        <f>IF('Données projet'!$A$270&gt;35,GU10+GT11-HC10,IF(A11&lt;'Données projet'!$A$270,$GR$205^A11,IF(A11='Données projet'!$A$270,'Données projet'!$B$270,GU10+GT11-HC10)))</f>
        <v>4.110465099605972</v>
      </c>
      <c r="GV11" s="17">
        <f>GU11*VLOOKUP('Données projet'!$B$18,Paramètres!$A$1:$I$89,3,0)*VLOOKUP('Données projet'!$B$18,Paramètres!$A$1:$I$89,5,0)</f>
        <v>4.7352557947460792</v>
      </c>
      <c r="GW11" s="13">
        <f t="shared" si="51"/>
        <v>1.8208976363988907</v>
      </c>
      <c r="GX11" s="20">
        <f t="shared" si="28"/>
        <v>11.418633892577489</v>
      </c>
      <c r="GY11" s="59">
        <f t="shared" si="29"/>
        <v>277.86307833702193</v>
      </c>
      <c r="GZ11" s="59">
        <f ca="1">AVERAGE(OFFSET($GY$3,0,0,'Données projet'!$E$18+1,1))-AVERAGE(OFFSET($H$3,0,0,'Données projet'!$E$18+1,1))</f>
        <v>604.0566904089452</v>
      </c>
      <c r="HA11" s="59">
        <f t="shared" si="52"/>
        <v>369.5187835902687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</v>
      </c>
      <c r="N12" s="13">
        <f>IF('Données projet'!$A$36&gt;35,N11+M12-V11,IF(A12&lt;'Données projet'!$A$36,$K$205^A12,IF(A12='Données projet'!$A$36,'Données projet'!$B$36,N11+M12-V11)))</f>
        <v>36</v>
      </c>
      <c r="O12" s="13">
        <f>N12*VLOOKUP('Données projet'!$B$9,Paramètres!$A$1:$I$89,3,0)*VLOOKUP('Données projet'!$B$9,Paramètres!$A$1:$I$89,5,0)</f>
        <v>32.572800000000001</v>
      </c>
      <c r="P12" s="13">
        <f t="shared" si="33"/>
        <v>10.007159566468195</v>
      </c>
      <c r="Q12" s="20">
        <f t="shared" si="2"/>
        <v>74.160096244932106</v>
      </c>
      <c r="R12" s="59">
        <f t="shared" si="0"/>
        <v>341.82676291159879</v>
      </c>
      <c r="S12" s="59">
        <f ca="1">AVERAGE(OFFSET($R$3,0,0,'Données projet'!$E$9+1,1))-AVERAGE(OFFSET($H$3,0,0,'Données projet'!$E$9+1,1))</f>
        <v>528.20489749461376</v>
      </c>
      <c r="T12" s="59">
        <f t="shared" si="34"/>
        <v>276.26988364830532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17.600000000000001</v>
      </c>
      <c r="AI12" s="13">
        <f>IF('Données projet'!$A$62&gt;35,AI11+AH12-AQ11,IF(A12&lt;'Données projet'!$A$62,$AF$205^A12,IF(A12='Données projet'!$A$62,'Données projet'!$B$62,AI11+AH12-AQ11)))</f>
        <v>103.4</v>
      </c>
      <c r="AJ12" s="13">
        <f>AI12*VLOOKUP('Données projet'!$B$10,Paramètres!$A$1:$I$89,3,0)*VLOOKUP('Données projet'!$B$10,Paramètres!$A$1:$I$89,5,0)</f>
        <v>93.556319999999999</v>
      </c>
      <c r="AK12" s="13">
        <f t="shared" si="35"/>
        <v>25.420979659258073</v>
      </c>
      <c r="AL12" s="20">
        <f t="shared" si="4"/>
        <v>207.21879690654114</v>
      </c>
      <c r="AM12" s="59">
        <f t="shared" si="5"/>
        <v>474.88546357320786</v>
      </c>
      <c r="AN12" s="59">
        <f ca="1">AVERAGE(OFFSET($AM$3,0,0,'Données projet'!$E$10+1,1))-AVERAGE(OFFSET($H$3,0,0,'Données projet'!$E$10+1,1))</f>
        <v>436.23918637269577</v>
      </c>
      <c r="AO12" s="59">
        <f t="shared" si="36"/>
        <v>611.43967996341894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1.0700468451505412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1.0700468451505412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2.6666666666666665</v>
      </c>
      <c r="BD12" s="12">
        <f>IF('Données projet'!$A$88&gt;35,BD11+BC12-BL11,IF(A12&lt;'Données projet'!$A$88,$BA$205^A12,IF(A12='Données projet'!$A$88,'Données projet'!$B$88,BD11+BC12-BL11)))</f>
        <v>9.1461010385465205</v>
      </c>
      <c r="BE12" s="13">
        <f>BD12*VLOOKUP('Données projet'!$B$11,Paramètres!$A$1:$I$89,3,0)*VLOOKUP('Données projet'!$B$11,Paramètres!$A$1:$I$89,5,0)</f>
        <v>7.1339588100662858</v>
      </c>
      <c r="BF12" s="13">
        <f t="shared" si="37"/>
        <v>2.6155015444227643</v>
      </c>
      <c r="BG12" s="20">
        <f t="shared" si="7"/>
        <v>16.980310117401761</v>
      </c>
      <c r="BH12" s="59">
        <f t="shared" si="8"/>
        <v>284.64697678406844</v>
      </c>
      <c r="BI12" s="59">
        <f ca="1">AVERAGE(OFFSET($BH$3,0,0,'Données projet'!$E$11+1,1))-AVERAGE(OFFSET($H$3,0,0,'Données projet'!$E$11+1,1))</f>
        <v>288.82868507674738</v>
      </c>
      <c r="BJ12" s="59">
        <f t="shared" si="38"/>
        <v>283.48738729114024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0.73541999999999996</v>
      </c>
      <c r="BY12" s="12">
        <f>IF('Données projet'!$A$114&gt;35,BY11+BX12-CG11,IF(A12&lt;'Données projet'!$A$114,$BV$205^A12,IF(A12='Données projet'!$A$114,'Données projet'!$B$114,BY11+BX12-CG11)))</f>
        <v>2.8524048108509956</v>
      </c>
      <c r="BZ12" s="13">
        <f>BY12*VLOOKUP('Données projet'!$B$12,Paramètres!$A$1:$I$89,3,0)*VLOOKUP('Données projet'!$B$12,Paramètres!$A$1:$I$89,5,0)</f>
        <v>2.4918608427594302</v>
      </c>
      <c r="CA12" s="13">
        <f t="shared" si="39"/>
        <v>1.0325723272154479</v>
      </c>
      <c r="CB12" s="20">
        <f t="shared" si="10"/>
        <v>6.1383877710395787</v>
      </c>
      <c r="CC12" s="59">
        <f t="shared" si="11"/>
        <v>273.80505443770625</v>
      </c>
      <c r="CD12" s="59">
        <f ca="1">AVERAGE(OFFSET($CC$3,0,0,'Données projet'!$E$12+1,1))-AVERAGE(OFFSET($H$3,0,0,'Données projet'!$E$12+1,1))</f>
        <v>93.329407403816901</v>
      </c>
      <c r="CE12" s="59">
        <f t="shared" si="40"/>
        <v>90.925148357295313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5.8</v>
      </c>
      <c r="CT12" s="12">
        <f>IF('Données projet'!$A$140&gt;35,CT11+CS12-DB11,IF(A12&lt;'Données projet'!$A$140,$CQ$205^A12,IF(A12='Données projet'!$A$140,'Données projet'!$B$140,CT11+CS12-DB11)))</f>
        <v>38.644277690463937</v>
      </c>
      <c r="CU12" s="17">
        <f>CT12*VLOOKUP('Données projet'!$B$13,Paramètres!$A$1:$I$89,3,0)*VLOOKUP('Données projet'!$B$13,Paramètres!$A$1:$I$89,5,0)</f>
        <v>36.773894650245481</v>
      </c>
      <c r="CV12" s="13">
        <f t="shared" si="41"/>
        <v>11.139427718576256</v>
      </c>
      <c r="CW12" s="20">
        <f t="shared" si="13"/>
        <v>83.449036459031177</v>
      </c>
      <c r="CX12" s="59">
        <f t="shared" si="14"/>
        <v>351.11570312569785</v>
      </c>
      <c r="CY12" s="59">
        <f ca="1">AVERAGE(OFFSET($CX$3,0,0,'Données projet'!$E$13+1,1))-AVERAGE(OFFSET($H$3,0,0,'Données projet'!$E$13+1,1))</f>
        <v>805.04572055352492</v>
      </c>
      <c r="CZ12" s="59">
        <f t="shared" si="42"/>
        <v>708.66645042414962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4.3</v>
      </c>
      <c r="DO12" s="12">
        <f>IF('Données projet'!$A$166&gt;35,DO11+DN12-DW11,IF(A12&lt;'Données projet'!$A$166,$DL$205^A12,IF(A12='Données projet'!$A$166,'Données projet'!$B$166,DO11+DN12-DW11)))</f>
        <v>29.52035732381248</v>
      </c>
      <c r="DP12" s="17">
        <f>DO12*VLOOKUP('Données projet'!$B$14,Paramètres!$A$1:$I$89,3,0)*VLOOKUP('Données projet'!$B$14,Paramètres!$A$1:$I$89,5,0)</f>
        <v>19.802255692813411</v>
      </c>
      <c r="DQ12" s="13">
        <f t="shared" si="43"/>
        <v>6.4465765184091657</v>
      </c>
      <c r="DR12" s="20">
        <f t="shared" si="16"/>
        <v>45.716716101212654</v>
      </c>
      <c r="DS12" s="59">
        <f t="shared" si="17"/>
        <v>313.38338276787931</v>
      </c>
      <c r="DT12" s="59">
        <f ca="1">AVERAGE(OFFSET($DS$3,0,0,'Données projet'!$E$14+1,1))-AVERAGE(OFFSET($H$3,0,0,'Données projet'!$E$14+1,1))</f>
        <v>482.69499576870095</v>
      </c>
      <c r="DU12" s="59">
        <f t="shared" si="44"/>
        <v>384.28918352579575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11.5</v>
      </c>
      <c r="EJ12" s="12">
        <f>IF('Données projet'!$A$192&gt;35,EJ11+EI12-ER11,IF(A12&lt;'Données projet'!$A$192,$EG$205^A12,IF(A12='Données projet'!$A$192,'Données projet'!$B$192,EJ11+EI12-ER11)))</f>
        <v>71.553034465820133</v>
      </c>
      <c r="EK12" s="17">
        <f>EJ12*VLOOKUP('Données projet'!$B$15,Paramètres!$A$1:$I$89,3,0)*VLOOKUP('Données projet'!$B$15,Paramètres!$A$1:$I$89,5,0)</f>
        <v>52.462684870339316</v>
      </c>
      <c r="EL12" s="13">
        <f t="shared" si="45"/>
        <v>15.247968208658939</v>
      </c>
      <c r="EM12" s="20">
        <f t="shared" si="19"/>
        <v>117.92938744592196</v>
      </c>
      <c r="EN12" s="59">
        <f t="shared" si="20"/>
        <v>385.59605411258866</v>
      </c>
      <c r="EO12" s="59">
        <f ca="1">AVERAGE(OFFSET($EN$3,0,0,'Données projet'!$E$15+1,1))-AVERAGE(OFFSET($H$3,0,0,'Données projet'!$E$15+1,1))</f>
        <v>197.34725966440715</v>
      </c>
      <c r="EP12" s="59">
        <f t="shared" si="46"/>
        <v>240.16326570529532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11.761904761904763</v>
      </c>
      <c r="FE12" s="12">
        <f>IF('Données projet'!$A$218&gt;35,FE11+FD12-FM11,IF(A12&lt;'Données projet'!$A$218,$FB$205^A12,IF(A12='Données projet'!$A$218,'Données projet'!$B$218,FE11+FD12-FM11)))</f>
        <v>10.603312263369611</v>
      </c>
      <c r="FF12" s="17">
        <f>FE12*VLOOKUP('Données projet'!$B$16,Paramètres!$A$1:$I$89,3,0)*VLOOKUP('Données projet'!$B$16,Paramètres!$A$1:$I$89,5,0)</f>
        <v>5.9272515552236129</v>
      </c>
      <c r="FG12" s="13">
        <f t="shared" si="47"/>
        <v>2.2204719591580502</v>
      </c>
      <c r="FH12" s="20">
        <f t="shared" si="22"/>
        <v>14.19061845421473</v>
      </c>
      <c r="FI12" s="59">
        <f t="shared" si="23"/>
        <v>281.85728512088144</v>
      </c>
      <c r="FJ12" s="59">
        <f ca="1">AVERAGE(OFFSET($FI$3,0,0,'Données projet'!$E$16+1,1))-AVERAGE(OFFSET($H$3,0,0,'Données projet'!$E$16+1,1))</f>
        <v>346.42094266871379</v>
      </c>
      <c r="FK12" s="59">
        <f t="shared" si="48"/>
        <v>453.48153556975973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7.9</v>
      </c>
      <c r="FZ12" s="12">
        <f>IF('Données projet'!$A$244&gt;35,FZ11+FY12-GH11,IF(A12&lt;'Données projet'!$A$244,$FW$205^A12,IF(A12='Données projet'!$A$244,'Données projet'!$B$244,FZ11+FY12-GH11)))</f>
        <v>9.7587836327093171</v>
      </c>
      <c r="GA12" s="17">
        <f>FZ12*VLOOKUP('Données projet'!$B$17,Paramètres!$A$1:$I$89,3,0)*VLOOKUP('Données projet'!$B$17,Paramètres!$A$1:$I$89,5,0)</f>
        <v>4.5671107401079603</v>
      </c>
      <c r="GB12" s="13">
        <f t="shared" si="49"/>
        <v>1.763645650133036</v>
      </c>
      <c r="GC12" s="20">
        <f t="shared" si="25"/>
        <v>11.026067379669733</v>
      </c>
      <c r="GD12" s="59">
        <f t="shared" si="26"/>
        <v>278.6927340463364</v>
      </c>
      <c r="GE12" s="59">
        <f ca="1">AVERAGE(OFFSET($GD$3,0,0,'Données projet'!$E$17+1,1))-AVERAGE(OFFSET($H$3,0,0,'Données projet'!$E$17+1,1))</f>
        <v>198.26255998041</v>
      </c>
      <c r="GF12" s="59">
        <f t="shared" si="50"/>
        <v>238.62101708181166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4.3703703703703702</v>
      </c>
      <c r="GU12" s="12">
        <f>IF('Données projet'!$A$270&gt;35,GU11+GT12-HC11,IF(A12&lt;'Données projet'!$A$270,$GR$205^A12,IF(A12='Données projet'!$A$270,'Données projet'!$B$270,GU11+GT12-HC11)))</f>
        <v>4.9048681315240179</v>
      </c>
      <c r="GV12" s="17">
        <f>GU12*VLOOKUP('Données projet'!$B$18,Paramètres!$A$1:$I$89,3,0)*VLOOKUP('Données projet'!$B$18,Paramètres!$A$1:$I$89,5,0)</f>
        <v>5.6504080875156681</v>
      </c>
      <c r="GW12" s="13">
        <f t="shared" si="51"/>
        <v>2.1285790787877383</v>
      </c>
      <c r="GX12" s="20">
        <f t="shared" si="28"/>
        <v>13.548402647978433</v>
      </c>
      <c r="GY12" s="59">
        <f t="shared" si="29"/>
        <v>281.21506931464512</v>
      </c>
      <c r="GZ12" s="59">
        <f ca="1">AVERAGE(OFFSET($GY$3,0,0,'Données projet'!$E$18+1,1))-AVERAGE(OFFSET($H$3,0,0,'Données projet'!$E$18+1,1))</f>
        <v>604.0566904089452</v>
      </c>
      <c r="HA12" s="59">
        <f t="shared" si="52"/>
        <v>369.5187835902687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</v>
      </c>
      <c r="N13" s="13">
        <f>IF('Données projet'!$A$36&gt;35,N12+M13-V12,IF(A13&lt;'Données projet'!$A$36,$K$205^A13,IF(A13='Données projet'!$A$36,'Données projet'!$B$36,N12+M13-V12)))</f>
        <v>40</v>
      </c>
      <c r="O13" s="13">
        <f>N13*VLOOKUP('Données projet'!$B$9,Paramètres!$A$1:$I$89,3,0)*VLOOKUP('Données projet'!$B$9,Paramètres!$A$1:$I$89,5,0)</f>
        <v>36.192</v>
      </c>
      <c r="P13" s="13">
        <f t="shared" si="33"/>
        <v>10.98353513000465</v>
      </c>
      <c r="Q13" s="20">
        <f t="shared" si="2"/>
        <v>82.164057018091427</v>
      </c>
      <c r="R13" s="59">
        <f t="shared" si="0"/>
        <v>351.05294590698031</v>
      </c>
      <c r="S13" s="59">
        <f ca="1">AVERAGE(OFFSET($R$3,0,0,'Données projet'!$E$9+1,1))-AVERAGE(OFFSET($H$3,0,0,'Données projet'!$E$9+1,1))</f>
        <v>528.20489749461376</v>
      </c>
      <c r="T13" s="59">
        <f t="shared" si="34"/>
        <v>276.26988364830532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121</v>
      </c>
      <c r="AG13" s="12">
        <f>VLOOKUP(A13,'Données projet'!$A$61:$I$81,9,0)</f>
        <v>17.600000000000001</v>
      </c>
      <c r="AH13" s="12">
        <f t="array" ref="AH13">INDEX(AG:AG,MIN(IF(ISNUMBER(AG13:AG209),ROW(AG13:AG209),"")))</f>
        <v>17.600000000000001</v>
      </c>
      <c r="AI13" s="13">
        <f>IF('Données projet'!$A$62&gt;35,AI12+AH13-AQ12,IF(A13&lt;'Données projet'!$A$62,$AF$205^A13,IF(A13='Données projet'!$A$62,'Données projet'!$B$62,AI12+AH13-AQ12)))</f>
        <v>121</v>
      </c>
      <c r="AJ13" s="13">
        <f>AI13*VLOOKUP('Données projet'!$B$10,Paramètres!$A$1:$I$89,3,0)*VLOOKUP('Données projet'!$B$10,Paramètres!$A$1:$I$89,5,0)</f>
        <v>109.48079999999999</v>
      </c>
      <c r="AK13" s="13">
        <f t="shared" si="35"/>
        <v>29.208623339903898</v>
      </c>
      <c r="AL13" s="20">
        <f t="shared" si="4"/>
        <v>241.5507456503326</v>
      </c>
      <c r="AM13" s="59">
        <f t="shared" si="5"/>
        <v>510.43963453922146</v>
      </c>
      <c r="AN13" s="59">
        <f ca="1">AVERAGE(OFFSET($AM$3,0,0,'Données projet'!$E$10+1,1))-AVERAGE(OFFSET($H$3,0,0,'Données projet'!$E$10+1,1))</f>
        <v>436.23918637269577</v>
      </c>
      <c r="AO13" s="59">
        <f t="shared" si="36"/>
        <v>611.43967996341894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37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0.15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6.5702031525478146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6.5702031525478146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2.6666666666666665</v>
      </c>
      <c r="BD13" s="12">
        <f>IF('Données projet'!$A$88&gt;35,BD12+BC13-BL12,IF(A13&lt;'Données projet'!$A$88,$BA$205^A13,IF(A13='Données projet'!$A$88,'Données projet'!$B$88,BD12+BC13-BL12)))</f>
        <v>11.696070952851455</v>
      </c>
      <c r="BE13" s="13">
        <f>BD13*VLOOKUP('Données projet'!$B$11,Paramètres!$A$1:$I$89,3,0)*VLOOKUP('Données projet'!$B$11,Paramètres!$A$1:$I$89,5,0)</f>
        <v>9.1229353432241354</v>
      </c>
      <c r="BF13" s="13">
        <f t="shared" si="37"/>
        <v>3.2503265450485803</v>
      </c>
      <c r="BG13" s="20">
        <f t="shared" si="7"/>
        <v>21.550097788741649</v>
      </c>
      <c r="BH13" s="59">
        <f t="shared" si="8"/>
        <v>290.43898667763051</v>
      </c>
      <c r="BI13" s="59">
        <f ca="1">AVERAGE(OFFSET($BH$3,0,0,'Données projet'!$E$11+1,1))-AVERAGE(OFFSET($H$3,0,0,'Données projet'!$E$11+1,1))</f>
        <v>288.82868507674738</v>
      </c>
      <c r="BJ13" s="59">
        <f t="shared" si="38"/>
        <v>283.48738729114024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0.73541999999999996</v>
      </c>
      <c r="BY13" s="12">
        <f>IF('Données projet'!$A$114&gt;35,BY12+BX13-CG12,IF(A13&lt;'Données projet'!$A$114,$BV$205^A13,IF(A13='Données projet'!$A$114,'Données projet'!$B$114,BY12+BX13-CG12)))</f>
        <v>3.2047206445500036</v>
      </c>
      <c r="BZ13" s="13">
        <f>BY13*VLOOKUP('Données projet'!$B$12,Paramètres!$A$1:$I$89,3,0)*VLOOKUP('Données projet'!$B$12,Paramètres!$A$1:$I$89,5,0)</f>
        <v>2.7996439550788836</v>
      </c>
      <c r="CA13" s="13">
        <f t="shared" si="39"/>
        <v>1.1444902624776601</v>
      </c>
      <c r="CB13" s="20">
        <f t="shared" si="10"/>
        <v>6.8693670955776467</v>
      </c>
      <c r="CC13" s="59">
        <f t="shared" si="11"/>
        <v>275.75825598446653</v>
      </c>
      <c r="CD13" s="59">
        <f ca="1">AVERAGE(OFFSET($CC$3,0,0,'Données projet'!$E$12+1,1))-AVERAGE(OFFSET($H$3,0,0,'Données projet'!$E$12+1,1))</f>
        <v>93.329407403816901</v>
      </c>
      <c r="CE13" s="59">
        <f t="shared" si="40"/>
        <v>90.925148357295313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58</v>
      </c>
      <c r="CR13" s="12">
        <f>VLOOKUP(A13,'Données projet'!$A$139:$I$159,9,0)</f>
        <v>5.8</v>
      </c>
      <c r="CS13" s="12">
        <f t="array" ref="CS13">INDEX(CR:CR,MIN(IF(ISNUMBER(CR13:CR209),ROW(CR13:CR209),"")))</f>
        <v>5.8</v>
      </c>
      <c r="CT13" s="12">
        <f>IF('Données projet'!$A$140&gt;35,CT12+CS13-DB12,IF(A13&lt;'Données projet'!$A$140,$CQ$205^A13,IF(A13='Données projet'!$A$140,'Données projet'!$B$140,CT12+CS13-DB12)))</f>
        <v>58</v>
      </c>
      <c r="CU13" s="17">
        <f>CT13*VLOOKUP('Données projet'!$B$13,Paramètres!$A$1:$I$89,3,0)*VLOOKUP('Données projet'!$B$13,Paramètres!$A$1:$I$89,5,0)</f>
        <v>55.192800000000005</v>
      </c>
      <c r="CV13" s="13">
        <f t="shared" si="41"/>
        <v>15.94701406628168</v>
      </c>
      <c r="CW13" s="20">
        <f t="shared" si="13"/>
        <v>123.90184283210726</v>
      </c>
      <c r="CX13" s="59">
        <f t="shared" si="14"/>
        <v>392.79073172099612</v>
      </c>
      <c r="CY13" s="59">
        <f ca="1">AVERAGE(OFFSET($CX$3,0,0,'Données projet'!$E$13+1,1))-AVERAGE(OFFSET($H$3,0,0,'Données projet'!$E$13+1,1))</f>
        <v>805.04572055352492</v>
      </c>
      <c r="CZ13" s="59">
        <f t="shared" si="42"/>
        <v>708.66645042414962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8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43</v>
      </c>
      <c r="DM13" s="12">
        <f>VLOOKUP(A13,'Données projet'!$A$165:$I$185,9,0)</f>
        <v>4.3</v>
      </c>
      <c r="DN13" s="12">
        <f t="array" ref="DN13">INDEX(DM:DM,MIN(IF(ISNUMBER(DM13:DM209),ROW(DM13:DM209),"")))</f>
        <v>4.3</v>
      </c>
      <c r="DO13" s="12">
        <f>IF('Données projet'!$A$166&gt;35,DO12+DN13-DW12,IF(A13&lt;'Données projet'!$A$166,$DL$205^A13,IF(A13='Données projet'!$A$166,'Données projet'!$B$166,DO12+DN13-DW12)))</f>
        <v>43</v>
      </c>
      <c r="DP13" s="17">
        <f>DO13*VLOOKUP('Données projet'!$B$14,Paramètres!$A$1:$I$89,3,0)*VLOOKUP('Données projet'!$B$14,Paramètres!$A$1:$I$89,5,0)</f>
        <v>28.8444</v>
      </c>
      <c r="DQ13" s="13">
        <f t="shared" si="43"/>
        <v>8.9879865670675887</v>
      </c>
      <c r="DR13" s="20">
        <f t="shared" si="16"/>
        <v>65.891406604309381</v>
      </c>
      <c r="DS13" s="59">
        <f t="shared" si="17"/>
        <v>334.78029549319825</v>
      </c>
      <c r="DT13" s="59">
        <f ca="1">AVERAGE(OFFSET($DS$3,0,0,'Données projet'!$E$14+1,1))-AVERAGE(OFFSET($H$3,0,0,'Données projet'!$E$14+1,1))</f>
        <v>482.69499576870095</v>
      </c>
      <c r="DU13" s="59">
        <f t="shared" si="44"/>
        <v>384.28918352579575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11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115</v>
      </c>
      <c r="EH13" s="12">
        <f>VLOOKUP(A13,'Données projet'!$A$191:$I$211,9,0)</f>
        <v>11.5</v>
      </c>
      <c r="EI13" s="12">
        <f t="array" ref="EI13">INDEX(EH:EH,MIN(IF(ISNUMBER(EH13:EH209),ROW(EH13:EH209),"")))</f>
        <v>11.5</v>
      </c>
      <c r="EJ13" s="12">
        <f>IF('Données projet'!$A$192&gt;35,EJ12+EI13-ER12,IF(A13&lt;'Données projet'!$A$192,$EG$205^A13,IF(A13='Données projet'!$A$192,'Données projet'!$B$192,EJ12+EI13-ER12)))</f>
        <v>115</v>
      </c>
      <c r="EK13" s="17">
        <f>EJ13*VLOOKUP('Données projet'!$B$15,Paramètres!$A$1:$I$89,3,0)*VLOOKUP('Données projet'!$B$15,Paramètres!$A$1:$I$89,5,0)</f>
        <v>84.317999999999998</v>
      </c>
      <c r="EL13" s="13">
        <f t="shared" si="45"/>
        <v>23.189705803157239</v>
      </c>
      <c r="EM13" s="20">
        <f t="shared" si="19"/>
        <v>187.24258760716552</v>
      </c>
      <c r="EN13" s="59">
        <f t="shared" si="20"/>
        <v>456.13147649605435</v>
      </c>
      <c r="EO13" s="59">
        <f ca="1">AVERAGE(OFFSET($EN$3,0,0,'Données projet'!$E$15+1,1))-AVERAGE(OFFSET($H$3,0,0,'Données projet'!$E$15+1,1))</f>
        <v>197.34725966440715</v>
      </c>
      <c r="EP13" s="59">
        <f t="shared" si="46"/>
        <v>240.16326570529532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71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0.215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12.324037671342237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12.324037671342237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11.761904761904763</v>
      </c>
      <c r="FE13" s="12">
        <f>IF('Données projet'!$A$218&gt;35,FE12+FD13-FM12,IF(A13&lt;'Données projet'!$A$218,$FB$205^A13,IF(A13='Données projet'!$A$218,'Données projet'!$B$218,FE12+FD13-FM12)))</f>
        <v>13.784134481653783</v>
      </c>
      <c r="FF13" s="17">
        <f>FE13*VLOOKUP('Données projet'!$B$16,Paramètres!$A$1:$I$89,3,0)*VLOOKUP('Données projet'!$B$16,Paramètres!$A$1:$I$89,5,0)</f>
        <v>7.7053311752444644</v>
      </c>
      <c r="FG13" s="13">
        <f t="shared" si="47"/>
        <v>2.7997603957239146</v>
      </c>
      <c r="FH13" s="20">
        <f t="shared" si="22"/>
        <v>18.29636781943659</v>
      </c>
      <c r="FI13" s="59">
        <f t="shared" si="23"/>
        <v>287.18525670832543</v>
      </c>
      <c r="FJ13" s="59">
        <f ca="1">AVERAGE(OFFSET($FI$3,0,0,'Données projet'!$E$16+1,1))-AVERAGE(OFFSET($H$3,0,0,'Données projet'!$E$16+1,1))</f>
        <v>346.42094266871379</v>
      </c>
      <c r="FK13" s="59">
        <f t="shared" si="48"/>
        <v>453.48153556975973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7.9</v>
      </c>
      <c r="FZ13" s="12">
        <f>IF('Données projet'!$A$244&gt;35,FZ12+FY13-GH12,IF(A13&lt;'Données projet'!$A$244,$FW$205^A13,IF(A13='Données projet'!$A$244,'Données projet'!$B$244,FZ12+FY13-GH12)))</f>
        <v>12.569805089976542</v>
      </c>
      <c r="GA13" s="17">
        <f>FZ13*VLOOKUP('Données projet'!$B$17,Paramètres!$A$1:$I$89,3,0)*VLOOKUP('Données projet'!$B$17,Paramètres!$A$1:$I$89,5,0)</f>
        <v>5.8826687821090227</v>
      </c>
      <c r="GB13" s="13">
        <f t="shared" si="49"/>
        <v>2.2057079152108381</v>
      </c>
      <c r="GC13" s="20">
        <f t="shared" si="25"/>
        <v>14.087256081165423</v>
      </c>
      <c r="GD13" s="59">
        <f t="shared" si="26"/>
        <v>282.97614497005429</v>
      </c>
      <c r="GE13" s="59">
        <f ca="1">AVERAGE(OFFSET($GD$3,0,0,'Données projet'!$E$17+1,1))-AVERAGE(OFFSET($H$3,0,0,'Données projet'!$E$17+1,1))</f>
        <v>198.26255998041</v>
      </c>
      <c r="GF13" s="59">
        <f t="shared" si="50"/>
        <v>238.62101708181166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4.3703703703703702</v>
      </c>
      <c r="GU13" s="12">
        <f>IF('Données projet'!$A$270&gt;35,GU12+GT13-HC12,IF(A13&lt;'Données projet'!$A$270,$GR$205^A13,IF(A13='Données projet'!$A$270,'Données projet'!$B$270,GU12+GT13-HC12)))</f>
        <v>5.8528003047504482</v>
      </c>
      <c r="GV13" s="17">
        <f>GU13*VLOOKUP('Données projet'!$B$18,Paramètres!$A$1:$I$89,3,0)*VLOOKUP('Données projet'!$B$18,Paramètres!$A$1:$I$89,5,0)</f>
        <v>6.7424259510725157</v>
      </c>
      <c r="GW13" s="13">
        <f t="shared" si="51"/>
        <v>2.4882501926979907</v>
      </c>
      <c r="GX13" s="20">
        <f t="shared" si="28"/>
        <v>16.076760950400296</v>
      </c>
      <c r="GY13" s="59">
        <f t="shared" si="29"/>
        <v>284.96564983928914</v>
      </c>
      <c r="GZ13" s="59">
        <f ca="1">AVERAGE(OFFSET($GY$3,0,0,'Données projet'!$E$18+1,1))-AVERAGE(OFFSET($H$3,0,0,'Données projet'!$E$18+1,1))</f>
        <v>604.0566904089452</v>
      </c>
      <c r="HA13" s="59">
        <f t="shared" si="52"/>
        <v>369.5187835902687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</v>
      </c>
      <c r="N14" s="13">
        <f>IF('Données projet'!$A$36&gt;35,N13+M14-V13,IF(A14&lt;'Données projet'!$A$36,$K$205^A14,IF(A14='Données projet'!$A$36,'Données projet'!$B$36,N13+M14-V13)))</f>
        <v>44</v>
      </c>
      <c r="O14" s="13">
        <f>N14*VLOOKUP('Données projet'!$B$9,Paramètres!$A$1:$I$89,3,0)*VLOOKUP('Données projet'!$B$9,Paramètres!$A$1:$I$89,5,0)</f>
        <v>39.811199999999999</v>
      </c>
      <c r="P14" s="13">
        <f t="shared" si="33"/>
        <v>11.948591675101238</v>
      </c>
      <c r="Q14" s="20">
        <f t="shared" si="2"/>
        <v>90.148303834134651</v>
      </c>
      <c r="R14" s="59">
        <f t="shared" si="0"/>
        <v>360.25941494524579</v>
      </c>
      <c r="S14" s="59">
        <f ca="1">AVERAGE(OFFSET($R$3,0,0,'Données projet'!$E$9+1,1))-AVERAGE(OFFSET($H$3,0,0,'Données projet'!$E$9+1,1))</f>
        <v>528.20489749461376</v>
      </c>
      <c r="T14" s="59">
        <f t="shared" si="34"/>
        <v>276.26988364830532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17</v>
      </c>
      <c r="AI14" s="13">
        <f>IF('Données projet'!$A$62&gt;35,AI13+AH14-AQ13,IF(A14&lt;'Données projet'!$A$62,$AF$205^A14,IF(A14='Données projet'!$A$62,'Données projet'!$B$62,AI13+AH14-AQ13)))</f>
        <v>101</v>
      </c>
      <c r="AJ14" s="13">
        <f>AI14*VLOOKUP('Données projet'!$B$10,Paramètres!$A$1:$I$89,3,0)*VLOOKUP('Données projet'!$B$10,Paramètres!$A$1:$I$89,5,0)</f>
        <v>91.384799999999998</v>
      </c>
      <c r="AK14" s="13">
        <f t="shared" si="35"/>
        <v>24.898908025894642</v>
      </c>
      <c r="AL14" s="20">
        <f t="shared" si="4"/>
        <v>202.52745814509981</v>
      </c>
      <c r="AM14" s="59">
        <f t="shared" si="5"/>
        <v>472.63856925621099</v>
      </c>
      <c r="AN14" s="59">
        <f ca="1">AVERAGE(OFFSET($AM$3,0,0,'Données projet'!$E$10+1,1))-AVERAGE(OFFSET($H$3,0,0,'Données projet'!$E$10+1,1))</f>
        <v>436.23918637269577</v>
      </c>
      <c r="AO14" s="59">
        <f t="shared" si="36"/>
        <v>611.43967996341894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6.3905406018294268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6.3905406018294268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2.6666666666666665</v>
      </c>
      <c r="BD14" s="12">
        <f>IF('Données projet'!$A$88&gt;35,BD13+BC14-BL13,IF(A14&lt;'Données projet'!$A$88,$BA$205^A14,IF(A14='Données projet'!$A$88,'Données projet'!$B$88,BD13+BC14-BL13)))</f>
        <v>14.956982779612416</v>
      </c>
      <c r="BE14" s="13">
        <f>BD14*VLOOKUP('Données projet'!$B$11,Paramètres!$A$1:$I$89,3,0)*VLOOKUP('Données projet'!$B$11,Paramètres!$A$1:$I$89,5,0)</f>
        <v>11.666446568097685</v>
      </c>
      <c r="BF14" s="13">
        <f t="shared" si="37"/>
        <v>4.0392339557111736</v>
      </c>
      <c r="BG14" s="20">
        <f t="shared" si="7"/>
        <v>27.354060245633761</v>
      </c>
      <c r="BH14" s="59">
        <f t="shared" si="8"/>
        <v>297.46517135674492</v>
      </c>
      <c r="BI14" s="59">
        <f ca="1">AVERAGE(OFFSET($BH$3,0,0,'Données projet'!$E$11+1,1))-AVERAGE(OFFSET($H$3,0,0,'Données projet'!$E$11+1,1))</f>
        <v>288.82868507674738</v>
      </c>
      <c r="BJ14" s="59">
        <f t="shared" si="38"/>
        <v>283.48738729114024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0.73541999999999996</v>
      </c>
      <c r="BY14" s="12">
        <f>IF('Données projet'!$A$114&gt;35,BY13+BX14-CG13,IF(A14&lt;'Données projet'!$A$114,$BV$205^A14,IF(A14='Données projet'!$A$114,'Données projet'!$B$114,BY13+BX14-CG13)))</f>
        <v>3.6005528985701494</v>
      </c>
      <c r="BZ14" s="13">
        <f>BY14*VLOOKUP('Données projet'!$B$12,Paramètres!$A$1:$I$89,3,0)*VLOOKUP('Données projet'!$B$12,Paramètres!$A$1:$I$89,5,0)</f>
        <v>3.1454430121908827</v>
      </c>
      <c r="CA14" s="13">
        <f t="shared" si="39"/>
        <v>1.2685387031807207</v>
      </c>
      <c r="CB14" s="20">
        <f t="shared" si="10"/>
        <v>7.687684820938876</v>
      </c>
      <c r="CC14" s="59">
        <f t="shared" si="11"/>
        <v>277.79879593205004</v>
      </c>
      <c r="CD14" s="59">
        <f ca="1">AVERAGE(OFFSET($CC$3,0,0,'Données projet'!$E$12+1,1))-AVERAGE(OFFSET($H$3,0,0,'Données projet'!$E$12+1,1))</f>
        <v>93.329407403816901</v>
      </c>
      <c r="CE14" s="59">
        <f t="shared" si="40"/>
        <v>90.925148357295313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</v>
      </c>
      <c r="CT14" s="12">
        <f>IF('Données projet'!$A$140&gt;35,CT13+CS14-DB13,IF(A14&lt;'Données projet'!$A$140,$CQ$205^A14,IF(A14='Données projet'!$A$140,'Données projet'!$B$140,CT13+CS14-DB13)))</f>
        <v>60.8</v>
      </c>
      <c r="CU14" s="17">
        <f>CT14*VLOOKUP('Données projet'!$B$13,Paramètres!$A$1:$I$89,3,0)*VLOOKUP('Données projet'!$B$13,Paramètres!$A$1:$I$89,5,0)</f>
        <v>57.857280000000003</v>
      </c>
      <c r="CV14" s="13">
        <f t="shared" si="41"/>
        <v>16.625380928083366</v>
      </c>
      <c r="CW14" s="20">
        <f t="shared" si="13"/>
        <v>129.72396778307851</v>
      </c>
      <c r="CX14" s="59">
        <f t="shared" si="14"/>
        <v>399.83507889418968</v>
      </c>
      <c r="CY14" s="59">
        <f ca="1">AVERAGE(OFFSET($CX$3,0,0,'Données projet'!$E$13+1,1))-AVERAGE(OFFSET($H$3,0,0,'Données projet'!$E$13+1,1))</f>
        <v>805.04572055352492</v>
      </c>
      <c r="CZ14" s="59">
        <f t="shared" si="42"/>
        <v>708.66645042414962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12.8</v>
      </c>
      <c r="DO14" s="12">
        <f>IF('Données projet'!$A$166&gt;35,DO13+DN14-DW13,IF(A14&lt;'Données projet'!$A$166,$DL$205^A14,IF(A14='Données projet'!$A$166,'Données projet'!$B$166,DO13+DN14-DW13)))</f>
        <v>44.8</v>
      </c>
      <c r="DP14" s="17">
        <f>DO14*VLOOKUP('Données projet'!$B$14,Paramètres!$A$1:$I$89,3,0)*VLOOKUP('Données projet'!$B$14,Paramètres!$A$1:$I$89,5,0)</f>
        <v>30.051839999999999</v>
      </c>
      <c r="DQ14" s="13">
        <f t="shared" si="43"/>
        <v>9.3196357894312047</v>
      </c>
      <c r="DR14" s="20">
        <f t="shared" si="16"/>
        <v>68.571986999926011</v>
      </c>
      <c r="DS14" s="59">
        <f t="shared" si="17"/>
        <v>338.68309811103717</v>
      </c>
      <c r="DT14" s="59">
        <f ca="1">AVERAGE(OFFSET($DS$3,0,0,'Données projet'!$E$14+1,1))-AVERAGE(OFFSET($H$3,0,0,'Données projet'!$E$14+1,1))</f>
        <v>482.69499576870095</v>
      </c>
      <c r="DU14" s="59">
        <f t="shared" si="44"/>
        <v>384.28918352579575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8</v>
      </c>
      <c r="EJ14" s="12">
        <f>IF('Données projet'!$A$192&gt;35,EJ13+EI14-ER13,IF(A14&lt;'Données projet'!$A$192,$EG$205^A14,IF(A14='Données projet'!$A$192,'Données projet'!$B$192,EJ13+EI14-ER13)))</f>
        <v>52</v>
      </c>
      <c r="EK14" s="17">
        <f>EJ14*VLOOKUP('Données projet'!$B$15,Paramètres!$A$1:$I$89,3,0)*VLOOKUP('Données projet'!$B$15,Paramètres!$A$1:$I$89,5,0)</f>
        <v>38.126399999999997</v>
      </c>
      <c r="EL14" s="13">
        <f t="shared" si="45"/>
        <v>11.500671051108634</v>
      </c>
      <c r="EM14" s="20">
        <f t="shared" si="19"/>
        <v>86.433815414014191</v>
      </c>
      <c r="EN14" s="59">
        <f t="shared" si="20"/>
        <v>356.54492652512533</v>
      </c>
      <c r="EO14" s="59">
        <f ca="1">AVERAGE(OFFSET($EN$3,0,0,'Données projet'!$E$15+1,1))-AVERAGE(OFFSET($H$3,0,0,'Données projet'!$E$15+1,1))</f>
        <v>197.34725966440715</v>
      </c>
      <c r="EP14" s="59">
        <f t="shared" si="46"/>
        <v>240.16326570529532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11.987036213126411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11.987036213126411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11.761904761904763</v>
      </c>
      <c r="FE14" s="12">
        <f>IF('Données projet'!$A$218&gt;35,FE13+FD14-FM13,IF(A14&lt;'Données projet'!$A$218,$FB$205^A14,IF(A14='Données projet'!$A$218,'Données projet'!$B$218,FE13+FD14-FM13)))</f>
        <v>17.919151929977797</v>
      </c>
      <c r="FF14" s="17">
        <f>FE14*VLOOKUP('Données projet'!$B$16,Paramètres!$A$1:$I$89,3,0)*VLOOKUP('Données projet'!$B$16,Paramètres!$A$1:$I$89,5,0)</f>
        <v>10.01680592885759</v>
      </c>
      <c r="FG14" s="13">
        <f t="shared" si="47"/>
        <v>3.5301766550730784</v>
      </c>
      <c r="FH14" s="20">
        <f t="shared" si="22"/>
        <v>23.594328000345911</v>
      </c>
      <c r="FI14" s="59">
        <f t="shared" si="23"/>
        <v>293.70543911145705</v>
      </c>
      <c r="FJ14" s="59">
        <f ca="1">AVERAGE(OFFSET($FI$3,0,0,'Données projet'!$E$16+1,1))-AVERAGE(OFFSET($H$3,0,0,'Données projet'!$E$16+1,1))</f>
        <v>346.42094266871379</v>
      </c>
      <c r="FK14" s="59">
        <f t="shared" si="48"/>
        <v>453.48153556975973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7.9</v>
      </c>
      <c r="FZ14" s="12">
        <f>IF('Données projet'!$A$244&gt;35,FZ13+FY14-GH13,IF(A14&lt;'Données projet'!$A$244,$FW$205^A14,IF(A14='Données projet'!$A$244,'Données projet'!$B$244,FZ13+FY14-GH13)))</f>
        <v>16.190542381779895</v>
      </c>
      <c r="GA14" s="17">
        <f>FZ14*VLOOKUP('Données projet'!$B$17,Paramètres!$A$1:$I$89,3,0)*VLOOKUP('Données projet'!$B$17,Paramètres!$A$1:$I$89,5,0)</f>
        <v>7.5771738346729904</v>
      </c>
      <c r="GB14" s="13">
        <f t="shared" si="49"/>
        <v>2.7585742106736397</v>
      </c>
      <c r="GC14" s="20">
        <f t="shared" si="25"/>
        <v>18.001427845645381</v>
      </c>
      <c r="GD14" s="59">
        <f t="shared" si="26"/>
        <v>288.11253895675651</v>
      </c>
      <c r="GE14" s="59">
        <f ca="1">AVERAGE(OFFSET($GD$3,0,0,'Données projet'!$E$17+1,1))-AVERAGE(OFFSET($H$3,0,0,'Données projet'!$E$17+1,1))</f>
        <v>198.26255998041</v>
      </c>
      <c r="GF14" s="59">
        <f t="shared" si="50"/>
        <v>238.62101708181166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4.3703703703703702</v>
      </c>
      <c r="GU14" s="12">
        <f>IF('Données projet'!$A$270&gt;35,GU13+GT14-HC13,IF(A14&lt;'Données projet'!$A$270,$GR$205^A14,IF(A14='Données projet'!$A$270,'Données projet'!$B$270,GU13+GT14-HC13)))</f>
        <v>6.9839332044678839</v>
      </c>
      <c r="GV14" s="17">
        <f>GU14*VLOOKUP('Données projet'!$B$18,Paramètres!$A$1:$I$89,3,0)*VLOOKUP('Données projet'!$B$18,Paramètres!$A$1:$I$89,5,0)</f>
        <v>8.0454910515470015</v>
      </c>
      <c r="GW14" s="13">
        <f t="shared" si="51"/>
        <v>2.9086957976622085</v>
      </c>
      <c r="GX14" s="20">
        <f t="shared" si="28"/>
        <v>19.078542095706037</v>
      </c>
      <c r="GY14" s="59">
        <f t="shared" si="29"/>
        <v>289.18965320681718</v>
      </c>
      <c r="GZ14" s="59">
        <f ca="1">AVERAGE(OFFSET($GY$3,0,0,'Données projet'!$E$18+1,1))-AVERAGE(OFFSET($H$3,0,0,'Données projet'!$E$18+1,1))</f>
        <v>604.0566904089452</v>
      </c>
      <c r="HA14" s="59">
        <f t="shared" si="52"/>
        <v>369.5187835902687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</v>
      </c>
      <c r="N15" s="13">
        <f>IF('Données projet'!$A$36&gt;35,N14+M15-V14,IF(A15&lt;'Données projet'!$A$36,$K$205^A15,IF(A15='Données projet'!$A$36,'Données projet'!$B$36,N14+M15-V14)))</f>
        <v>48</v>
      </c>
      <c r="O15" s="13">
        <f>N15*VLOOKUP('Données projet'!$B$9,Paramètres!$A$1:$I$89,3,0)*VLOOKUP('Données projet'!$B$9,Paramètres!$A$1:$I$89,5,0)</f>
        <v>43.430399999999999</v>
      </c>
      <c r="P15" s="13">
        <f t="shared" si="33"/>
        <v>12.903475229013621</v>
      </c>
      <c r="Q15" s="20">
        <f t="shared" si="2"/>
        <v>98.114832690532054</v>
      </c>
      <c r="R15" s="59">
        <f t="shared" si="0"/>
        <v>369.44816602386538</v>
      </c>
      <c r="S15" s="59">
        <f ca="1">AVERAGE(OFFSET($R$3,0,0,'Données projet'!$E$9+1,1))-AVERAGE(OFFSET($H$3,0,0,'Données projet'!$E$9+1,1))</f>
        <v>528.20489749461376</v>
      </c>
      <c r="T15" s="59">
        <f t="shared" si="34"/>
        <v>276.26988364830532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17</v>
      </c>
      <c r="AI15" s="13">
        <f>IF('Données projet'!$A$62&gt;35,AI14+AH15-AQ14,IF(A15&lt;'Données projet'!$A$62,$AF$205^A15,IF(A15='Données projet'!$A$62,'Données projet'!$B$62,AI14+AH15-AQ14)))</f>
        <v>118</v>
      </c>
      <c r="AJ15" s="13">
        <f>AI15*VLOOKUP('Données projet'!$B$10,Paramètres!$A$1:$I$89,3,0)*VLOOKUP('Données projet'!$B$10,Paramètres!$A$1:$I$89,5,0)</f>
        <v>106.7664</v>
      </c>
      <c r="AK15" s="13">
        <f t="shared" si="35"/>
        <v>28.5678052620942</v>
      </c>
      <c r="AL15" s="20">
        <f t="shared" si="4"/>
        <v>235.70707416481403</v>
      </c>
      <c r="AM15" s="59">
        <f t="shared" si="5"/>
        <v>507.04040749814737</v>
      </c>
      <c r="AN15" s="59">
        <f ca="1">AVERAGE(OFFSET($AM$3,0,0,'Données projet'!$E$10+1,1))-AVERAGE(OFFSET($H$3,0,0,'Données projet'!$E$10+1,1))</f>
        <v>436.23918637269577</v>
      </c>
      <c r="AO15" s="59">
        <f t="shared" si="36"/>
        <v>611.43967996341894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6.2157909330084768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6.2157909330084768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2.6666666666666665</v>
      </c>
      <c r="BD15" s="12">
        <f>IF('Données projet'!$A$88&gt;35,BD14+BC15-BL14,IF(A15&lt;'Données projet'!$A$88,$BA$205^A15,IF(A15='Données projet'!$A$88,'Données projet'!$B$88,BD14+BC15-BL14)))</f>
        <v>19.127049995800721</v>
      </c>
      <c r="BE15" s="13">
        <f>BD15*VLOOKUP('Données projet'!$B$11,Paramètres!$A$1:$I$89,3,0)*VLOOKUP('Données projet'!$B$11,Paramètres!$A$1:$I$89,5,0)</f>
        <v>14.919098996724562</v>
      </c>
      <c r="BF15" s="13">
        <f t="shared" si="37"/>
        <v>5.019622097301081</v>
      </c>
      <c r="BG15" s="20">
        <f t="shared" si="7"/>
        <v>34.726605905427995</v>
      </c>
      <c r="BH15" s="59">
        <f t="shared" si="8"/>
        <v>306.05993923876133</v>
      </c>
      <c r="BI15" s="59">
        <f ca="1">AVERAGE(OFFSET($BH$3,0,0,'Données projet'!$E$11+1,1))-AVERAGE(OFFSET($H$3,0,0,'Données projet'!$E$11+1,1))</f>
        <v>288.82868507674738</v>
      </c>
      <c r="BJ15" s="59">
        <f t="shared" si="38"/>
        <v>283.48738729114024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0.73541999999999996</v>
      </c>
      <c r="BY15" s="12">
        <f>IF('Données projet'!$A$114&gt;35,BY14+BX15-CG14,IF(A15&lt;'Données projet'!$A$114,$BV$205^A15,IF(A15='Données projet'!$A$114,'Données projet'!$B$114,BY14+BX15-CG14)))</f>
        <v>4.0452765196394411</v>
      </c>
      <c r="BZ15" s="13">
        <f>BY15*VLOOKUP('Données projet'!$B$12,Paramètres!$A$1:$I$89,3,0)*VLOOKUP('Données projet'!$B$12,Paramètres!$A$1:$I$89,5,0)</f>
        <v>3.5339535675570164</v>
      </c>
      <c r="CA15" s="13">
        <f t="shared" si="39"/>
        <v>1.4060324445083128</v>
      </c>
      <c r="CB15" s="20">
        <f t="shared" si="10"/>
        <v>8.6038089710137822</v>
      </c>
      <c r="CC15" s="59">
        <f t="shared" si="11"/>
        <v>279.93714230434711</v>
      </c>
      <c r="CD15" s="59">
        <f ca="1">AVERAGE(OFFSET($CC$3,0,0,'Données projet'!$E$12+1,1))-AVERAGE(OFFSET($H$3,0,0,'Données projet'!$E$12+1,1))</f>
        <v>93.329407403816901</v>
      </c>
      <c r="CE15" s="59">
        <f t="shared" si="40"/>
        <v>90.925148357295313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</v>
      </c>
      <c r="CT15" s="12">
        <f>IF('Données projet'!$A$140&gt;35,CT14+CS15-DB14,IF(A15&lt;'Données projet'!$A$140,$CQ$205^A15,IF(A15='Données projet'!$A$140,'Données projet'!$B$140,CT14+CS15-DB14)))</f>
        <v>71.599999999999994</v>
      </c>
      <c r="CU15" s="17">
        <f>CT15*VLOOKUP('Données projet'!$B$13,Paramètres!$A$1:$I$89,3,0)*VLOOKUP('Données projet'!$B$13,Paramètres!$A$1:$I$89,5,0)</f>
        <v>68.134559999999993</v>
      </c>
      <c r="CV15" s="13">
        <f t="shared" si="41"/>
        <v>19.209477346952927</v>
      </c>
      <c r="CW15" s="20">
        <f t="shared" si="13"/>
        <v>152.12419837927632</v>
      </c>
      <c r="CX15" s="59">
        <f t="shared" si="14"/>
        <v>423.45753171260964</v>
      </c>
      <c r="CY15" s="59">
        <f ca="1">AVERAGE(OFFSET($CX$3,0,0,'Données projet'!$E$13+1,1))-AVERAGE(OFFSET($H$3,0,0,'Données projet'!$E$13+1,1))</f>
        <v>805.04572055352492</v>
      </c>
      <c r="CZ15" s="59">
        <f t="shared" si="42"/>
        <v>708.66645042414962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12.8</v>
      </c>
      <c r="DO15" s="12">
        <f>IF('Données projet'!$A$166&gt;35,DO14+DN15-DW14,IF(A15&lt;'Données projet'!$A$166,$DL$205^A15,IF(A15='Données projet'!$A$166,'Données projet'!$B$166,DO14+DN15-DW14)))</f>
        <v>57.599999999999994</v>
      </c>
      <c r="DP15" s="17">
        <f>DO15*VLOOKUP('Données projet'!$B$14,Paramètres!$A$1:$I$89,3,0)*VLOOKUP('Données projet'!$B$14,Paramètres!$A$1:$I$89,5,0)</f>
        <v>38.638079999999995</v>
      </c>
      <c r="DQ15" s="13">
        <f t="shared" si="43"/>
        <v>11.636945320772135</v>
      </c>
      <c r="DR15" s="20">
        <f t="shared" si="16"/>
        <v>87.562335767011447</v>
      </c>
      <c r="DS15" s="59">
        <f t="shared" si="17"/>
        <v>358.89566910034478</v>
      </c>
      <c r="DT15" s="59">
        <f ca="1">AVERAGE(OFFSET($DS$3,0,0,'Données projet'!$E$14+1,1))-AVERAGE(OFFSET($H$3,0,0,'Données projet'!$E$14+1,1))</f>
        <v>482.69499576870095</v>
      </c>
      <c r="DU15" s="59">
        <f t="shared" si="44"/>
        <v>384.28918352579575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8</v>
      </c>
      <c r="EJ15" s="12">
        <f>IF('Données projet'!$A$192&gt;35,EJ14+EI15-ER14,IF(A15&lt;'Données projet'!$A$192,$EG$205^A15,IF(A15='Données projet'!$A$192,'Données projet'!$B$192,EJ14+EI15-ER14)))</f>
        <v>60</v>
      </c>
      <c r="EK15" s="17">
        <f>EJ15*VLOOKUP('Données projet'!$B$15,Paramètres!$A$1:$I$89,3,0)*VLOOKUP('Données projet'!$B$15,Paramètres!$A$1:$I$89,5,0)</f>
        <v>43.991999999999997</v>
      </c>
      <c r="EL15" s="13">
        <f t="shared" si="45"/>
        <v>13.05079813120688</v>
      </c>
      <c r="EM15" s="20">
        <f t="shared" si="19"/>
        <v>99.349540078518643</v>
      </c>
      <c r="EN15" s="59">
        <f t="shared" si="20"/>
        <v>370.68287341185197</v>
      </c>
      <c r="EO15" s="59">
        <f ca="1">AVERAGE(OFFSET($EN$3,0,0,'Données projet'!$E$15+1,1))-AVERAGE(OFFSET($H$3,0,0,'Données projet'!$E$15+1,1))</f>
        <v>197.34725966440715</v>
      </c>
      <c r="EP15" s="59">
        <f t="shared" si="46"/>
        <v>240.16326570529532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11.659250077507631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11.659250077507631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11.761904761904763</v>
      </c>
      <c r="FE15" s="12">
        <f>IF('Données projet'!$A$218&gt;35,FE14+FD15-FM14,IF(A15&lt;'Données projet'!$A$218,$FB$205^A15,IF(A15='Données projet'!$A$218,'Données projet'!$B$218,FE14+FD15-FM14)))</f>
        <v>23.294607747551723</v>
      </c>
      <c r="FF15" s="17">
        <f>FE15*VLOOKUP('Données projet'!$B$16,Paramètres!$A$1:$I$89,3,0)*VLOOKUP('Données projet'!$B$16,Paramètres!$A$1:$I$89,5,0)</f>
        <v>13.021685730881414</v>
      </c>
      <c r="FG15" s="13">
        <f t="shared" si="47"/>
        <v>4.4511477607356804</v>
      </c>
      <c r="FH15" s="20">
        <f t="shared" si="22"/>
        <v>30.431851664566437</v>
      </c>
      <c r="FI15" s="59">
        <f t="shared" si="23"/>
        <v>301.76518499789972</v>
      </c>
      <c r="FJ15" s="59">
        <f ca="1">AVERAGE(OFFSET($FI$3,0,0,'Données projet'!$E$16+1,1))-AVERAGE(OFFSET($H$3,0,0,'Données projet'!$E$16+1,1))</f>
        <v>346.42094266871379</v>
      </c>
      <c r="FK15" s="59">
        <f t="shared" si="48"/>
        <v>453.48153556975973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7.9</v>
      </c>
      <c r="FZ15" s="12">
        <f>IF('Données projet'!$A$244&gt;35,FZ14+FY15-GH14,IF(A15&lt;'Données projet'!$A$244,$FW$205^A15,IF(A15='Données projet'!$A$244,'Données projet'!$B$244,FZ14+FY15-GH14)))</f>
        <v>20.854234472198982</v>
      </c>
      <c r="GA15" s="17">
        <f>FZ15*VLOOKUP('Données projet'!$B$17,Paramètres!$A$1:$I$89,3,0)*VLOOKUP('Données projet'!$B$17,Paramètres!$A$1:$I$89,5,0)</f>
        <v>9.7597817329891239</v>
      </c>
      <c r="GB15" s="13">
        <f t="shared" si="49"/>
        <v>3.4500178483814818</v>
      </c>
      <c r="GC15" s="20">
        <f t="shared" si="25"/>
        <v>23.00706760422047</v>
      </c>
      <c r="GD15" s="59">
        <f t="shared" si="26"/>
        <v>294.3404009375538</v>
      </c>
      <c r="GE15" s="59">
        <f ca="1">AVERAGE(OFFSET($GD$3,0,0,'Données projet'!$E$17+1,1))-AVERAGE(OFFSET($H$3,0,0,'Données projet'!$E$17+1,1))</f>
        <v>198.26255998041</v>
      </c>
      <c r="GF15" s="59">
        <f t="shared" si="50"/>
        <v>238.62101708181166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4.3703703703703702</v>
      </c>
      <c r="GU15" s="12">
        <f>IF('Données projet'!$A$270&gt;35,GU14+GT15-HC14,IF(A15&lt;'Données projet'!$A$270,$GR$205^A15,IF(A15='Données projet'!$A$270,'Données projet'!$B$270,GU14+GT15-HC14)))</f>
        <v>8.3336728514178713</v>
      </c>
      <c r="GV15" s="17">
        <f>GU15*VLOOKUP('Données projet'!$B$18,Paramètres!$A$1:$I$89,3,0)*VLOOKUP('Données projet'!$B$18,Paramètres!$A$1:$I$89,5,0)</f>
        <v>9.6003911248333864</v>
      </c>
      <c r="GW15" s="13">
        <f t="shared" si="51"/>
        <v>3.400185105246238</v>
      </c>
      <c r="GX15" s="20">
        <f t="shared" si="28"/>
        <v>22.642670267388677</v>
      </c>
      <c r="GY15" s="59">
        <f t="shared" si="29"/>
        <v>293.97600360072198</v>
      </c>
      <c r="GZ15" s="59">
        <f ca="1">AVERAGE(OFFSET($GY$3,0,0,'Données projet'!$E$18+1,1))-AVERAGE(OFFSET($H$3,0,0,'Données projet'!$E$18+1,1))</f>
        <v>604.0566904089452</v>
      </c>
      <c r="HA15" s="59">
        <f t="shared" si="52"/>
        <v>369.5187835902687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</v>
      </c>
      <c r="N16" s="13">
        <f>IF('Données projet'!$A$36&gt;35,N15+M16-V15,IF(A16&lt;'Données projet'!$A$36,$K$205^A16,IF(A16='Données projet'!$A$36,'Données projet'!$B$36,N15+M16-V15)))</f>
        <v>52</v>
      </c>
      <c r="O16" s="13">
        <f>N16*VLOOKUP('Données projet'!$B$9,Paramètres!$A$1:$I$89,3,0)*VLOOKUP('Données projet'!$B$9,Paramètres!$A$1:$I$89,5,0)</f>
        <v>47.049599999999998</v>
      </c>
      <c r="P16" s="13">
        <f t="shared" si="33"/>
        <v>13.849129922569936</v>
      </c>
      <c r="Q16" s="20">
        <f t="shared" si="2"/>
        <v>106.06528794847596</v>
      </c>
      <c r="R16" s="59">
        <f t="shared" si="0"/>
        <v>378.62084350403148</v>
      </c>
      <c r="S16" s="59">
        <f ca="1">AVERAGE(OFFSET($R$3,0,0,'Données projet'!$E$9+1,1))-AVERAGE(OFFSET($H$3,0,0,'Données projet'!$E$9+1,1))</f>
        <v>528.20489749461376</v>
      </c>
      <c r="T16" s="59">
        <f t="shared" si="34"/>
        <v>276.26988364830532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17</v>
      </c>
      <c r="AI16" s="13">
        <f>IF('Données projet'!$A$62&gt;35,AI15+AH16-AQ15,IF(A16&lt;'Données projet'!$A$62,$AF$205^A16,IF(A16='Données projet'!$A$62,'Données projet'!$B$62,AI15+AH16-AQ15)))</f>
        <v>135</v>
      </c>
      <c r="AJ16" s="13">
        <f>AI16*VLOOKUP('Données projet'!$B$10,Paramètres!$A$1:$I$89,3,0)*VLOOKUP('Données projet'!$B$10,Paramètres!$A$1:$I$89,5,0)</f>
        <v>122.148</v>
      </c>
      <c r="AK16" s="13">
        <f t="shared" si="35"/>
        <v>32.175466547071615</v>
      </c>
      <c r="AL16" s="20">
        <f t="shared" si="4"/>
        <v>268.78003756948306</v>
      </c>
      <c r="AM16" s="59">
        <f t="shared" si="5"/>
        <v>541.3355931250386</v>
      </c>
      <c r="AN16" s="59">
        <f ca="1">AVERAGE(OFFSET($AM$3,0,0,'Données projet'!$E$10+1,1))-AVERAGE(OFFSET($H$3,0,0,'Données projet'!$E$10+1,1))</f>
        <v>436.23918637269577</v>
      </c>
      <c r="AO16" s="59">
        <f t="shared" si="36"/>
        <v>611.43967996341894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6.0458198030711214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6.0458198030711214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2.6666666666666665</v>
      </c>
      <c r="BD16" s="12">
        <f>IF('Données projet'!$A$88&gt;35,BD15+BC16-BL15,IF(A16&lt;'Données projet'!$A$88,$BA$205^A16,IF(A16='Données projet'!$A$88,'Données projet'!$B$88,BD15+BC16-BL15)))</f>
        <v>24.459748796430759</v>
      </c>
      <c r="BE16" s="13">
        <f>BD16*VLOOKUP('Données projet'!$B$11,Paramètres!$A$1:$I$89,3,0)*VLOOKUP('Données projet'!$B$11,Paramètres!$A$1:$I$89,5,0)</f>
        <v>19.078604061215994</v>
      </c>
      <c r="BF16" s="13">
        <f t="shared" si="37"/>
        <v>6.2379664748280286</v>
      </c>
      <c r="BG16" s="20">
        <f t="shared" si="7"/>
        <v>44.093027016943331</v>
      </c>
      <c r="BH16" s="59">
        <f t="shared" si="8"/>
        <v>316.64858257249887</v>
      </c>
      <c r="BI16" s="59">
        <f ca="1">AVERAGE(OFFSET($BH$3,0,0,'Données projet'!$E$11+1,1))-AVERAGE(OFFSET($H$3,0,0,'Données projet'!$E$11+1,1))</f>
        <v>288.82868507674738</v>
      </c>
      <c r="BJ16" s="59">
        <f t="shared" si="38"/>
        <v>283.48738729114024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0.73541999999999996</v>
      </c>
      <c r="BY16" s="12">
        <f>IF('Données projet'!$A$114&gt;35,BY15+BX16-CG15,IF(A16&lt;'Données projet'!$A$114,$BV$205^A16,IF(A16='Données projet'!$A$114,'Données projet'!$B$114,BY15+BX16-CG15)))</f>
        <v>4.5449303430161399</v>
      </c>
      <c r="BZ16" s="13">
        <f>BY16*VLOOKUP('Données projet'!$B$12,Paramètres!$A$1:$I$89,3,0)*VLOOKUP('Données projet'!$B$12,Paramètres!$A$1:$I$89,5,0)</f>
        <v>3.9704511476589004</v>
      </c>
      <c r="CA16" s="13">
        <f t="shared" si="39"/>
        <v>1.5584287890098225</v>
      </c>
      <c r="CB16" s="20">
        <f t="shared" si="10"/>
        <v>9.6294658896980252</v>
      </c>
      <c r="CC16" s="59">
        <f t="shared" si="11"/>
        <v>282.1850214452536</v>
      </c>
      <c r="CD16" s="59">
        <f ca="1">AVERAGE(OFFSET($CC$3,0,0,'Données projet'!$E$12+1,1))-AVERAGE(OFFSET($H$3,0,0,'Données projet'!$E$12+1,1))</f>
        <v>93.329407403816901</v>
      </c>
      <c r="CE16" s="59">
        <f t="shared" si="40"/>
        <v>90.925148357295313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</v>
      </c>
      <c r="CT16" s="12">
        <f>IF('Données projet'!$A$140&gt;35,CT15+CS16-DB15,IF(A16&lt;'Données projet'!$A$140,$CQ$205^A16,IF(A16='Données projet'!$A$140,'Données projet'!$B$140,CT15+CS16-DB15)))</f>
        <v>82.399999999999991</v>
      </c>
      <c r="CU16" s="17">
        <f>CT16*VLOOKUP('Données projet'!$B$13,Paramètres!$A$1:$I$89,3,0)*VLOOKUP('Données projet'!$B$13,Paramètres!$A$1:$I$89,5,0)</f>
        <v>78.411839999999998</v>
      </c>
      <c r="CV16" s="13">
        <f t="shared" si="41"/>
        <v>21.748418750590101</v>
      </c>
      <c r="CW16" s="20">
        <f t="shared" si="13"/>
        <v>174.44578399061106</v>
      </c>
      <c r="CX16" s="59">
        <f t="shared" si="14"/>
        <v>447.00133954616661</v>
      </c>
      <c r="CY16" s="59">
        <f ca="1">AVERAGE(OFFSET($CX$3,0,0,'Données projet'!$E$13+1,1))-AVERAGE(OFFSET($H$3,0,0,'Données projet'!$E$13+1,1))</f>
        <v>805.04572055352492</v>
      </c>
      <c r="CZ16" s="59">
        <f t="shared" si="42"/>
        <v>708.66645042414962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12.8</v>
      </c>
      <c r="DO16" s="12">
        <f>IF('Données projet'!$A$166&gt;35,DO15+DN16-DW15,IF(A16&lt;'Données projet'!$A$166,$DL$205^A16,IF(A16='Données projet'!$A$166,'Données projet'!$B$166,DO15+DN16-DW15)))</f>
        <v>70.399999999999991</v>
      </c>
      <c r="DP16" s="17">
        <f>DO16*VLOOKUP('Données projet'!$B$14,Paramètres!$A$1:$I$89,3,0)*VLOOKUP('Données projet'!$B$14,Paramètres!$A$1:$I$89,5,0)</f>
        <v>47.224319999999992</v>
      </c>
      <c r="DQ16" s="13">
        <f t="shared" si="43"/>
        <v>13.894562893680241</v>
      </c>
      <c r="DR16" s="20">
        <f t="shared" si="16"/>
        <v>106.44872103982641</v>
      </c>
      <c r="DS16" s="59">
        <f t="shared" si="17"/>
        <v>379.00427659538195</v>
      </c>
      <c r="DT16" s="59">
        <f ca="1">AVERAGE(OFFSET($DS$3,0,0,'Données projet'!$E$14+1,1))-AVERAGE(OFFSET($H$3,0,0,'Données projet'!$E$14+1,1))</f>
        <v>482.69499576870095</v>
      </c>
      <c r="DU16" s="59">
        <f t="shared" si="44"/>
        <v>384.28918352579575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8</v>
      </c>
      <c r="EJ16" s="12">
        <f>IF('Données projet'!$A$192&gt;35,EJ15+EI16-ER15,IF(A16&lt;'Données projet'!$A$192,$EG$205^A16,IF(A16='Données projet'!$A$192,'Données projet'!$B$192,EJ15+EI16-ER15)))</f>
        <v>68</v>
      </c>
      <c r="EK16" s="17">
        <f>EJ16*VLOOKUP('Données projet'!$B$15,Paramètres!$A$1:$I$89,3,0)*VLOOKUP('Données projet'!$B$15,Paramètres!$A$1:$I$89,5,0)</f>
        <v>49.857599999999998</v>
      </c>
      <c r="EL16" s="13">
        <f t="shared" si="45"/>
        <v>14.576978140351212</v>
      </c>
      <c r="EM16" s="20">
        <f t="shared" si="19"/>
        <v>112.22355692777835</v>
      </c>
      <c r="EN16" s="59">
        <f t="shared" si="20"/>
        <v>384.7791124833339</v>
      </c>
      <c r="EO16" s="59">
        <f ca="1">AVERAGE(OFFSET($EN$3,0,0,'Données projet'!$E$15+1,1))-AVERAGE(OFFSET($H$3,0,0,'Données projet'!$E$15+1,1))</f>
        <v>197.34725966440715</v>
      </c>
      <c r="EP16" s="59">
        <f t="shared" si="46"/>
        <v>240.16326570529532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11.34042727100487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11.34042727100487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11.761904761904763</v>
      </c>
      <c r="FE16" s="12">
        <f>IF('Données projet'!$A$218&gt;35,FE15+FD16-FM15,IF(A16&lt;'Données projet'!$A$218,$FB$205^A16,IF(A16='Données projet'!$A$218,'Données projet'!$B$218,FE15+FD16-FM15)))</f>
        <v>30.28261338665758</v>
      </c>
      <c r="FF16" s="17">
        <f>FE16*VLOOKUP('Données projet'!$B$16,Paramètres!$A$1:$I$89,3,0)*VLOOKUP('Données projet'!$B$16,Paramètres!$A$1:$I$89,5,0)</f>
        <v>16.927980883141586</v>
      </c>
      <c r="FG16" s="13">
        <f t="shared" si="47"/>
        <v>5.6123866660979091</v>
      </c>
      <c r="FH16" s="20">
        <f t="shared" si="22"/>
        <v>39.257806814925452</v>
      </c>
      <c r="FI16" s="59">
        <f t="shared" si="23"/>
        <v>311.813362370481</v>
      </c>
      <c r="FJ16" s="59">
        <f ca="1">AVERAGE(OFFSET($FI$3,0,0,'Données projet'!$E$16+1,1))-AVERAGE(OFFSET($H$3,0,0,'Données projet'!$E$16+1,1))</f>
        <v>346.42094266871379</v>
      </c>
      <c r="FK16" s="59">
        <f t="shared" si="48"/>
        <v>453.48153556975973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7.9</v>
      </c>
      <c r="FZ16" s="12">
        <f>IF('Données projet'!$A$244&gt;35,FZ15+FY16-GH15,IF(A16&lt;'Données projet'!$A$244,$FW$205^A16,IF(A16='Données projet'!$A$244,'Données projet'!$B$244,FZ15+FY16-GH15)))</f>
        <v>26.861304900499697</v>
      </c>
      <c r="GA16" s="17">
        <f>FZ16*VLOOKUP('Données projet'!$B$17,Paramètres!$A$1:$I$89,3,0)*VLOOKUP('Données projet'!$B$17,Paramètres!$A$1:$I$89,5,0)</f>
        <v>12.571090693433858</v>
      </c>
      <c r="GB16" s="13">
        <f t="shared" si="49"/>
        <v>4.3147735914069099</v>
      </c>
      <c r="GC16" s="20">
        <f t="shared" si="25"/>
        <v>29.409546962764335</v>
      </c>
      <c r="GD16" s="59">
        <f t="shared" si="26"/>
        <v>301.9651025183199</v>
      </c>
      <c r="GE16" s="59">
        <f ca="1">AVERAGE(OFFSET($GD$3,0,0,'Données projet'!$E$17+1,1))-AVERAGE(OFFSET($H$3,0,0,'Données projet'!$E$17+1,1))</f>
        <v>198.26255998041</v>
      </c>
      <c r="GF16" s="59">
        <f t="shared" si="50"/>
        <v>238.62101708181166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4.3703703703703702</v>
      </c>
      <c r="GU16" s="12">
        <f>IF('Données projet'!$A$270&gt;35,GU15+GT16-HC15,IF(A16&lt;'Données projet'!$A$270,$GR$205^A16,IF(A16='Données projet'!$A$270,'Données projet'!$B$270,GU15+GT16-HC15)))</f>
        <v>9.944267959210924</v>
      </c>
      <c r="GV16" s="17">
        <f>GU16*VLOOKUP('Données projet'!$B$18,Paramètres!$A$1:$I$89,3,0)*VLOOKUP('Données projet'!$B$18,Paramètres!$A$1:$I$89,5,0)</f>
        <v>11.455796689010983</v>
      </c>
      <c r="GW16" s="13">
        <f t="shared" si="51"/>
        <v>3.9747225403324906</v>
      </c>
      <c r="GX16" s="20">
        <f t="shared" si="28"/>
        <v>26.874820991106549</v>
      </c>
      <c r="GY16" s="59">
        <f t="shared" si="29"/>
        <v>299.4303765466621</v>
      </c>
      <c r="GZ16" s="59">
        <f ca="1">AVERAGE(OFFSET($GY$3,0,0,'Données projet'!$E$18+1,1))-AVERAGE(OFFSET($H$3,0,0,'Données projet'!$E$18+1,1))</f>
        <v>604.0566904089452</v>
      </c>
      <c r="HA16" s="59">
        <f t="shared" si="52"/>
        <v>369.5187835902687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</v>
      </c>
      <c r="N17" s="13">
        <f>IF('Données projet'!$A$36&gt;35,N16+M17-V16,IF(A17&lt;'Données projet'!$A$36,$K$205^A17,IF(A17='Données projet'!$A$36,'Données projet'!$B$36,N16+M17-V16)))</f>
        <v>56</v>
      </c>
      <c r="O17" s="13">
        <f>N17*VLOOKUP('Données projet'!$B$9,Paramètres!$A$1:$I$89,3,0)*VLOOKUP('Données projet'!$B$9,Paramètres!$A$1:$I$89,5,0)</f>
        <v>50.668799999999997</v>
      </c>
      <c r="P17" s="13">
        <f t="shared" si="33"/>
        <v>14.786346384516113</v>
      </c>
      <c r="Q17" s="20">
        <f t="shared" si="2"/>
        <v>114.0010466196989</v>
      </c>
      <c r="R17" s="59">
        <f t="shared" si="0"/>
        <v>387.77882439747668</v>
      </c>
      <c r="S17" s="59">
        <f ca="1">AVERAGE(OFFSET($R$3,0,0,'Données projet'!$E$9+1,1))-AVERAGE(OFFSET($H$3,0,0,'Données projet'!$E$9+1,1))</f>
        <v>528.20489749461376</v>
      </c>
      <c r="T17" s="59">
        <f t="shared" si="34"/>
        <v>276.26988364830532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17</v>
      </c>
      <c r="AI17" s="13">
        <f>IF('Données projet'!$A$62&gt;35,AI16+AH17-AQ16,IF(A17&lt;'Données projet'!$A$62,$AF$205^A17,IF(A17='Données projet'!$A$62,'Données projet'!$B$62,AI16+AH17-AQ16)))</f>
        <v>152</v>
      </c>
      <c r="AJ17" s="13">
        <f>AI17*VLOOKUP('Données projet'!$B$10,Paramètres!$A$1:$I$89,3,0)*VLOOKUP('Données projet'!$B$10,Paramètres!$A$1:$I$89,5,0)</f>
        <v>137.52959999999999</v>
      </c>
      <c r="AK17" s="13">
        <f t="shared" si="35"/>
        <v>35.730486489800548</v>
      </c>
      <c r="AL17" s="20">
        <f t="shared" si="4"/>
        <v>301.76131730306923</v>
      </c>
      <c r="AM17" s="59">
        <f t="shared" si="5"/>
        <v>575.53909508084701</v>
      </c>
      <c r="AN17" s="59">
        <f ca="1">AVERAGE(OFFSET($AM$3,0,0,'Données projet'!$E$10+1,1))-AVERAGE(OFFSET($H$3,0,0,'Données projet'!$E$10+1,1))</f>
        <v>436.23918637269577</v>
      </c>
      <c r="AO17" s="59">
        <f t="shared" si="36"/>
        <v>611.43967996341894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5.8804965426202962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5.8804965426202962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2.6666666666666665</v>
      </c>
      <c r="BD17" s="12">
        <f>IF('Données projet'!$A$88&gt;35,BD16+BC17-BL16,IF(A17&lt;'Données projet'!$A$88,$BA$205^A17,IF(A17='Données projet'!$A$88,'Données projet'!$B$88,BD16+BC17-BL16)))</f>
        <v>31.279225563578599</v>
      </c>
      <c r="BE17" s="13">
        <f>BD17*VLOOKUP('Données projet'!$B$11,Paramètres!$A$1:$I$89,3,0)*VLOOKUP('Données projet'!$B$11,Paramètres!$A$1:$I$89,5,0)</f>
        <v>24.397795939591308</v>
      </c>
      <c r="BF17" s="13">
        <f t="shared" si="37"/>
        <v>7.75202295846145</v>
      </c>
      <c r="BG17" s="20">
        <f t="shared" si="7"/>
        <v>55.994267914108548</v>
      </c>
      <c r="BH17" s="59">
        <f t="shared" si="8"/>
        <v>329.77204569188632</v>
      </c>
      <c r="BI17" s="59">
        <f ca="1">AVERAGE(OFFSET($BH$3,0,0,'Données projet'!$E$11+1,1))-AVERAGE(OFFSET($H$3,0,0,'Données projet'!$E$11+1,1))</f>
        <v>288.82868507674738</v>
      </c>
      <c r="BJ17" s="59">
        <f t="shared" si="38"/>
        <v>283.48738729114024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0.73541999999999996</v>
      </c>
      <c r="BY17" s="12">
        <f>IF('Données projet'!$A$114&gt;35,BY16+BX17-CG16,IF(A17&lt;'Données projet'!$A$114,$BV$205^A17,IF(A17='Données projet'!$A$114,'Données projet'!$B$114,BY16+BX17-CG16)))</f>
        <v>5.1062990929257737</v>
      </c>
      <c r="BZ17" s="13">
        <f>BY17*VLOOKUP('Données projet'!$B$12,Paramètres!$A$1:$I$89,3,0)*VLOOKUP('Données projet'!$B$12,Paramètres!$A$1:$I$89,5,0)</f>
        <v>4.4608628875799567</v>
      </c>
      <c r="CA17" s="13">
        <f t="shared" si="39"/>
        <v>1.7273429926177377</v>
      </c>
      <c r="CB17" s="20">
        <f t="shared" si="10"/>
        <v>10.777791908010984</v>
      </c>
      <c r="CC17" s="59">
        <f t="shared" si="11"/>
        <v>284.55556968578878</v>
      </c>
      <c r="CD17" s="59">
        <f ca="1">AVERAGE(OFFSET($CC$3,0,0,'Données projet'!$E$12+1,1))-AVERAGE(OFFSET($H$3,0,0,'Données projet'!$E$12+1,1))</f>
        <v>93.329407403816901</v>
      </c>
      <c r="CE17" s="59">
        <f t="shared" si="40"/>
        <v>90.925148357295313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</v>
      </c>
      <c r="CT17" s="12">
        <f>IF('Données projet'!$A$140&gt;35,CT16+CS17-DB16,IF(A17&lt;'Données projet'!$A$140,$CQ$205^A17,IF(A17='Données projet'!$A$140,'Données projet'!$B$140,CT16+CS17-DB16)))</f>
        <v>93.199999999999989</v>
      </c>
      <c r="CU17" s="17">
        <f>CT17*VLOOKUP('Données projet'!$B$13,Paramètres!$A$1:$I$89,3,0)*VLOOKUP('Données projet'!$B$13,Paramètres!$A$1:$I$89,5,0)</f>
        <v>88.689119999999988</v>
      </c>
      <c r="CV17" s="13">
        <f t="shared" si="41"/>
        <v>24.248802836496601</v>
      </c>
      <c r="CW17" s="20">
        <f t="shared" si="13"/>
        <v>196.70021560689824</v>
      </c>
      <c r="CX17" s="59">
        <f t="shared" si="14"/>
        <v>470.47799338467598</v>
      </c>
      <c r="CY17" s="59">
        <f ca="1">AVERAGE(OFFSET($CX$3,0,0,'Données projet'!$E$13+1,1))-AVERAGE(OFFSET($H$3,0,0,'Données projet'!$E$13+1,1))</f>
        <v>805.04572055352492</v>
      </c>
      <c r="CZ17" s="59">
        <f t="shared" si="42"/>
        <v>708.66645042414962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12.8</v>
      </c>
      <c r="DO17" s="12">
        <f>IF('Données projet'!$A$166&gt;35,DO16+DN17-DW16,IF(A17&lt;'Données projet'!$A$166,$DL$205^A17,IF(A17='Données projet'!$A$166,'Données projet'!$B$166,DO16+DN17-DW16)))</f>
        <v>83.199999999999989</v>
      </c>
      <c r="DP17" s="17">
        <f>DO17*VLOOKUP('Données projet'!$B$14,Paramètres!$A$1:$I$89,3,0)*VLOOKUP('Données projet'!$B$14,Paramètres!$A$1:$I$89,5,0)</f>
        <v>55.810559999999995</v>
      </c>
      <c r="DQ17" s="13">
        <f t="shared" si="43"/>
        <v>16.1046265504982</v>
      </c>
      <c r="DR17" s="20">
        <f t="shared" si="16"/>
        <v>125.25228324211768</v>
      </c>
      <c r="DS17" s="59">
        <f t="shared" si="17"/>
        <v>399.03006101989547</v>
      </c>
      <c r="DT17" s="59">
        <f ca="1">AVERAGE(OFFSET($DS$3,0,0,'Données projet'!$E$14+1,1))-AVERAGE(OFFSET($H$3,0,0,'Données projet'!$E$14+1,1))</f>
        <v>482.69499576870095</v>
      </c>
      <c r="DU17" s="59">
        <f t="shared" si="44"/>
        <v>384.28918352579575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8</v>
      </c>
      <c r="EJ17" s="12">
        <f>IF('Données projet'!$A$192&gt;35,EJ16+EI17-ER16,IF(A17&lt;'Données projet'!$A$192,$EG$205^A17,IF(A17='Données projet'!$A$192,'Données projet'!$B$192,EJ16+EI17-ER16)))</f>
        <v>76</v>
      </c>
      <c r="EK17" s="17">
        <f>EJ17*VLOOKUP('Données projet'!$B$15,Paramètres!$A$1:$I$89,3,0)*VLOOKUP('Données projet'!$B$15,Paramètres!$A$1:$I$89,5,0)</f>
        <v>55.723199999999999</v>
      </c>
      <c r="EL17" s="13">
        <f t="shared" si="45"/>
        <v>16.082350294695448</v>
      </c>
      <c r="EM17" s="20">
        <f t="shared" si="19"/>
        <v>125.0613334299279</v>
      </c>
      <c r="EN17" s="59">
        <f t="shared" si="20"/>
        <v>398.83911120770568</v>
      </c>
      <c r="EO17" s="59">
        <f ca="1">AVERAGE(OFFSET($EN$3,0,0,'Données projet'!$E$15+1,1))-AVERAGE(OFFSET($H$3,0,0,'Données projet'!$E$15+1,1))</f>
        <v>197.34725966440715</v>
      </c>
      <c r="EP17" s="59">
        <f t="shared" si="46"/>
        <v>240.16326570529532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11.03032269091209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11.03032269091209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11.761904761904763</v>
      </c>
      <c r="FE17" s="12">
        <f>IF('Données projet'!$A$218&gt;35,FE16+FD17-FM16,IF(A17&lt;'Données projet'!$A$218,$FB$205^A17,IF(A17='Données projet'!$A$218,'Données projet'!$B$218,FE16+FD17-FM16)))</f>
        <v>39.366907718038483</v>
      </c>
      <c r="FF17" s="17">
        <f>FE17*VLOOKUP('Données projet'!$B$16,Paramètres!$A$1:$I$89,3,0)*VLOOKUP('Données projet'!$B$16,Paramètres!$A$1:$I$89,5,0)</f>
        <v>22.006101414383512</v>
      </c>
      <c r="FG17" s="13">
        <f t="shared" si="47"/>
        <v>7.0765757020358997</v>
      </c>
      <c r="FH17" s="20">
        <f t="shared" si="22"/>
        <v>50.652329311097141</v>
      </c>
      <c r="FI17" s="59">
        <f t="shared" si="23"/>
        <v>324.43010708887493</v>
      </c>
      <c r="FJ17" s="59">
        <f ca="1">AVERAGE(OFFSET($FI$3,0,0,'Données projet'!$E$16+1,1))-AVERAGE(OFFSET($H$3,0,0,'Données projet'!$E$16+1,1))</f>
        <v>346.42094266871379</v>
      </c>
      <c r="FK17" s="59">
        <f t="shared" si="48"/>
        <v>453.48153556975973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7.9</v>
      </c>
      <c r="FZ17" s="12">
        <f>IF('Données projet'!$A$244&gt;35,FZ16+FY17-GH16,IF(A17&lt;'Données projet'!$A$244,$FW$205^A17,IF(A17='Données projet'!$A$244,'Données projet'!$B$244,FZ16+FY17-GH16)))</f>
        <v>34.598714324397214</v>
      </c>
      <c r="GA17" s="17">
        <f>FZ17*VLOOKUP('Données projet'!$B$17,Paramètres!$A$1:$I$89,3,0)*VLOOKUP('Données projet'!$B$17,Paramètres!$A$1:$I$89,5,0)</f>
        <v>16.192198303817896</v>
      </c>
      <c r="GB17" s="13">
        <f t="shared" si="49"/>
        <v>5.3962825594761723</v>
      </c>
      <c r="GC17" s="20">
        <f t="shared" si="25"/>
        <v>37.599937503570509</v>
      </c>
      <c r="GD17" s="59">
        <f t="shared" si="26"/>
        <v>311.37771528134829</v>
      </c>
      <c r="GE17" s="59">
        <f ca="1">AVERAGE(OFFSET($GD$3,0,0,'Données projet'!$E$17+1,1))-AVERAGE(OFFSET($H$3,0,0,'Données projet'!$E$17+1,1))</f>
        <v>198.26255998041</v>
      </c>
      <c r="GF17" s="59">
        <f t="shared" si="50"/>
        <v>238.62101708181166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4.3703703703703702</v>
      </c>
      <c r="GU17" s="12">
        <f>IF('Données projet'!$A$270&gt;35,GU16+GT17-HC16,IF(A17&lt;'Données projet'!$A$270,$GR$205^A17,IF(A17='Données projet'!$A$270,'Données projet'!$B$270,GU16+GT17-HC16)))</f>
        <v>11.866132377366407</v>
      </c>
      <c r="GV17" s="17">
        <f>GU17*VLOOKUP('Données projet'!$B$18,Paramètres!$A$1:$I$89,3,0)*VLOOKUP('Données projet'!$B$18,Paramètres!$A$1:$I$89,5,0)</f>
        <v>13.6697844987261</v>
      </c>
      <c r="GW17" s="13">
        <f t="shared" si="51"/>
        <v>4.6463409442772248</v>
      </c>
      <c r="GX17" s="20">
        <f t="shared" si="28"/>
        <v>31.900585146564126</v>
      </c>
      <c r="GY17" s="59">
        <f t="shared" si="29"/>
        <v>305.67836292434191</v>
      </c>
      <c r="GZ17" s="59">
        <f ca="1">AVERAGE(OFFSET($GY$3,0,0,'Données projet'!$E$18+1,1))-AVERAGE(OFFSET($H$3,0,0,'Données projet'!$E$18+1,1))</f>
        <v>604.0566904089452</v>
      </c>
      <c r="HA17" s="59">
        <f t="shared" si="52"/>
        <v>369.5187835902687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</v>
      </c>
      <c r="N18" s="13">
        <f>IF('Données projet'!$A$36&gt;35,N17+M18-V17,IF(A18&lt;'Données projet'!$A$36,$K$205^A18,IF(A18='Données projet'!$A$36,'Données projet'!$B$36,N17+M18-V17)))</f>
        <v>60</v>
      </c>
      <c r="O18" s="13">
        <f>N18*VLOOKUP('Données projet'!$B$9,Paramètres!$A$1:$I$89,3,0)*VLOOKUP('Données projet'!$B$9,Paramètres!$A$1:$I$89,5,0)</f>
        <v>54.287999999999997</v>
      </c>
      <c r="P18" s="13">
        <f t="shared" si="33"/>
        <v>15.715795896526746</v>
      </c>
      <c r="Q18" s="20">
        <f t="shared" si="2"/>
        <v>121.9232778531174</v>
      </c>
      <c r="R18" s="59">
        <f t="shared" si="0"/>
        <v>396.92327785311738</v>
      </c>
      <c r="S18" s="59">
        <f ca="1">AVERAGE(OFFSET($R$3,0,0,'Données projet'!$E$9+1,1))-AVERAGE(OFFSET($H$3,0,0,'Données projet'!$E$9+1,1))</f>
        <v>528.20489749461376</v>
      </c>
      <c r="T18" s="59">
        <f t="shared" si="34"/>
        <v>276.26988364830532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169</v>
      </c>
      <c r="AG18" s="12">
        <f>VLOOKUP(A18,'Données projet'!$A$61:$I$81,9,0)</f>
        <v>17</v>
      </c>
      <c r="AH18" s="12">
        <f t="array" ref="AH18">INDEX(AG:AG,MIN(IF(ISNUMBER(AG18:AG214),ROW(AG18:AG214),"")))</f>
        <v>17</v>
      </c>
      <c r="AI18" s="13">
        <f>IF('Données projet'!$A$62&gt;35,AI17+AH18-AQ17,IF(A18&lt;'Données projet'!$A$62,$AF$205^A18,IF(A18='Données projet'!$A$62,'Données projet'!$B$62,AI17+AH18-AQ17)))</f>
        <v>169</v>
      </c>
      <c r="AJ18" s="13">
        <f>AI18*VLOOKUP('Données projet'!$B$10,Paramètres!$A$1:$I$89,3,0)*VLOOKUP('Données projet'!$B$10,Paramètres!$A$1:$I$89,5,0)</f>
        <v>152.91120000000001</v>
      </c>
      <c r="AK18" s="13">
        <f t="shared" si="35"/>
        <v>39.239424324197543</v>
      </c>
      <c r="AL18" s="20">
        <f t="shared" si="4"/>
        <v>334.66233736464409</v>
      </c>
      <c r="AM18" s="59">
        <f t="shared" si="5"/>
        <v>609.66233736464415</v>
      </c>
      <c r="AN18" s="59">
        <f ca="1">AVERAGE(OFFSET($AM$3,0,0,'Données projet'!$E$10+1,1))-AVERAGE(OFFSET($H$3,0,0,'Données projet'!$E$10+1,1))</f>
        <v>436.23918637269577</v>
      </c>
      <c r="AO18" s="59">
        <f t="shared" si="36"/>
        <v>611.43967996341894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29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0.15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10.053561272848249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10.053561272848249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40</v>
      </c>
      <c r="BB18" s="12">
        <f>VLOOKUP(A18,'Données projet'!$A$87:$I$107,9,0)</f>
        <v>2.6666666666666665</v>
      </c>
      <c r="BC18" s="12">
        <f t="array" ref="BC18">INDEX(BB:BB,MIN(IF(ISNUMBER(BB18:BB214),ROW(BB18:BB214),"")))</f>
        <v>2.6666666666666665</v>
      </c>
      <c r="BD18" s="12">
        <f>IF('Données projet'!$A$88&gt;35,BD17+BC18-BL17,IF(A18&lt;'Données projet'!$A$88,$BA$205^A18,IF(A18='Données projet'!$A$88,'Données projet'!$B$88,BD17+BC18-BL17)))</f>
        <v>40</v>
      </c>
      <c r="BE18" s="13">
        <f>BD18*VLOOKUP('Données projet'!$B$11,Paramètres!$A$1:$I$89,3,0)*VLOOKUP('Données projet'!$B$11,Paramètres!$A$1:$I$89,5,0)</f>
        <v>31.200000000000003</v>
      </c>
      <c r="BF18" s="13">
        <f t="shared" si="37"/>
        <v>9.6335657126419925</v>
      </c>
      <c r="BG18" s="20">
        <f t="shared" si="7"/>
        <v>71.118460282851473</v>
      </c>
      <c r="BH18" s="59">
        <f t="shared" si="8"/>
        <v>346.11846028285146</v>
      </c>
      <c r="BI18" s="59">
        <f ca="1">AVERAGE(OFFSET($BH$3,0,0,'Données projet'!$E$11+1,1))-AVERAGE(OFFSET($H$3,0,0,'Données projet'!$E$11+1,1))</f>
        <v>288.82868507674738</v>
      </c>
      <c r="BJ18" s="59">
        <f t="shared" si="38"/>
        <v>283.48738729114024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0.73541999999999996</v>
      </c>
      <c r="BY18" s="12">
        <f>IF('Données projet'!$A$114&gt;35,BY17+BX18-CG17,IF(A18&lt;'Données projet'!$A$114,$BV$205^A18,IF(A18='Données projet'!$A$114,'Données projet'!$B$114,BY17+BX18-CG17)))</f>
        <v>5.7370055113124065</v>
      </c>
      <c r="BZ18" s="13">
        <f>BY18*VLOOKUP('Données projet'!$B$12,Paramètres!$A$1:$I$89,3,0)*VLOOKUP('Données projet'!$B$12,Paramètres!$A$1:$I$89,5,0)</f>
        <v>5.0118480146825188</v>
      </c>
      <c r="CA18" s="13">
        <f t="shared" si="39"/>
        <v>1.914565384820285</v>
      </c>
      <c r="CB18" s="20">
        <f t="shared" si="10"/>
        <v>12.063503337467383</v>
      </c>
      <c r="CC18" s="59">
        <f t="shared" si="11"/>
        <v>287.06350333746741</v>
      </c>
      <c r="CD18" s="59">
        <f ca="1">AVERAGE(OFFSET($CC$3,0,0,'Données projet'!$E$12+1,1))-AVERAGE(OFFSET($H$3,0,0,'Données projet'!$E$12+1,1))</f>
        <v>93.329407403816901</v>
      </c>
      <c r="CE18" s="59">
        <f t="shared" si="40"/>
        <v>90.925148357295313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104</v>
      </c>
      <c r="CR18" s="12">
        <f>VLOOKUP(A18,'Données projet'!$A$139:$I$159,9,0)</f>
        <v>10.8</v>
      </c>
      <c r="CS18" s="12">
        <f t="array" ref="CS18">INDEX(CR:CR,MIN(IF(ISNUMBER(CR18:CR214),ROW(CR18:CR214),"")))</f>
        <v>10.8</v>
      </c>
      <c r="CT18" s="12">
        <f>IF('Données projet'!$A$140&gt;35,CT17+CS18-DB17,IF(A18&lt;'Données projet'!$A$140,$CQ$205^A18,IF(A18='Données projet'!$A$140,'Données projet'!$B$140,CT17+CS18-DB17)))</f>
        <v>103.99999999999999</v>
      </c>
      <c r="CU18" s="17">
        <f>CT18*VLOOKUP('Données projet'!$B$13,Paramètres!$A$1:$I$89,3,0)*VLOOKUP('Données projet'!$B$13,Paramètres!$A$1:$I$89,5,0)</f>
        <v>98.966399999999993</v>
      </c>
      <c r="CV18" s="13">
        <f t="shared" si="41"/>
        <v>26.715607900934952</v>
      </c>
      <c r="CW18" s="20">
        <f t="shared" si="13"/>
        <v>218.89616376079505</v>
      </c>
      <c r="CX18" s="59">
        <f t="shared" si="14"/>
        <v>493.89616376079505</v>
      </c>
      <c r="CY18" s="59">
        <f ca="1">AVERAGE(OFFSET($CX$3,0,0,'Données projet'!$E$13+1,1))-AVERAGE(OFFSET($H$3,0,0,'Données projet'!$E$13+1,1))</f>
        <v>805.04572055352492</v>
      </c>
      <c r="CZ18" s="59">
        <f t="shared" si="42"/>
        <v>708.66645042414962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15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96</v>
      </c>
      <c r="DM18" s="12">
        <f>VLOOKUP(A18,'Données projet'!$A$165:$I$185,9,0)</f>
        <v>12.8</v>
      </c>
      <c r="DN18" s="12">
        <f t="array" ref="DN18">INDEX(DM:DM,MIN(IF(ISNUMBER(DM18:DM214),ROW(DM18:DM214),"")))</f>
        <v>12.8</v>
      </c>
      <c r="DO18" s="12">
        <f>IF('Données projet'!$A$166&gt;35,DO17+DN18-DW17,IF(A18&lt;'Données projet'!$A$166,$DL$205^A18,IF(A18='Données projet'!$A$166,'Données projet'!$B$166,DO17+DN18-DW17)))</f>
        <v>95.999999999999986</v>
      </c>
      <c r="DP18" s="17">
        <f>DO18*VLOOKUP('Données projet'!$B$14,Paramètres!$A$1:$I$89,3,0)*VLOOKUP('Données projet'!$B$14,Paramètres!$A$1:$I$89,5,0)</f>
        <v>64.396799999999999</v>
      </c>
      <c r="DQ18" s="13">
        <f t="shared" si="43"/>
        <v>18.275301428499329</v>
      </c>
      <c r="DR18" s="20">
        <f t="shared" si="16"/>
        <v>143.987243321303</v>
      </c>
      <c r="DS18" s="59">
        <f t="shared" si="17"/>
        <v>418.98724332130303</v>
      </c>
      <c r="DT18" s="59">
        <f ca="1">AVERAGE(OFFSET($DS$3,0,0,'Données projet'!$E$14+1,1))-AVERAGE(OFFSET($H$3,0,0,'Données projet'!$E$14+1,1))</f>
        <v>482.69499576870095</v>
      </c>
      <c r="DU18" s="59">
        <f t="shared" si="44"/>
        <v>384.28918352579575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20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8</v>
      </c>
      <c r="EJ18" s="12">
        <f>IF('Données projet'!$A$192&gt;35,EJ17+EI18-ER17,IF(A18&lt;'Données projet'!$A$192,$EG$205^A18,IF(A18='Données projet'!$A$192,'Données projet'!$B$192,EJ17+EI18-ER17)))</f>
        <v>84</v>
      </c>
      <c r="EK18" s="17">
        <f>EJ18*VLOOKUP('Données projet'!$B$15,Paramètres!$A$1:$I$89,3,0)*VLOOKUP('Données projet'!$B$15,Paramètres!$A$1:$I$89,5,0)</f>
        <v>61.588799999999999</v>
      </c>
      <c r="EL18" s="13">
        <f t="shared" si="45"/>
        <v>17.56935444538782</v>
      </c>
      <c r="EM18" s="20">
        <f t="shared" si="19"/>
        <v>137.86711899238378</v>
      </c>
      <c r="EN18" s="59">
        <f t="shared" si="20"/>
        <v>412.86711899238378</v>
      </c>
      <c r="EO18" s="59">
        <f ca="1">AVERAGE(OFFSET($EN$3,0,0,'Données projet'!$E$15+1,1))-AVERAGE(OFFSET($H$3,0,0,'Données projet'!$E$15+1,1))</f>
        <v>197.34725966440715</v>
      </c>
      <c r="EP18" s="59">
        <f t="shared" si="46"/>
        <v>240.16326570529532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10.728697936869638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10.728697936869638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11.761904761904763</v>
      </c>
      <c r="FE18" s="12">
        <f>IF('Données projet'!$A$218&gt;35,FE17+FD18-FM17,IF(A18&lt;'Données projet'!$A$218,$FB$205^A18,IF(A18='Données projet'!$A$218,'Données projet'!$B$218,FE17+FD18-FM17)))</f>
        <v>51.176343451367181</v>
      </c>
      <c r="FF18" s="17">
        <f>FE18*VLOOKUP('Données projet'!$B$16,Paramètres!$A$1:$I$89,3,0)*VLOOKUP('Données projet'!$B$16,Paramètres!$A$1:$I$89,5,0)</f>
        <v>28.607575989314252</v>
      </c>
      <c r="FG18" s="13">
        <f t="shared" si="47"/>
        <v>8.9227500965221687</v>
      </c>
      <c r="FH18" s="20">
        <f t="shared" si="22"/>
        <v>65.365317932831758</v>
      </c>
      <c r="FI18" s="59">
        <f t="shared" si="23"/>
        <v>340.36531793283177</v>
      </c>
      <c r="FJ18" s="59">
        <f ca="1">AVERAGE(OFFSET($FI$3,0,0,'Données projet'!$E$16+1,1))-AVERAGE(OFFSET($H$3,0,0,'Données projet'!$E$16+1,1))</f>
        <v>346.42094266871379</v>
      </c>
      <c r="FK18" s="59">
        <f t="shared" si="48"/>
        <v>453.48153556975973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7.9</v>
      </c>
      <c r="FZ18" s="12">
        <f>IF('Données projet'!$A$244&gt;35,FZ17+FY18-GH17,IF(A18&lt;'Données projet'!$A$244,$FW$205^A18,IF(A18='Données projet'!$A$244,'Données projet'!$B$244,FZ17+FY18-GH17)))</f>
        <v>44.564887571004775</v>
      </c>
      <c r="GA18" s="17">
        <f>FZ18*VLOOKUP('Données projet'!$B$17,Paramètres!$A$1:$I$89,3,0)*VLOOKUP('Données projet'!$B$17,Paramètres!$A$1:$I$89,5,0)</f>
        <v>20.856367383230236</v>
      </c>
      <c r="GB18" s="13">
        <f t="shared" si="49"/>
        <v>6.7488744993944465</v>
      </c>
      <c r="GC18" s="20">
        <f t="shared" si="25"/>
        <v>48.079129612237985</v>
      </c>
      <c r="GD18" s="59">
        <f t="shared" si="26"/>
        <v>323.07912961223798</v>
      </c>
      <c r="GE18" s="59">
        <f ca="1">AVERAGE(OFFSET($GD$3,0,0,'Données projet'!$E$17+1,1))-AVERAGE(OFFSET($H$3,0,0,'Données projet'!$E$17+1,1))</f>
        <v>198.26255998041</v>
      </c>
      <c r="GF18" s="59">
        <f t="shared" si="50"/>
        <v>238.62101708181166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4.3703703703703702</v>
      </c>
      <c r="GU18" s="12">
        <f>IF('Données projet'!$A$270&gt;35,GU17+GT18-HC17,IF(A18&lt;'Données projet'!$A$270,$GR$205^A18,IF(A18='Données projet'!$A$270,'Données projet'!$B$270,GU17+GT18-HC17)))</f>
        <v>14.159423114374338</v>
      </c>
      <c r="GV18" s="17">
        <f>GU18*VLOOKUP('Données projet'!$B$18,Paramètres!$A$1:$I$89,3,0)*VLOOKUP('Données projet'!$B$18,Paramètres!$A$1:$I$89,5,0)</f>
        <v>16.311655427759234</v>
      </c>
      <c r="GW18" s="13">
        <f t="shared" si="51"/>
        <v>5.4314443213087964</v>
      </c>
      <c r="GX18" s="20">
        <f t="shared" si="28"/>
        <v>37.869232062960151</v>
      </c>
      <c r="GY18" s="59">
        <f t="shared" si="29"/>
        <v>312.86923206296012</v>
      </c>
      <c r="GZ18" s="59">
        <f ca="1">AVERAGE(OFFSET($GY$3,0,0,'Données projet'!$E$18+1,1))-AVERAGE(OFFSET($H$3,0,0,'Données projet'!$E$18+1,1))</f>
        <v>604.0566904089452</v>
      </c>
      <c r="HA18" s="59">
        <f t="shared" si="52"/>
        <v>369.5187835902687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</v>
      </c>
      <c r="N19" s="13">
        <f>IF('Données projet'!$A$36&gt;35,N18+M19-V18,IF(A19&lt;'Données projet'!$A$36,$K$205^A19,IF(A19='Données projet'!$A$36,'Données projet'!$B$36,N18+M19-V18)))</f>
        <v>64</v>
      </c>
      <c r="O19" s="13">
        <f>N19*VLOOKUP('Données projet'!$B$9,Paramètres!$A$1:$I$89,3,0)*VLOOKUP('Données projet'!$B$9,Paramètres!$A$1:$I$89,5,0)</f>
        <v>57.907199999999996</v>
      </c>
      <c r="P19" s="13">
        <f t="shared" si="33"/>
        <v>16.638055172386</v>
      </c>
      <c r="Q19" s="20">
        <f t="shared" si="2"/>
        <v>129.83298609190561</v>
      </c>
      <c r="R19" s="59">
        <f t="shared" si="0"/>
        <v>406.05520831412787</v>
      </c>
      <c r="S19" s="59">
        <f ca="1">AVERAGE(OFFSET($R$3,0,0,'Données projet'!$E$9+1,1))-AVERAGE(OFFSET($H$3,0,0,'Données projet'!$E$9+1,1))</f>
        <v>528.20489749461376</v>
      </c>
      <c r="T19" s="59">
        <f t="shared" si="34"/>
        <v>276.26988364830532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15.4</v>
      </c>
      <c r="AI19" s="13">
        <f>IF('Données projet'!$A$62&gt;35,AI18+AH19-AQ18,IF(A19&lt;'Données projet'!$A$62,$AF$205^A19,IF(A19='Données projet'!$A$62,'Données projet'!$B$62,AI18+AH19-AQ18)))</f>
        <v>155.4</v>
      </c>
      <c r="AJ19" s="13">
        <f>AI19*VLOOKUP('Données projet'!$B$10,Paramètres!$A$1:$I$89,3,0)*VLOOKUP('Données projet'!$B$10,Paramètres!$A$1:$I$89,5,0)</f>
        <v>140.60592</v>
      </c>
      <c r="AK19" s="13">
        <f t="shared" si="35"/>
        <v>36.435778350352258</v>
      </c>
      <c r="AL19" s="20">
        <f t="shared" si="4"/>
        <v>308.34762462686348</v>
      </c>
      <c r="AM19" s="59">
        <f t="shared" si="5"/>
        <v>584.56984684908571</v>
      </c>
      <c r="AN19" s="59">
        <f ca="1">AVERAGE(OFFSET($AM$3,0,0,'Données projet'!$E$10+1,1))-AVERAGE(OFFSET($H$3,0,0,'Données projet'!$E$10+1,1))</f>
        <v>436.23918637269577</v>
      </c>
      <c r="AO19" s="59">
        <f t="shared" si="36"/>
        <v>611.43967996341894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9.7786461111484044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9.7786461111484044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9.6</v>
      </c>
      <c r="BD19" s="12">
        <f>IF('Données projet'!$A$88&gt;35,BD18+BC19-BL18,IF(A19&lt;'Données projet'!$A$88,$BA$205^A19,IF(A19='Données projet'!$A$88,'Données projet'!$B$88,BD18+BC19-BL18)))</f>
        <v>46.6</v>
      </c>
      <c r="BE19" s="13">
        <f>BD19*VLOOKUP('Données projet'!$B$11,Paramètres!$A$1:$I$89,3,0)*VLOOKUP('Données projet'!$B$11,Paramètres!$A$1:$I$89,5,0)</f>
        <v>36.347999999999999</v>
      </c>
      <c r="BF19" s="13">
        <f t="shared" si="37"/>
        <v>11.025356771848859</v>
      </c>
      <c r="BG19" s="20">
        <f t="shared" si="7"/>
        <v>82.508596377636763</v>
      </c>
      <c r="BH19" s="59">
        <f t="shared" si="8"/>
        <v>358.73081859985899</v>
      </c>
      <c r="BI19" s="59">
        <f ca="1">AVERAGE(OFFSET($BH$3,0,0,'Données projet'!$E$11+1,1))-AVERAGE(OFFSET($H$3,0,0,'Données projet'!$E$11+1,1))</f>
        <v>288.82868507674738</v>
      </c>
      <c r="BJ19" s="59">
        <f t="shared" si="38"/>
        <v>283.48738729114024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0.73541999999999996</v>
      </c>
      <c r="BY19" s="12">
        <f>IF('Données projet'!$A$114&gt;35,BY18+BX19-CG18,IF(A19&lt;'Données projet'!$A$114,$BV$205^A19,IF(A19='Données projet'!$A$114,'Données projet'!$B$114,BY18+BX19-CG18)))</f>
        <v>6.4456138659066529</v>
      </c>
      <c r="BZ19" s="13">
        <f>BY19*VLOOKUP('Données projet'!$B$12,Paramètres!$A$1:$I$89,3,0)*VLOOKUP('Données projet'!$B$12,Paramètres!$A$1:$I$89,5,0)</f>
        <v>5.630888273256053</v>
      </c>
      <c r="CA19" s="13">
        <f t="shared" si="39"/>
        <v>2.1220803444468186</v>
      </c>
      <c r="CB19" s="20">
        <f t="shared" si="10"/>
        <v>13.503087009165833</v>
      </c>
      <c r="CC19" s="59">
        <f t="shared" si="11"/>
        <v>289.72530923138805</v>
      </c>
      <c r="CD19" s="59">
        <f ca="1">AVERAGE(OFFSET($CC$3,0,0,'Données projet'!$E$12+1,1))-AVERAGE(OFFSET($H$3,0,0,'Données projet'!$E$12+1,1))</f>
        <v>93.329407403816901</v>
      </c>
      <c r="CE19" s="59">
        <f t="shared" si="40"/>
        <v>90.925148357295313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11.6</v>
      </c>
      <c r="CT19" s="12">
        <f>IF('Données projet'!$A$140&gt;35,CT18+CS19-DB18,IF(A19&lt;'Données projet'!$A$140,$CQ$205^A19,IF(A19='Données projet'!$A$140,'Données projet'!$B$140,CT18+CS19-DB18)))</f>
        <v>100.59999999999998</v>
      </c>
      <c r="CU19" s="17">
        <f>CT19*VLOOKUP('Données projet'!$B$13,Paramètres!$A$1:$I$89,3,0)*VLOOKUP('Données projet'!$B$13,Paramètres!$A$1:$I$89,5,0)</f>
        <v>95.730959999999982</v>
      </c>
      <c r="CV19" s="13">
        <f t="shared" si="41"/>
        <v>25.942389643100256</v>
      </c>
      <c r="CW19" s="20">
        <f t="shared" si="13"/>
        <v>211.91441729506622</v>
      </c>
      <c r="CX19" s="59">
        <f t="shared" si="14"/>
        <v>488.13663951728847</v>
      </c>
      <c r="CY19" s="59">
        <f ca="1">AVERAGE(OFFSET($CX$3,0,0,'Données projet'!$E$13+1,1))-AVERAGE(OFFSET($H$3,0,0,'Données projet'!$E$13+1,1))</f>
        <v>805.04572055352492</v>
      </c>
      <c r="CZ19" s="59">
        <f t="shared" si="42"/>
        <v>708.66645042414962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14.6</v>
      </c>
      <c r="DO19" s="12">
        <f>IF('Données projet'!$A$166&gt;35,DO18+DN19-DW18,IF(A19&lt;'Données projet'!$A$166,$DL$205^A19,IF(A19='Données projet'!$A$166,'Données projet'!$B$166,DO18+DN19-DW18)))</f>
        <v>90.59999999999998</v>
      </c>
      <c r="DP19" s="17">
        <f>DO19*VLOOKUP('Données projet'!$B$14,Paramètres!$A$1:$I$89,3,0)*VLOOKUP('Données projet'!$B$14,Paramètres!$A$1:$I$89,5,0)</f>
        <v>60.77447999999999</v>
      </c>
      <c r="DQ19" s="13">
        <f t="shared" si="43"/>
        <v>17.363935454087162</v>
      </c>
      <c r="DR19" s="20">
        <f t="shared" si="16"/>
        <v>136.0910735825351</v>
      </c>
      <c r="DS19" s="59">
        <f t="shared" si="17"/>
        <v>412.31329580475733</v>
      </c>
      <c r="DT19" s="59">
        <f ca="1">AVERAGE(OFFSET($DS$3,0,0,'Données projet'!$E$14+1,1))-AVERAGE(OFFSET($H$3,0,0,'Données projet'!$E$14+1,1))</f>
        <v>482.69499576870095</v>
      </c>
      <c r="DU19" s="59">
        <f t="shared" si="44"/>
        <v>384.28918352579575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>
        <f>VLOOKUP(A19,'Données projet'!$A$191:$I$211,2,0)</f>
        <v>92</v>
      </c>
      <c r="EH19" s="12">
        <f>VLOOKUP(A19,'Données projet'!$A$191:$I$211,9,0)</f>
        <v>8</v>
      </c>
      <c r="EI19" s="12">
        <f t="array" ref="EI19">INDEX(EH:EH,MIN(IF(ISNUMBER(EH19:EH215),ROW(EH19:EH215),"")))</f>
        <v>8</v>
      </c>
      <c r="EJ19" s="12">
        <f>IF('Données projet'!$A$192&gt;35,EJ18+EI19-ER18,IF(A19&lt;'Données projet'!$A$192,$EG$205^A19,IF(A19='Données projet'!$A$192,'Données projet'!$B$192,EJ18+EI19-ER18)))</f>
        <v>92</v>
      </c>
      <c r="EK19" s="17">
        <f>EJ19*VLOOKUP('Données projet'!$B$15,Paramètres!$A$1:$I$89,3,0)*VLOOKUP('Données projet'!$B$15,Paramètres!$A$1:$I$89,5,0)</f>
        <v>67.454399999999993</v>
      </c>
      <c r="EL19" s="13">
        <f t="shared" si="45"/>
        <v>19.03993894863979</v>
      </c>
      <c r="EM19" s="20">
        <f t="shared" si="19"/>
        <v>150.64430700221428</v>
      </c>
      <c r="EN19" s="59">
        <f t="shared" si="20"/>
        <v>426.86652922443648</v>
      </c>
      <c r="EO19" s="59">
        <f ca="1">AVERAGE(OFFSET($EN$3,0,0,'Données projet'!$E$15+1,1))-AVERAGE(OFFSET($H$3,0,0,'Données projet'!$E$15+1,1))</f>
        <v>197.34725966440715</v>
      </c>
      <c r="EP19" s="59">
        <f t="shared" si="46"/>
        <v>240.16326570529532</v>
      </c>
      <c r="EQ19" s="15">
        <f>IF(ISNA(VLOOKUP(A19,'Données projet'!$A$191:$I$211,3,0)),0,VLOOKUP(A19,'Données projet'!$A$191:$I$211,3,0))</f>
        <v>2</v>
      </c>
      <c r="ER19" s="15">
        <f>IF(ISNA(VLOOKUP(A19,'Données projet'!$A$191:$I$211,4,0)),0,VLOOKUP(A19,'Données projet'!$A$191:$I$211,4,0))</f>
        <v>33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0.215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16.163394974831807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16.163394974831807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11.761904761904763</v>
      </c>
      <c r="FE19" s="12">
        <f>IF('Données projet'!$A$218&gt;35,FE18+FD19-FM18,IF(A19&lt;'Données projet'!$A$218,$FB$205^A19,IF(A19='Données projet'!$A$218,'Données projet'!$B$218,FE18+FD19-FM18)))</f>
        <v>66.52841894036348</v>
      </c>
      <c r="FF19" s="17">
        <f>FE19*VLOOKUP('Données projet'!$B$16,Paramètres!$A$1:$I$89,3,0)*VLOOKUP('Données projet'!$B$16,Paramètres!$A$1:$I$89,5,0)</f>
        <v>37.189386187663189</v>
      </c>
      <c r="FG19" s="13">
        <f t="shared" si="47"/>
        <v>11.250564204673363</v>
      </c>
      <c r="FH19" s="20">
        <f t="shared" si="22"/>
        <v>84.366246933319488</v>
      </c>
      <c r="FI19" s="59">
        <f t="shared" si="23"/>
        <v>360.5884691555417</v>
      </c>
      <c r="FJ19" s="59">
        <f ca="1">AVERAGE(OFFSET($FI$3,0,0,'Données projet'!$E$16+1,1))-AVERAGE(OFFSET($H$3,0,0,'Données projet'!$E$16+1,1))</f>
        <v>346.42094266871379</v>
      </c>
      <c r="FK19" s="59">
        <f t="shared" si="48"/>
        <v>453.48153556975973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7.9</v>
      </c>
      <c r="FZ19" s="12">
        <f>IF('Données projet'!$A$244&gt;35,FZ18+FY19-GH18,IF(A19&lt;'Données projet'!$A$244,$FW$205^A19,IF(A19='Données projet'!$A$244,'Données projet'!$B$244,FZ18+FY19-GH18)))</f>
        <v>57.401820934596167</v>
      </c>
      <c r="GA19" s="17">
        <f>FZ19*VLOOKUP('Données projet'!$B$17,Paramètres!$A$1:$I$89,3,0)*VLOOKUP('Données projet'!$B$17,Paramètres!$A$1:$I$89,5,0)</f>
        <v>26.864052197391008</v>
      </c>
      <c r="GB19" s="13">
        <f t="shared" si="49"/>
        <v>8.4404970471001413</v>
      </c>
      <c r="GC19" s="20">
        <f t="shared" si="25"/>
        <v>61.488756600822086</v>
      </c>
      <c r="GD19" s="59">
        <f t="shared" si="26"/>
        <v>337.71097882304434</v>
      </c>
      <c r="GE19" s="59">
        <f ca="1">AVERAGE(OFFSET($GD$3,0,0,'Données projet'!$E$17+1,1))-AVERAGE(OFFSET($H$3,0,0,'Données projet'!$E$17+1,1))</f>
        <v>198.26255998041</v>
      </c>
      <c r="GF19" s="59">
        <f t="shared" si="50"/>
        <v>238.62101708181166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4.3703703703703702</v>
      </c>
      <c r="GU19" s="12">
        <f>IF('Données projet'!$A$270&gt;35,GU18+GT19-HC18,IF(A19&lt;'Données projet'!$A$270,$GR$205^A19,IF(A19='Données projet'!$A$270,'Données projet'!$B$270,GU18+GT19-HC18)))</f>
        <v>16.895923335078734</v>
      </c>
      <c r="GV19" s="17">
        <f>GU19*VLOOKUP('Données projet'!$B$18,Paramètres!$A$1:$I$89,3,0)*VLOOKUP('Données projet'!$B$18,Paramètres!$A$1:$I$89,5,0)</f>
        <v>19.464103682010698</v>
      </c>
      <c r="GW19" s="13">
        <f t="shared" si="51"/>
        <v>6.3492084996071299</v>
      </c>
      <c r="GX19" s="20">
        <f t="shared" si="28"/>
        <v>44.958185382984375</v>
      </c>
      <c r="GY19" s="59">
        <f t="shared" si="29"/>
        <v>321.1804076052066</v>
      </c>
      <c r="GZ19" s="59">
        <f ca="1">AVERAGE(OFFSET($GY$3,0,0,'Données projet'!$E$18+1,1))-AVERAGE(OFFSET($H$3,0,0,'Données projet'!$E$18+1,1))</f>
        <v>604.0566904089452</v>
      </c>
      <c r="HA19" s="59">
        <f t="shared" si="52"/>
        <v>369.5187835902687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</v>
      </c>
      <c r="N20" s="13">
        <f>IF('Données projet'!$A$36&gt;35,N19+M20-V19,IF(A20&lt;'Données projet'!$A$36,$K$205^A20,IF(A20='Données projet'!$A$36,'Données projet'!$B$36,N19+M20-V19)))</f>
        <v>68</v>
      </c>
      <c r="O20" s="13">
        <f>N20*VLOOKUP('Données projet'!$B$9,Paramètres!$A$1:$I$89,3,0)*VLOOKUP('Données projet'!$B$9,Paramètres!$A$1:$I$89,5,0)</f>
        <v>61.526399999999995</v>
      </c>
      <c r="P20" s="13">
        <f t="shared" si="33"/>
        <v>17.553624762159014</v>
      </c>
      <c r="Q20" s="20">
        <f t="shared" si="2"/>
        <v>137.73104312742694</v>
      </c>
      <c r="R20" s="59">
        <f t="shared" si="0"/>
        <v>415.17548757187137</v>
      </c>
      <c r="S20" s="59">
        <f ca="1">AVERAGE(OFFSET($R$3,0,0,'Données projet'!$E$9+1,1))-AVERAGE(OFFSET($H$3,0,0,'Données projet'!$E$9+1,1))</f>
        <v>528.20489749461376</v>
      </c>
      <c r="T20" s="59">
        <f t="shared" si="34"/>
        <v>276.26988364830532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15.4</v>
      </c>
      <c r="AI20" s="13">
        <f>IF('Données projet'!$A$62&gt;35,AI19+AH20-AQ19,IF(A20&lt;'Données projet'!$A$62,$AF$205^A20,IF(A20='Données projet'!$A$62,'Données projet'!$B$62,AI19+AH20-AQ19)))</f>
        <v>170.8</v>
      </c>
      <c r="AJ20" s="13">
        <f>AI20*VLOOKUP('Données projet'!$B$10,Paramètres!$A$1:$I$89,3,0)*VLOOKUP('Données projet'!$B$10,Paramètres!$A$1:$I$89,5,0)</f>
        <v>154.53984</v>
      </c>
      <c r="AK20" s="13">
        <f t="shared" si="35"/>
        <v>39.608483410353038</v>
      </c>
      <c r="AL20" s="20">
        <f t="shared" si="4"/>
        <v>338.14166327303155</v>
      </c>
      <c r="AM20" s="59">
        <f t="shared" si="5"/>
        <v>615.58610771747601</v>
      </c>
      <c r="AN20" s="59">
        <f ca="1">AVERAGE(OFFSET($AM$3,0,0,'Données projet'!$E$10+1,1))-AVERAGE(OFFSET($H$3,0,0,'Données projet'!$E$10+1,1))</f>
        <v>436.23918637269577</v>
      </c>
      <c r="AO20" s="59">
        <f t="shared" si="36"/>
        <v>611.43967996341894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9.5112485190024021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9.5112485190024021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9.6</v>
      </c>
      <c r="BD20" s="12">
        <f>IF('Données projet'!$A$88&gt;35,BD19+BC20-BL19,IF(A20&lt;'Données projet'!$A$88,$BA$205^A20,IF(A20='Données projet'!$A$88,'Données projet'!$B$88,BD19+BC20-BL19)))</f>
        <v>56.2</v>
      </c>
      <c r="BE20" s="13">
        <f>BD20*VLOOKUP('Données projet'!$B$11,Paramètres!$A$1:$I$89,3,0)*VLOOKUP('Données projet'!$B$11,Paramètres!$A$1:$I$89,5,0)</f>
        <v>43.836000000000006</v>
      </c>
      <c r="BF20" s="13">
        <f t="shared" si="37"/>
        <v>13.009897179721728</v>
      </c>
      <c r="BG20" s="20">
        <f t="shared" si="7"/>
        <v>99.006604254682017</v>
      </c>
      <c r="BH20" s="59">
        <f t="shared" si="8"/>
        <v>376.45104869912649</v>
      </c>
      <c r="BI20" s="59">
        <f ca="1">AVERAGE(OFFSET($BH$3,0,0,'Données projet'!$E$11+1,1))-AVERAGE(OFFSET($H$3,0,0,'Données projet'!$E$11+1,1))</f>
        <v>288.82868507674738</v>
      </c>
      <c r="BJ20" s="59">
        <f t="shared" si="38"/>
        <v>283.48738729114024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0.73541999999999996</v>
      </c>
      <c r="BY20" s="12">
        <f>IF('Données projet'!$A$114&gt;35,BY19+BX20-CG19,IF(A20&lt;'Données projet'!$A$114,$BV$205^A20,IF(A20='Données projet'!$A$114,'Données projet'!$B$114,BY19+BX20-CG19)))</f>
        <v>7.2417462431309367</v>
      </c>
      <c r="BZ20" s="13">
        <f>BY20*VLOOKUP('Données projet'!$B$12,Paramètres!$A$1:$I$89,3,0)*VLOOKUP('Données projet'!$B$12,Paramètres!$A$1:$I$89,5,0)</f>
        <v>6.3263895179991874</v>
      </c>
      <c r="CA20" s="13">
        <f t="shared" si="39"/>
        <v>2.3520873321911813</v>
      </c>
      <c r="CB20" s="20">
        <f t="shared" si="10"/>
        <v>15.115013847414891</v>
      </c>
      <c r="CC20" s="59">
        <f t="shared" si="11"/>
        <v>292.55945829185936</v>
      </c>
      <c r="CD20" s="59">
        <f ca="1">AVERAGE(OFFSET($CC$3,0,0,'Données projet'!$E$12+1,1))-AVERAGE(OFFSET($H$3,0,0,'Données projet'!$E$12+1,1))</f>
        <v>93.329407403816901</v>
      </c>
      <c r="CE20" s="59">
        <f t="shared" si="40"/>
        <v>90.925148357295313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11.6</v>
      </c>
      <c r="CT20" s="12">
        <f>IF('Données projet'!$A$140&gt;35,CT19+CS20-DB19,IF(A20&lt;'Données projet'!$A$140,$CQ$205^A20,IF(A20='Données projet'!$A$140,'Données projet'!$B$140,CT19+CS20-DB19)))</f>
        <v>112.19999999999997</v>
      </c>
      <c r="CU20" s="17">
        <f>CT20*VLOOKUP('Données projet'!$B$13,Paramètres!$A$1:$I$89,3,0)*VLOOKUP('Données projet'!$B$13,Paramètres!$A$1:$I$89,5,0)</f>
        <v>106.76951999999997</v>
      </c>
      <c r="CV20" s="13">
        <f t="shared" si="41"/>
        <v>28.568542914630683</v>
      </c>
      <c r="CW20" s="20">
        <f t="shared" si="13"/>
        <v>235.71379290964839</v>
      </c>
      <c r="CX20" s="59">
        <f t="shared" si="14"/>
        <v>513.15823735409288</v>
      </c>
      <c r="CY20" s="59">
        <f ca="1">AVERAGE(OFFSET($CX$3,0,0,'Données projet'!$E$13+1,1))-AVERAGE(OFFSET($H$3,0,0,'Données projet'!$E$13+1,1))</f>
        <v>805.04572055352492</v>
      </c>
      <c r="CZ20" s="59">
        <f t="shared" si="42"/>
        <v>708.66645042414962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14.6</v>
      </c>
      <c r="DO20" s="12">
        <f>IF('Données projet'!$A$166&gt;35,DO19+DN20-DW19,IF(A20&lt;'Données projet'!$A$166,$DL$205^A20,IF(A20='Données projet'!$A$166,'Données projet'!$B$166,DO19+DN20-DW19)))</f>
        <v>105.19999999999997</v>
      </c>
      <c r="DP20" s="17">
        <f>DO20*VLOOKUP('Données projet'!$B$14,Paramètres!$A$1:$I$89,3,0)*VLOOKUP('Données projet'!$B$14,Paramètres!$A$1:$I$89,5,0)</f>
        <v>70.568159999999992</v>
      </c>
      <c r="DQ20" s="13">
        <f t="shared" si="43"/>
        <v>19.814485273624157</v>
      </c>
      <c r="DR20" s="20">
        <f t="shared" si="16"/>
        <v>157.41644051822871</v>
      </c>
      <c r="DS20" s="59">
        <f t="shared" si="17"/>
        <v>434.86088496267314</v>
      </c>
      <c r="DT20" s="59">
        <f ca="1">AVERAGE(OFFSET($DS$3,0,0,'Données projet'!$E$14+1,1))-AVERAGE(OFFSET($H$3,0,0,'Données projet'!$E$14+1,1))</f>
        <v>482.69499576870095</v>
      </c>
      <c r="DU20" s="59">
        <f t="shared" si="44"/>
        <v>384.28918352579575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8</v>
      </c>
      <c r="EJ20" s="12">
        <f>IF('Données projet'!$A$192&gt;35,EJ19+EI20-ER19,IF(A20&lt;'Données projet'!$A$192,$EG$205^A20,IF(A20='Données projet'!$A$192,'Données projet'!$B$192,EJ19+EI20-ER19)))</f>
        <v>67</v>
      </c>
      <c r="EK20" s="17">
        <f>EJ20*VLOOKUP('Données projet'!$B$15,Paramètres!$A$1:$I$89,3,0)*VLOOKUP('Données projet'!$B$15,Paramètres!$A$1:$I$89,5,0)</f>
        <v>49.124400000000001</v>
      </c>
      <c r="EL20" s="13">
        <f t="shared" si="45"/>
        <v>14.38740016036772</v>
      </c>
      <c r="EM20" s="20">
        <f t="shared" si="19"/>
        <v>110.61638527930711</v>
      </c>
      <c r="EN20" s="59">
        <f t="shared" si="20"/>
        <v>388.06082972375157</v>
      </c>
      <c r="EO20" s="59">
        <f ca="1">AVERAGE(OFFSET($EN$3,0,0,'Données projet'!$E$15+1,1))-AVERAGE(OFFSET($H$3,0,0,'Données projet'!$E$15+1,1))</f>
        <v>197.34725966440715</v>
      </c>
      <c r="EP20" s="59">
        <f t="shared" si="46"/>
        <v>240.16326570529532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15.721406089249031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15.721406089249031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11.761904761904763</v>
      </c>
      <c r="FE20" s="12">
        <f>IF('Données projet'!$A$218&gt;35,FE19+FD20-FM19,IF(A20&lt;'Données projet'!$A$218,$FB$205^A20,IF(A20='Données projet'!$A$218,'Données projet'!$B$218,FE19+FD20-FM19)))</f>
        <v>86.485868825516349</v>
      </c>
      <c r="FF20" s="17">
        <f>FE20*VLOOKUP('Données projet'!$B$16,Paramètres!$A$1:$I$89,3,0)*VLOOKUP('Données projet'!$B$16,Paramètres!$A$1:$I$89,5,0)</f>
        <v>48.345600673463643</v>
      </c>
      <c r="FG20" s="13">
        <f t="shared" si="47"/>
        <v>14.185670735395027</v>
      </c>
      <c r="FH20" s="20">
        <f t="shared" si="22"/>
        <v>108.90863103709552</v>
      </c>
      <c r="FI20" s="59">
        <f t="shared" si="23"/>
        <v>386.35307548153997</v>
      </c>
      <c r="FJ20" s="59">
        <f ca="1">AVERAGE(OFFSET($FI$3,0,0,'Données projet'!$E$16+1,1))-AVERAGE(OFFSET($H$3,0,0,'Données projet'!$E$16+1,1))</f>
        <v>346.42094266871379</v>
      </c>
      <c r="FK20" s="59">
        <f t="shared" si="48"/>
        <v>453.48153556975973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7.9</v>
      </c>
      <c r="FZ20" s="12">
        <f>IF('Données projet'!$A$244&gt;35,FZ19+FY20-GH19,IF(A20&lt;'Données projet'!$A$244,$FW$205^A20,IF(A20='Données projet'!$A$244,'Données projet'!$B$244,FZ19+FY20-GH19)))</f>
        <v>73.936437994095741</v>
      </c>
      <c r="GA20" s="17">
        <f>FZ20*VLOOKUP('Données projet'!$B$17,Paramètres!$A$1:$I$89,3,0)*VLOOKUP('Données projet'!$B$17,Paramètres!$A$1:$I$89,5,0)</f>
        <v>34.602252981236802</v>
      </c>
      <c r="GB20" s="13">
        <f t="shared" si="49"/>
        <v>10.556129086190376</v>
      </c>
      <c r="GC20" s="20">
        <f t="shared" si="25"/>
        <v>78.650848767435647</v>
      </c>
      <c r="GD20" s="59">
        <f t="shared" si="26"/>
        <v>356.09529321188012</v>
      </c>
      <c r="GE20" s="59">
        <f ca="1">AVERAGE(OFFSET($GD$3,0,0,'Données projet'!$E$17+1,1))-AVERAGE(OFFSET($H$3,0,0,'Données projet'!$E$17+1,1))</f>
        <v>198.26255998041</v>
      </c>
      <c r="GF20" s="59">
        <f t="shared" si="50"/>
        <v>238.62101708181166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4.3703703703703702</v>
      </c>
      <c r="GU20" s="12">
        <f>IF('Données projet'!$A$270&gt;35,GU19+GT20-HC19,IF(A20&lt;'Données projet'!$A$270,$GR$205^A20,IF(A20='Données projet'!$A$270,'Données projet'!$B$270,GU19+GT20-HC19)))</f>
        <v>20.161289272799031</v>
      </c>
      <c r="GV20" s="17">
        <f>GU20*VLOOKUP('Données projet'!$B$18,Paramètres!$A$1:$I$89,3,0)*VLOOKUP('Données projet'!$B$18,Paramètres!$A$1:$I$89,5,0)</f>
        <v>23.225805242264485</v>
      </c>
      <c r="GW20" s="13">
        <f t="shared" si="51"/>
        <v>7.4220494930470844</v>
      </c>
      <c r="GX20" s="20">
        <f t="shared" si="28"/>
        <v>53.378346997334312</v>
      </c>
      <c r="GY20" s="59">
        <f t="shared" si="29"/>
        <v>330.82279144177875</v>
      </c>
      <c r="GZ20" s="59">
        <f ca="1">AVERAGE(OFFSET($GY$3,0,0,'Données projet'!$E$18+1,1))-AVERAGE(OFFSET($H$3,0,0,'Données projet'!$E$18+1,1))</f>
        <v>604.0566904089452</v>
      </c>
      <c r="HA20" s="59">
        <f t="shared" si="52"/>
        <v>369.5187835902687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</v>
      </c>
      <c r="N21" s="13">
        <f>IF('Données projet'!$A$36&gt;35,N20+M21-V20,IF(A21&lt;'Données projet'!$A$36,$K$205^A21,IF(A21='Données projet'!$A$36,'Données projet'!$B$36,N20+M21-V20)))</f>
        <v>72</v>
      </c>
      <c r="O21" s="13">
        <f>N21*VLOOKUP('Données projet'!$B$9,Paramètres!$A$1:$I$89,3,0)*VLOOKUP('Données projet'!$B$9,Paramètres!$A$1:$I$89,5,0)</f>
        <v>65.145600000000002</v>
      </c>
      <c r="P21" s="13">
        <f t="shared" si="33"/>
        <v>18.462943001028204</v>
      </c>
      <c r="Q21" s="20">
        <f t="shared" si="2"/>
        <v>145.61821239345747</v>
      </c>
      <c r="R21" s="59">
        <f t="shared" si="0"/>
        <v>424.28487906012413</v>
      </c>
      <c r="S21" s="59">
        <f ca="1">AVERAGE(OFFSET($R$3,0,0,'Données projet'!$E$9+1,1))-AVERAGE(OFFSET($H$3,0,0,'Données projet'!$E$9+1,1))</f>
        <v>528.20489749461376</v>
      </c>
      <c r="T21" s="59">
        <f t="shared" si="34"/>
        <v>276.26988364830532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15.4</v>
      </c>
      <c r="AI21" s="13">
        <f>IF('Données projet'!$A$62&gt;35,AI20+AH21-AQ20,IF(A21&lt;'Données projet'!$A$62,$AF$205^A21,IF(A21='Données projet'!$A$62,'Données projet'!$B$62,AI20+AH21-AQ20)))</f>
        <v>186.20000000000002</v>
      </c>
      <c r="AJ21" s="13">
        <f>AI21*VLOOKUP('Données projet'!$B$10,Paramètres!$A$1:$I$89,3,0)*VLOOKUP('Données projet'!$B$10,Paramètres!$A$1:$I$89,5,0)</f>
        <v>168.47376000000003</v>
      </c>
      <c r="AK21" s="13">
        <f t="shared" si="35"/>
        <v>42.748017388135018</v>
      </c>
      <c r="AL21" s="20">
        <f t="shared" si="4"/>
        <v>367.87792895100188</v>
      </c>
      <c r="AM21" s="59">
        <f t="shared" si="5"/>
        <v>646.54459561766862</v>
      </c>
      <c r="AN21" s="59">
        <f ca="1">AVERAGE(OFFSET($AM$3,0,0,'Données projet'!$E$10+1,1))-AVERAGE(OFFSET($H$3,0,0,'Données projet'!$E$10+1,1))</f>
        <v>436.23918637269577</v>
      </c>
      <c r="AO21" s="59">
        <f t="shared" si="36"/>
        <v>611.43967996341894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9.2511629280754608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9.2511629280754608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9.6</v>
      </c>
      <c r="BD21" s="12">
        <f>IF('Données projet'!$A$88&gt;35,BD20+BC21-BL20,IF(A21&lt;'Données projet'!$A$88,$BA$205^A21,IF(A21='Données projet'!$A$88,'Données projet'!$B$88,BD20+BC21-BL20)))</f>
        <v>65.8</v>
      </c>
      <c r="BE21" s="13">
        <f>BD21*VLOOKUP('Données projet'!$B$11,Paramètres!$A$1:$I$89,3,0)*VLOOKUP('Données projet'!$B$11,Paramètres!$A$1:$I$89,5,0)</f>
        <v>51.323999999999998</v>
      </c>
      <c r="BF21" s="13">
        <f t="shared" si="37"/>
        <v>14.95516659950003</v>
      </c>
      <c r="BG21" s="20">
        <f t="shared" si="7"/>
        <v>115.43621516079588</v>
      </c>
      <c r="BH21" s="59">
        <f t="shared" si="8"/>
        <v>394.10288182746257</v>
      </c>
      <c r="BI21" s="59">
        <f ca="1">AVERAGE(OFFSET($BH$3,0,0,'Données projet'!$E$11+1,1))-AVERAGE(OFFSET($H$3,0,0,'Données projet'!$E$11+1,1))</f>
        <v>288.82868507674738</v>
      </c>
      <c r="BJ21" s="59">
        <f t="shared" si="38"/>
        <v>283.48738729114024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0.73541999999999996</v>
      </c>
      <c r="BY21" s="12">
        <f>IF('Données projet'!$A$114&gt;35,BY20+BX21-CG20,IF(A21&lt;'Données projet'!$A$114,$BV$205^A21,IF(A21='Données projet'!$A$114,'Données projet'!$B$114,BY20+BX21-CG20)))</f>
        <v>8.1362132049659053</v>
      </c>
      <c r="BZ21" s="13">
        <f>BY21*VLOOKUP('Données projet'!$B$12,Paramètres!$A$1:$I$89,3,0)*VLOOKUP('Données projet'!$B$12,Paramètres!$A$1:$I$89,5,0)</f>
        <v>7.1077958558582157</v>
      </c>
      <c r="CA21" s="13">
        <f t="shared" si="39"/>
        <v>2.6070242027977444</v>
      </c>
      <c r="CB21" s="20">
        <f t="shared" si="10"/>
        <v>16.919978268825798</v>
      </c>
      <c r="CC21" s="59">
        <f t="shared" si="11"/>
        <v>295.58664493549247</v>
      </c>
      <c r="CD21" s="59">
        <f ca="1">AVERAGE(OFFSET($CC$3,0,0,'Données projet'!$E$12+1,1))-AVERAGE(OFFSET($H$3,0,0,'Données projet'!$E$12+1,1))</f>
        <v>93.329407403816901</v>
      </c>
      <c r="CE21" s="59">
        <f t="shared" si="40"/>
        <v>90.925148357295313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11.6</v>
      </c>
      <c r="CT21" s="12">
        <f>IF('Données projet'!$A$140&gt;35,CT20+CS21-DB20,IF(A21&lt;'Données projet'!$A$140,$CQ$205^A21,IF(A21='Données projet'!$A$140,'Données projet'!$B$140,CT20+CS21-DB20)))</f>
        <v>123.79999999999997</v>
      </c>
      <c r="CU21" s="17">
        <f>CT21*VLOOKUP('Données projet'!$B$13,Paramètres!$A$1:$I$89,3,0)*VLOOKUP('Données projet'!$B$13,Paramètres!$A$1:$I$89,5,0)</f>
        <v>117.80807999999996</v>
      </c>
      <c r="CV21" s="13">
        <f t="shared" si="41"/>
        <v>31.163222740883338</v>
      </c>
      <c r="CW21" s="20">
        <f t="shared" si="13"/>
        <v>259.45835227370503</v>
      </c>
      <c r="CX21" s="59">
        <f t="shared" si="14"/>
        <v>538.12501894037177</v>
      </c>
      <c r="CY21" s="59">
        <f ca="1">AVERAGE(OFFSET($CX$3,0,0,'Données projet'!$E$13+1,1))-AVERAGE(OFFSET($H$3,0,0,'Données projet'!$E$13+1,1))</f>
        <v>805.04572055352492</v>
      </c>
      <c r="CZ21" s="59">
        <f t="shared" si="42"/>
        <v>708.66645042414962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14.6</v>
      </c>
      <c r="DO21" s="12">
        <f>IF('Données projet'!$A$166&gt;35,DO20+DN21-DW20,IF(A21&lt;'Données projet'!$A$166,$DL$205^A21,IF(A21='Données projet'!$A$166,'Données projet'!$B$166,DO20+DN21-DW20)))</f>
        <v>119.79999999999997</v>
      </c>
      <c r="DP21" s="17">
        <f>DO21*VLOOKUP('Données projet'!$B$14,Paramètres!$A$1:$I$89,3,0)*VLOOKUP('Données projet'!$B$14,Paramètres!$A$1:$I$89,5,0)</f>
        <v>80.361839999999987</v>
      </c>
      <c r="DQ21" s="13">
        <f t="shared" si="43"/>
        <v>22.225632639682669</v>
      </c>
      <c r="DR21" s="20">
        <f t="shared" si="16"/>
        <v>178.67318151411396</v>
      </c>
      <c r="DS21" s="59">
        <f t="shared" si="17"/>
        <v>457.33984818078068</v>
      </c>
      <c r="DT21" s="59">
        <f ca="1">AVERAGE(OFFSET($DS$3,0,0,'Données projet'!$E$14+1,1))-AVERAGE(OFFSET($H$3,0,0,'Données projet'!$E$14+1,1))</f>
        <v>482.69499576870095</v>
      </c>
      <c r="DU21" s="59">
        <f t="shared" si="44"/>
        <v>384.28918352579575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8</v>
      </c>
      <c r="EJ21" s="12">
        <f>IF('Données projet'!$A$192&gt;35,EJ20+EI21-ER20,IF(A21&lt;'Données projet'!$A$192,$EG$205^A21,IF(A21='Données projet'!$A$192,'Données projet'!$B$192,EJ20+EI21-ER20)))</f>
        <v>75</v>
      </c>
      <c r="EK21" s="17">
        <f>EJ21*VLOOKUP('Données projet'!$B$15,Paramètres!$A$1:$I$89,3,0)*VLOOKUP('Données projet'!$B$15,Paramètres!$A$1:$I$89,5,0)</f>
        <v>54.99</v>
      </c>
      <c r="EL21" s="13">
        <f t="shared" si="45"/>
        <v>15.895227919347008</v>
      </c>
      <c r="EM21" s="20">
        <f t="shared" si="19"/>
        <v>123.45843862619604</v>
      </c>
      <c r="EN21" s="59">
        <f t="shared" si="20"/>
        <v>402.12510529286271</v>
      </c>
      <c r="EO21" s="59">
        <f ca="1">AVERAGE(OFFSET($EN$3,0,0,'Données projet'!$E$15+1,1))-AVERAGE(OFFSET($H$3,0,0,'Données projet'!$E$15+1,1))</f>
        <v>197.34725966440715</v>
      </c>
      <c r="EP21" s="59">
        <f t="shared" si="46"/>
        <v>240.16326570529532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15.291503412985701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15.291503412985701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11.761904761904763</v>
      </c>
      <c r="FE21" s="12">
        <f>IF('Données projet'!$A$218&gt;35,FE20+FD21-FM20,IF(A21&lt;'Données projet'!$A$218,$FB$205^A21,IF(A21='Données projet'!$A$218,'Données projet'!$B$218,FE20+FD21-FM20)))</f>
        <v>112.43023095452436</v>
      </c>
      <c r="FF21" s="17">
        <f>FE21*VLOOKUP('Données projet'!$B$16,Paramètres!$A$1:$I$89,3,0)*VLOOKUP('Données projet'!$B$16,Paramètres!$A$1:$I$89,5,0)</f>
        <v>62.848499103579115</v>
      </c>
      <c r="FG21" s="13">
        <f t="shared" si="47"/>
        <v>17.886503339046111</v>
      </c>
      <c r="FH21" s="20">
        <f t="shared" si="22"/>
        <v>140.61346258757226</v>
      </c>
      <c r="FI21" s="59">
        <f t="shared" si="23"/>
        <v>419.28012925423894</v>
      </c>
      <c r="FJ21" s="59">
        <f ca="1">AVERAGE(OFFSET($FI$3,0,0,'Données projet'!$E$16+1,1))-AVERAGE(OFFSET($H$3,0,0,'Données projet'!$E$16+1,1))</f>
        <v>346.42094266871379</v>
      </c>
      <c r="FK21" s="59">
        <f t="shared" si="48"/>
        <v>453.48153556975973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7.9</v>
      </c>
      <c r="FZ21" s="12">
        <f>IF('Données projet'!$A$244&gt;35,FZ20+FY21-GH20,IF(A21&lt;'Données projet'!$A$244,$FW$205^A21,IF(A21='Données projet'!$A$244,'Données projet'!$B$244,FZ20+FY21-GH20)))</f>
        <v>95.233857990035276</v>
      </c>
      <c r="GA21" s="17">
        <f>FZ21*VLOOKUP('Données projet'!$B$17,Paramètres!$A$1:$I$89,3,0)*VLOOKUP('Données projet'!$B$17,Paramètres!$A$1:$I$89,5,0)</f>
        <v>44.569445539336513</v>
      </c>
      <c r="GB21" s="13">
        <f t="shared" si="49"/>
        <v>13.202049673437019</v>
      </c>
      <c r="GC21" s="20">
        <f t="shared" si="25"/>
        <v>100.61868749558056</v>
      </c>
      <c r="GD21" s="59">
        <f t="shared" si="26"/>
        <v>379.28535416224724</v>
      </c>
      <c r="GE21" s="59">
        <f ca="1">AVERAGE(OFFSET($GD$3,0,0,'Données projet'!$E$17+1,1))-AVERAGE(OFFSET($H$3,0,0,'Données projet'!$E$17+1,1))</f>
        <v>198.26255998041</v>
      </c>
      <c r="GF21" s="59">
        <f t="shared" si="50"/>
        <v>238.62101708181166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4.3703703703703702</v>
      </c>
      <c r="GU21" s="12">
        <f>IF('Données projet'!$A$270&gt;35,GU20+GT21-HC20,IF(A21&lt;'Données projet'!$A$270,$GR$205^A21,IF(A21='Données projet'!$A$270,'Données projet'!$B$270,GU20+GT21-HC20)))</f>
        <v>24.057731387639919</v>
      </c>
      <c r="GV21" s="17">
        <f>GU21*VLOOKUP('Données projet'!$B$18,Paramètres!$A$1:$I$89,3,0)*VLOOKUP('Données projet'!$B$18,Paramètres!$A$1:$I$89,5,0)</f>
        <v>27.714506558561183</v>
      </c>
      <c r="GW21" s="13">
        <f t="shared" si="51"/>
        <v>8.6761710031493049</v>
      </c>
      <c r="GX21" s="20">
        <f t="shared" si="28"/>
        <v>63.38043008664576</v>
      </c>
      <c r="GY21" s="59">
        <f t="shared" si="29"/>
        <v>342.04709675331242</v>
      </c>
      <c r="GZ21" s="59">
        <f ca="1">AVERAGE(OFFSET($GY$3,0,0,'Données projet'!$E$18+1,1))-AVERAGE(OFFSET($H$3,0,0,'Données projet'!$E$18+1,1))</f>
        <v>604.0566904089452</v>
      </c>
      <c r="HA21" s="59">
        <f t="shared" si="52"/>
        <v>369.5187835902687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</v>
      </c>
      <c r="N22" s="13">
        <f>IF('Données projet'!$A$36&gt;35,N21+M22-V21,IF(A22&lt;'Données projet'!$A$36,$K$205^A22,IF(A22='Données projet'!$A$36,'Données projet'!$B$36,N21+M22-V21)))</f>
        <v>76</v>
      </c>
      <c r="O22" s="13">
        <f>N22*VLOOKUP('Données projet'!$B$9,Paramètres!$A$1:$I$89,3,0)*VLOOKUP('Données projet'!$B$9,Paramètres!$A$1:$I$89,5,0)</f>
        <v>68.764799999999994</v>
      </c>
      <c r="P22" s="13">
        <f t="shared" si="33"/>
        <v>19.366396769521369</v>
      </c>
      <c r="Q22" s="20">
        <f t="shared" si="2"/>
        <v>153.49516770691636</v>
      </c>
      <c r="R22" s="59">
        <f t="shared" si="0"/>
        <v>433.38405659580519</v>
      </c>
      <c r="S22" s="59">
        <f ca="1">AVERAGE(OFFSET($R$3,0,0,'Données projet'!$E$9+1,1))-AVERAGE(OFFSET($H$3,0,0,'Données projet'!$E$9+1,1))</f>
        <v>528.20489749461376</v>
      </c>
      <c r="T22" s="59">
        <f t="shared" si="34"/>
        <v>276.26988364830532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15.4</v>
      </c>
      <c r="AI22" s="13">
        <f>IF('Données projet'!$A$62&gt;35,AI21+AH22-AQ21,IF(A22&lt;'Données projet'!$A$62,$AF$205^A22,IF(A22='Données projet'!$A$62,'Données projet'!$B$62,AI21+AH22-AQ21)))</f>
        <v>201.60000000000002</v>
      </c>
      <c r="AJ22" s="13">
        <f>AI22*VLOOKUP('Données projet'!$B$10,Paramètres!$A$1:$I$89,3,0)*VLOOKUP('Données projet'!$B$10,Paramètres!$A$1:$I$89,5,0)</f>
        <v>182.40768000000003</v>
      </c>
      <c r="AK22" s="13">
        <f t="shared" si="35"/>
        <v>45.857435663065921</v>
      </c>
      <c r="AL22" s="20">
        <f t="shared" si="4"/>
        <v>397.56174311317318</v>
      </c>
      <c r="AM22" s="59">
        <f t="shared" si="5"/>
        <v>677.45063200206209</v>
      </c>
      <c r="AN22" s="59">
        <f ca="1">AVERAGE(OFFSET($AM$3,0,0,'Données projet'!$E$10+1,1))-AVERAGE(OFFSET($H$3,0,0,'Données projet'!$E$10+1,1))</f>
        <v>436.23918637269577</v>
      </c>
      <c r="AO22" s="59">
        <f t="shared" si="36"/>
        <v>611.43967996341894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8.9981893913097224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8.9981893913097224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9.6</v>
      </c>
      <c r="BD22" s="12">
        <f>IF('Données projet'!$A$88&gt;35,BD21+BC22-BL21,IF(A22&lt;'Données projet'!$A$88,$BA$205^A22,IF(A22='Données projet'!$A$88,'Données projet'!$B$88,BD21+BC22-BL21)))</f>
        <v>75.399999999999991</v>
      </c>
      <c r="BE22" s="13">
        <f>BD22*VLOOKUP('Données projet'!$B$11,Paramètres!$A$1:$I$89,3,0)*VLOOKUP('Données projet'!$B$11,Paramètres!$A$1:$I$89,5,0)</f>
        <v>58.811999999999998</v>
      </c>
      <c r="BF22" s="13">
        <f t="shared" si="37"/>
        <v>16.86755663452599</v>
      </c>
      <c r="BG22" s="20">
        <f t="shared" si="7"/>
        <v>131.8085611384661</v>
      </c>
      <c r="BH22" s="59">
        <f t="shared" si="8"/>
        <v>411.69745002735499</v>
      </c>
      <c r="BI22" s="59">
        <f ca="1">AVERAGE(OFFSET($BH$3,0,0,'Données projet'!$E$11+1,1))-AVERAGE(OFFSET($H$3,0,0,'Données projet'!$E$11+1,1))</f>
        <v>288.82868507674738</v>
      </c>
      <c r="BJ22" s="59">
        <f t="shared" si="38"/>
        <v>283.48738729114024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0.73541999999999996</v>
      </c>
      <c r="BY22" s="12">
        <f>IF('Données projet'!$A$114&gt;35,BY21+BX22-CG21,IF(A22&lt;'Données projet'!$A$114,$BV$205^A22,IF(A22='Données projet'!$A$114,'Données projet'!$B$114,BY21+BX22-CG21)))</f>
        <v>9.1411605839479346</v>
      </c>
      <c r="BZ22" s="13">
        <f>BY22*VLOOKUP('Données projet'!$B$12,Paramètres!$A$1:$I$89,3,0)*VLOOKUP('Données projet'!$B$12,Paramètres!$A$1:$I$89,5,0)</f>
        <v>7.985717886136916</v>
      </c>
      <c r="CA22" s="13">
        <f t="shared" si="39"/>
        <v>2.8895930439970492</v>
      </c>
      <c r="CB22" s="20">
        <f t="shared" si="10"/>
        <v>18.941166536649991</v>
      </c>
      <c r="CC22" s="59">
        <f t="shared" si="11"/>
        <v>298.83005542553883</v>
      </c>
      <c r="CD22" s="59">
        <f ca="1">AVERAGE(OFFSET($CC$3,0,0,'Données projet'!$E$12+1,1))-AVERAGE(OFFSET($H$3,0,0,'Données projet'!$E$12+1,1))</f>
        <v>93.329407403816901</v>
      </c>
      <c r="CE22" s="59">
        <f t="shared" si="40"/>
        <v>90.925148357295313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11.6</v>
      </c>
      <c r="CT22" s="12">
        <f>IF('Données projet'!$A$140&gt;35,CT21+CS22-DB21,IF(A22&lt;'Données projet'!$A$140,$CQ$205^A22,IF(A22='Données projet'!$A$140,'Données projet'!$B$140,CT21+CS22-DB21)))</f>
        <v>135.39999999999998</v>
      </c>
      <c r="CU22" s="17">
        <f>CT22*VLOOKUP('Données projet'!$B$13,Paramètres!$A$1:$I$89,3,0)*VLOOKUP('Données projet'!$B$13,Paramètres!$A$1:$I$89,5,0)</f>
        <v>128.84663999999998</v>
      </c>
      <c r="CV22" s="13">
        <f t="shared" si="41"/>
        <v>33.729713632032535</v>
      </c>
      <c r="CW22" s="20">
        <f t="shared" si="13"/>
        <v>283.15381590912324</v>
      </c>
      <c r="CX22" s="59">
        <f t="shared" si="14"/>
        <v>563.0427047980121</v>
      </c>
      <c r="CY22" s="59">
        <f ca="1">AVERAGE(OFFSET($CX$3,0,0,'Données projet'!$E$13+1,1))-AVERAGE(OFFSET($H$3,0,0,'Données projet'!$E$13+1,1))</f>
        <v>805.04572055352492</v>
      </c>
      <c r="CZ22" s="59">
        <f t="shared" si="42"/>
        <v>708.66645042414962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14.6</v>
      </c>
      <c r="DO22" s="12">
        <f>IF('Données projet'!$A$166&gt;35,DO21+DN22-DW21,IF(A22&lt;'Données projet'!$A$166,$DL$205^A22,IF(A22='Données projet'!$A$166,'Données projet'!$B$166,DO21+DN22-DW21)))</f>
        <v>134.39999999999998</v>
      </c>
      <c r="DP22" s="17">
        <f>DO22*VLOOKUP('Données projet'!$B$14,Paramètres!$A$1:$I$89,3,0)*VLOOKUP('Données projet'!$B$14,Paramètres!$A$1:$I$89,5,0)</f>
        <v>90.155519999999981</v>
      </c>
      <c r="DQ22" s="13">
        <f t="shared" si="43"/>
        <v>24.60272890328697</v>
      </c>
      <c r="DR22" s="20">
        <f t="shared" si="16"/>
        <v>199.87061683989143</v>
      </c>
      <c r="DS22" s="59">
        <f t="shared" si="17"/>
        <v>479.75950572878025</v>
      </c>
      <c r="DT22" s="59">
        <f ca="1">AVERAGE(OFFSET($DS$3,0,0,'Données projet'!$E$14+1,1))-AVERAGE(OFFSET($H$3,0,0,'Données projet'!$E$14+1,1))</f>
        <v>482.69499576870095</v>
      </c>
      <c r="DU22" s="59">
        <f t="shared" si="44"/>
        <v>384.28918352579575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8</v>
      </c>
      <c r="EJ22" s="12">
        <f>IF('Données projet'!$A$192&gt;35,EJ21+EI22-ER21,IF(A22&lt;'Données projet'!$A$192,$EG$205^A22,IF(A22='Données projet'!$A$192,'Données projet'!$B$192,EJ21+EI22-ER21)))</f>
        <v>83</v>
      </c>
      <c r="EK22" s="17">
        <f>EJ22*VLOOKUP('Données projet'!$B$15,Paramètres!$A$1:$I$89,3,0)*VLOOKUP('Données projet'!$B$15,Paramètres!$A$1:$I$89,5,0)</f>
        <v>60.855599999999995</v>
      </c>
      <c r="EL22" s="13">
        <f t="shared" si="45"/>
        <v>17.384412949542664</v>
      </c>
      <c r="EM22" s="20">
        <f t="shared" si="19"/>
        <v>136.26802255378678</v>
      </c>
      <c r="EN22" s="59">
        <f t="shared" si="20"/>
        <v>416.15691144267566</v>
      </c>
      <c r="EO22" s="59">
        <f ca="1">AVERAGE(OFFSET($EN$3,0,0,'Données projet'!$E$15+1,1))-AVERAGE(OFFSET($H$3,0,0,'Données projet'!$E$15+1,1))</f>
        <v>197.34725966440715</v>
      </c>
      <c r="EP22" s="59">
        <f t="shared" si="46"/>
        <v>240.16326570529532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14.873356448012393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14.873356448012393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11.761904761904763</v>
      </c>
      <c r="FE22" s="12">
        <f>IF('Données projet'!$A$218&gt;35,FE21+FD22-FM21,IF(A22&lt;'Données projet'!$A$218,$FB$205^A22,IF(A22='Données projet'!$A$218,'Données projet'!$B$218,FE21+FD22-FM21)))</f>
        <v>146.15748218925546</v>
      </c>
      <c r="FF22" s="17">
        <f>FE22*VLOOKUP('Données projet'!$B$16,Paramètres!$A$1:$I$89,3,0)*VLOOKUP('Données projet'!$B$16,Paramètres!$A$1:$I$89,5,0)</f>
        <v>81.702032543793806</v>
      </c>
      <c r="FG22" s="13">
        <f t="shared" si="47"/>
        <v>22.552828672348195</v>
      </c>
      <c r="FH22" s="20">
        <f t="shared" si="22"/>
        <v>181.57721661811399</v>
      </c>
      <c r="FI22" s="59">
        <f t="shared" si="23"/>
        <v>461.46610550700285</v>
      </c>
      <c r="FJ22" s="59">
        <f ca="1">AVERAGE(OFFSET($FI$3,0,0,'Données projet'!$E$16+1,1))-AVERAGE(OFFSET($H$3,0,0,'Données projet'!$E$16+1,1))</f>
        <v>346.42094266871379</v>
      </c>
      <c r="FK22" s="59">
        <f t="shared" si="48"/>
        <v>453.48153556975973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7.9</v>
      </c>
      <c r="FZ22" s="12">
        <f>IF('Données projet'!$A$244&gt;35,FZ21+FY22-GH21,IF(A22&lt;'Données projet'!$A$244,$FW$205^A22,IF(A22='Données projet'!$A$244,'Données projet'!$B$244,FZ21+FY22-GH21)))</f>
        <v>122.66600817840934</v>
      </c>
      <c r="GA22" s="17">
        <f>FZ22*VLOOKUP('Données projet'!$B$17,Paramètres!$A$1:$I$89,3,0)*VLOOKUP('Données projet'!$B$17,Paramètres!$A$1:$I$89,5,0)</f>
        <v>57.407691827495569</v>
      </c>
      <c r="GB22" s="13">
        <f t="shared" si="49"/>
        <v>16.511176981334152</v>
      </c>
      <c r="GC22" s="20">
        <f t="shared" si="25"/>
        <v>128.7420298420451</v>
      </c>
      <c r="GD22" s="59">
        <f t="shared" si="26"/>
        <v>408.63091873093396</v>
      </c>
      <c r="GE22" s="59">
        <f ca="1">AVERAGE(OFFSET($GD$3,0,0,'Données projet'!$E$17+1,1))-AVERAGE(OFFSET($H$3,0,0,'Données projet'!$E$17+1,1))</f>
        <v>198.26255998041</v>
      </c>
      <c r="GF22" s="59">
        <f t="shared" si="50"/>
        <v>238.62101708181166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4.3703703703703702</v>
      </c>
      <c r="GU22" s="12">
        <f>IF('Données projet'!$A$270&gt;35,GU21+GT22-HC21,IF(A22&lt;'Données projet'!$A$270,$GR$205^A22,IF(A22='Données projet'!$A$270,'Données projet'!$B$270,GU21+GT22-HC21)))</f>
        <v>28.707213694944539</v>
      </c>
      <c r="GV22" s="17">
        <f>GU22*VLOOKUP('Données projet'!$B$18,Paramètres!$A$1:$I$89,3,0)*VLOOKUP('Données projet'!$B$18,Paramètres!$A$1:$I$89,5,0)</f>
        <v>33.070710176576107</v>
      </c>
      <c r="GW22" s="13">
        <f t="shared" si="51"/>
        <v>10.142204433749292</v>
      </c>
      <c r="GX22" s="20">
        <f t="shared" si="28"/>
        <v>75.262492946316726</v>
      </c>
      <c r="GY22" s="59">
        <f t="shared" si="29"/>
        <v>355.1513818352056</v>
      </c>
      <c r="GZ22" s="59">
        <f ca="1">AVERAGE(OFFSET($GY$3,0,0,'Données projet'!$E$18+1,1))-AVERAGE(OFFSET($H$3,0,0,'Données projet'!$E$18+1,1))</f>
        <v>604.0566904089452</v>
      </c>
      <c r="HA22" s="59">
        <f t="shared" si="52"/>
        <v>369.5187835902687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</v>
      </c>
      <c r="N23" s="13">
        <f>IF('Données projet'!$A$36&gt;35,N22+M23-V22,IF(A23&lt;'Données projet'!$A$36,$K$205^A23,IF(A23='Données projet'!$A$36,'Données projet'!$B$36,N22+M23-V22)))</f>
        <v>80</v>
      </c>
      <c r="O23" s="13">
        <f>N23*VLOOKUP('Données projet'!$B$9,Paramètres!$A$1:$I$89,3,0)*VLOOKUP('Données projet'!$B$9,Paramètres!$A$1:$I$89,5,0)</f>
        <v>72.384</v>
      </c>
      <c r="P23" s="13">
        <f t="shared" si="33"/>
        <v>20.264329923804397</v>
      </c>
      <c r="Q23" s="20">
        <f t="shared" si="2"/>
        <v>161.362507950626</v>
      </c>
      <c r="R23" s="59">
        <f t="shared" si="0"/>
        <v>442.47361906173717</v>
      </c>
      <c r="S23" s="59">
        <f ca="1">AVERAGE(OFFSET($R$3,0,0,'Données projet'!$E$9+1,1))-AVERAGE(OFFSET($H$3,0,0,'Données projet'!$E$9+1,1))</f>
        <v>528.20489749461376</v>
      </c>
      <c r="T23" s="59">
        <f t="shared" si="34"/>
        <v>276.26988364830532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217</v>
      </c>
      <c r="AG23" s="12">
        <f>VLOOKUP(A23,'Données projet'!$A$61:$I$81,9,0)</f>
        <v>15.4</v>
      </c>
      <c r="AH23" s="12">
        <f t="array" ref="AH23">INDEX(AG:AG,MIN(IF(ISNUMBER(AG23:AG219),ROW(AG23:AG219),"")))</f>
        <v>15.4</v>
      </c>
      <c r="AI23" s="13">
        <f>IF('Données projet'!$A$62&gt;35,AI22+AH23-AQ22,IF(A23&lt;'Données projet'!$A$62,$AF$205^A23,IF(A23='Données projet'!$A$62,'Données projet'!$B$62,AI22+AH23-AQ22)))</f>
        <v>217.00000000000003</v>
      </c>
      <c r="AJ23" s="13">
        <f>AI23*VLOOKUP('Données projet'!$B$10,Paramètres!$A$1:$I$89,3,0)*VLOOKUP('Données projet'!$B$10,Paramètres!$A$1:$I$89,5,0)</f>
        <v>196.34160000000003</v>
      </c>
      <c r="AK23" s="13">
        <f t="shared" si="35"/>
        <v>48.939300310809159</v>
      </c>
      <c r="AL23" s="20">
        <f t="shared" si="4"/>
        <v>427.19756804132595</v>
      </c>
      <c r="AM23" s="59">
        <f t="shared" si="5"/>
        <v>708.30867915243709</v>
      </c>
      <c r="AN23" s="59">
        <f ca="1">AVERAGE(OFFSET($AM$3,0,0,'Données projet'!$E$10+1,1))-AVERAGE(OFFSET($H$3,0,0,'Données projet'!$E$10+1,1))</f>
        <v>436.23918637269577</v>
      </c>
      <c r="AO23" s="59">
        <f t="shared" si="36"/>
        <v>611.43967996341894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23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0.15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12.18933846372183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12.18933846372183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85</v>
      </c>
      <c r="BB23" s="12">
        <f>VLOOKUP(A23,'Données projet'!$A$87:$I$107,9,0)</f>
        <v>9.6</v>
      </c>
      <c r="BC23" s="12">
        <f t="array" ref="BC23">INDEX(BB:BB,MIN(IF(ISNUMBER(BB23:BB219),ROW(BB23:BB219),"")))</f>
        <v>9.6</v>
      </c>
      <c r="BD23" s="12">
        <f>IF('Données projet'!$A$88&gt;35,BD22+BC23-BL22,IF(A23&lt;'Données projet'!$A$88,$BA$205^A23,IF(A23='Données projet'!$A$88,'Données projet'!$B$88,BD22+BC23-BL22)))</f>
        <v>84.999999999999986</v>
      </c>
      <c r="BE23" s="13">
        <f>BD23*VLOOKUP('Données projet'!$B$11,Paramètres!$A$1:$I$89,3,0)*VLOOKUP('Données projet'!$B$11,Paramètres!$A$1:$I$89,5,0)</f>
        <v>66.3</v>
      </c>
      <c r="BF23" s="13">
        <f t="shared" si="37"/>
        <v>18.751733344032118</v>
      </c>
      <c r="BG23" s="20">
        <f t="shared" si="7"/>
        <v>148.13176890752257</v>
      </c>
      <c r="BH23" s="59">
        <f t="shared" si="8"/>
        <v>429.24288001863374</v>
      </c>
      <c r="BI23" s="59">
        <f ca="1">AVERAGE(OFFSET($BH$3,0,0,'Données projet'!$E$11+1,1))-AVERAGE(OFFSET($H$3,0,0,'Données projet'!$E$11+1,1))</f>
        <v>288.82868507674738</v>
      </c>
      <c r="BJ23" s="59">
        <f t="shared" si="38"/>
        <v>283.48738729114024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0.73541999999999996</v>
      </c>
      <c r="BY23" s="12">
        <f>IF('Données projet'!$A$114&gt;35,BY22+BX23-CG22,IF(A23&lt;'Données projet'!$A$114,$BV$205^A23,IF(A23='Données projet'!$A$114,'Données projet'!$B$114,BY22+BX23-CG22)))</f>
        <v>10.270234409604992</v>
      </c>
      <c r="BZ23" s="13">
        <f>BY23*VLOOKUP('Données projet'!$B$12,Paramètres!$A$1:$I$89,3,0)*VLOOKUP('Données projet'!$B$12,Paramètres!$A$1:$I$89,5,0)</f>
        <v>8.9720767802309229</v>
      </c>
      <c r="CA23" s="13">
        <f t="shared" si="39"/>
        <v>3.2027888160591482</v>
      </c>
      <c r="CB23" s="20">
        <f t="shared" si="10"/>
        <v>21.204557580205208</v>
      </c>
      <c r="CC23" s="59">
        <f t="shared" si="11"/>
        <v>302.31566869131638</v>
      </c>
      <c r="CD23" s="59">
        <f ca="1">AVERAGE(OFFSET($CC$3,0,0,'Données projet'!$E$12+1,1))-AVERAGE(OFFSET($H$3,0,0,'Données projet'!$E$12+1,1))</f>
        <v>93.329407403816901</v>
      </c>
      <c r="CE23" s="59">
        <f t="shared" si="40"/>
        <v>90.925148357295313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147</v>
      </c>
      <c r="CR23" s="12">
        <f>VLOOKUP(A23,'Données projet'!$A$139:$I$159,9,0)</f>
        <v>11.6</v>
      </c>
      <c r="CS23" s="12">
        <f t="array" ref="CS23">INDEX(CR:CR,MIN(IF(ISNUMBER(CR23:CR219),ROW(CR23:CR219),"")))</f>
        <v>11.6</v>
      </c>
      <c r="CT23" s="12">
        <f>IF('Données projet'!$A$140&gt;35,CT22+CS23-DB22,IF(A23&lt;'Données projet'!$A$140,$CQ$205^A23,IF(A23='Données projet'!$A$140,'Données projet'!$B$140,CT22+CS23-DB22)))</f>
        <v>146.99999999999997</v>
      </c>
      <c r="CU23" s="17">
        <f>CT23*VLOOKUP('Données projet'!$B$13,Paramètres!$A$1:$I$89,3,0)*VLOOKUP('Données projet'!$B$13,Paramètres!$A$1:$I$89,5,0)</f>
        <v>139.8852</v>
      </c>
      <c r="CV23" s="13">
        <f t="shared" si="41"/>
        <v>36.2707051716027</v>
      </c>
      <c r="CW23" s="20">
        <f t="shared" si="13"/>
        <v>306.80486817387464</v>
      </c>
      <c r="CX23" s="59">
        <f t="shared" si="14"/>
        <v>587.91597928498572</v>
      </c>
      <c r="CY23" s="59">
        <f ca="1">AVERAGE(OFFSET($CX$3,0,0,'Données projet'!$E$13+1,1))-AVERAGE(OFFSET($H$3,0,0,'Données projet'!$E$13+1,1))</f>
        <v>805.04572055352492</v>
      </c>
      <c r="CZ23" s="59">
        <f t="shared" si="42"/>
        <v>708.66645042414962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20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149</v>
      </c>
      <c r="DM23" s="12">
        <f>VLOOKUP(A23,'Données projet'!$A$165:$I$185,9,0)</f>
        <v>14.6</v>
      </c>
      <c r="DN23" s="12">
        <f t="array" ref="DN23">INDEX(DM:DM,MIN(IF(ISNUMBER(DM23:DM219),ROW(DM23:DM219),"")))</f>
        <v>14.6</v>
      </c>
      <c r="DO23" s="12">
        <f>IF('Données projet'!$A$166&gt;35,DO22+DN23-DW22,IF(A23&lt;'Données projet'!$A$166,$DL$205^A23,IF(A23='Données projet'!$A$166,'Données projet'!$B$166,DO22+DN23-DW22)))</f>
        <v>148.99999999999997</v>
      </c>
      <c r="DP23" s="17">
        <f>DO23*VLOOKUP('Données projet'!$B$14,Paramètres!$A$1:$I$89,3,0)*VLOOKUP('Données projet'!$B$14,Paramètres!$A$1:$I$89,5,0)</f>
        <v>99.94919999999999</v>
      </c>
      <c r="DQ23" s="13">
        <f t="shared" si="43"/>
        <v>26.949894790983482</v>
      </c>
      <c r="DR23" s="20">
        <f t="shared" si="16"/>
        <v>221.01592342762953</v>
      </c>
      <c r="DS23" s="59">
        <f t="shared" si="17"/>
        <v>502.12703453874065</v>
      </c>
      <c r="DT23" s="59">
        <f ca="1">AVERAGE(OFFSET($DS$3,0,0,'Données projet'!$E$14+1,1))-AVERAGE(OFFSET($H$3,0,0,'Données projet'!$E$14+1,1))</f>
        <v>482.69499576870095</v>
      </c>
      <c r="DU23" s="59">
        <f t="shared" si="44"/>
        <v>384.28918352579575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25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8</v>
      </c>
      <c r="EJ23" s="12">
        <f>IF('Données projet'!$A$192&gt;35,EJ22+EI23-ER22,IF(A23&lt;'Données projet'!$A$192,$EG$205^A23,IF(A23='Données projet'!$A$192,'Données projet'!$B$192,EJ22+EI23-ER22)))</f>
        <v>91</v>
      </c>
      <c r="EK23" s="17">
        <f>EJ23*VLOOKUP('Données projet'!$B$15,Paramètres!$A$1:$I$89,3,0)*VLOOKUP('Données projet'!$B$15,Paramètres!$A$1:$I$89,5,0)</f>
        <v>66.721199999999996</v>
      </c>
      <c r="EL23" s="13">
        <f t="shared" si="45"/>
        <v>18.856956599005905</v>
      </c>
      <c r="EM23" s="20">
        <f t="shared" si="19"/>
        <v>149.0486227432686</v>
      </c>
      <c r="EN23" s="59">
        <f t="shared" si="20"/>
        <v>430.15973385437974</v>
      </c>
      <c r="EO23" s="59">
        <f ca="1">AVERAGE(OFFSET($EN$3,0,0,'Données projet'!$E$15+1,1))-AVERAGE(OFFSET($H$3,0,0,'Données projet'!$E$15+1,1))</f>
        <v>197.34725966440715</v>
      </c>
      <c r="EP23" s="59">
        <f t="shared" si="46"/>
        <v>240.16326570529532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14.466643733785672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14.466643733785672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11.761904761904763</v>
      </c>
      <c r="FE23" s="12">
        <f>IF('Données projet'!$A$218&gt;35,FE22+FD23-FM22,IF(A23&lt;'Données projet'!$A$218,$FB$205^A23,IF(A23='Données projet'!$A$218,'Données projet'!$B$218,FE22+FD23-FM22)))</f>
        <v>190.0023634083168</v>
      </c>
      <c r="FF23" s="17">
        <f>FE23*VLOOKUP('Données projet'!$B$16,Paramètres!$A$1:$I$89,3,0)*VLOOKUP('Données projet'!$B$16,Paramètres!$A$1:$I$89,5,0)</f>
        <v>106.21132114524909</v>
      </c>
      <c r="FG23" s="13">
        <f t="shared" si="47"/>
        <v>28.436529571095946</v>
      </c>
      <c r="FH23" s="20">
        <f t="shared" si="22"/>
        <v>234.5116733309676</v>
      </c>
      <c r="FI23" s="59">
        <f t="shared" si="23"/>
        <v>515.62278444207868</v>
      </c>
      <c r="FJ23" s="59">
        <f ca="1">AVERAGE(OFFSET($FI$3,0,0,'Données projet'!$E$16+1,1))-AVERAGE(OFFSET($H$3,0,0,'Données projet'!$E$16+1,1))</f>
        <v>346.42094266871379</v>
      </c>
      <c r="FK23" s="59">
        <f t="shared" si="48"/>
        <v>453.48153556975973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158</v>
      </c>
      <c r="FX23" s="12">
        <f>VLOOKUP(A23,'Données projet'!$A$243:$I$263,9,0)</f>
        <v>7.9</v>
      </c>
      <c r="FY23" s="12">
        <f t="array" ref="FY23">INDEX(FX:FX,MIN(IF(ISNUMBER(FX23:FX219),ROW(FX23:FX219),"")))</f>
        <v>7.9</v>
      </c>
      <c r="FZ23" s="12">
        <f>IF('Données projet'!$A$244&gt;35,FZ22+FY23-GH22,IF(A23&lt;'Données projet'!$A$244,$FW$205^A23,IF(A23='Données projet'!$A$244,'Données projet'!$B$244,FZ22+FY23-GH22)))</f>
        <v>158</v>
      </c>
      <c r="GA23" s="17">
        <f>FZ23*VLOOKUP('Données projet'!$B$17,Paramètres!$A$1:$I$89,3,0)*VLOOKUP('Données projet'!$B$17,Paramètres!$A$1:$I$89,5,0)</f>
        <v>73.944000000000003</v>
      </c>
      <c r="GB23" s="13">
        <f t="shared" si="49"/>
        <v>20.649745460165708</v>
      </c>
      <c r="GC23" s="20">
        <f t="shared" si="25"/>
        <v>164.75077334312192</v>
      </c>
      <c r="GD23" s="59">
        <f t="shared" si="26"/>
        <v>445.86188445423306</v>
      </c>
      <c r="GE23" s="59">
        <f ca="1">AVERAGE(OFFSET($GD$3,0,0,'Données projet'!$E$17+1,1))-AVERAGE(OFFSET($H$3,0,0,'Données projet'!$E$17+1,1))</f>
        <v>198.26255998041</v>
      </c>
      <c r="GF23" s="59">
        <f t="shared" si="50"/>
        <v>238.62101708181166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55.3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0.55000000000000004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18.808262271305477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18.808262271305477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4.3703703703703702</v>
      </c>
      <c r="GU23" s="12">
        <f>IF('Données projet'!$A$270&gt;35,GU22+GT23-HC22,IF(A23&lt;'Données projet'!$A$270,$GR$205^A23,IF(A23='Données projet'!$A$270,'Données projet'!$B$270,GU22+GT23-HC22)))</f>
        <v>34.255271407286948</v>
      </c>
      <c r="GV23" s="17">
        <f>GU23*VLOOKUP('Données projet'!$B$18,Paramètres!$A$1:$I$89,3,0)*VLOOKUP('Données projet'!$B$18,Paramètres!$A$1:$I$89,5,0)</f>
        <v>39.462072661194561</v>
      </c>
      <c r="GW23" s="13">
        <f t="shared" si="51"/>
        <v>11.855957050480647</v>
      </c>
      <c r="GX23" s="20">
        <f t="shared" si="28"/>
        <v>89.37890174783432</v>
      </c>
      <c r="GY23" s="59">
        <f t="shared" si="29"/>
        <v>370.49001285894548</v>
      </c>
      <c r="GZ23" s="59">
        <f ca="1">AVERAGE(OFFSET($GY$3,0,0,'Données projet'!$E$18+1,1))-AVERAGE(OFFSET($H$3,0,0,'Données projet'!$E$18+1,1))</f>
        <v>604.0566904089452</v>
      </c>
      <c r="HA23" s="59">
        <f t="shared" si="52"/>
        <v>369.5187835902687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</v>
      </c>
      <c r="N24" s="13">
        <f>IF('Données projet'!$A$36&gt;35,N23+M24-V23,IF(A24&lt;'Données projet'!$A$36,$K$205^A24,IF(A24='Données projet'!$A$36,'Données projet'!$B$36,N23+M24-V23)))</f>
        <v>84</v>
      </c>
      <c r="O24" s="13">
        <f>N24*VLOOKUP('Données projet'!$B$9,Paramètres!$A$1:$I$89,3,0)*VLOOKUP('Données projet'!$B$9,Paramètres!$A$1:$I$89,5,0)</f>
        <v>76.003200000000007</v>
      </c>
      <c r="P24" s="13">
        <f t="shared" si="33"/>
        <v>21.157049992000456</v>
      </c>
      <c r="Q24" s="20">
        <f t="shared" si="2"/>
        <v>169.22076873606747</v>
      </c>
      <c r="R24" s="59">
        <f t="shared" si="0"/>
        <v>451.55410206940076</v>
      </c>
      <c r="S24" s="59">
        <f ca="1">AVERAGE(OFFSET($R$3,0,0,'Données projet'!$E$9+1,1))-AVERAGE(OFFSET($H$3,0,0,'Données projet'!$E$9+1,1))</f>
        <v>528.20489749461376</v>
      </c>
      <c r="T24" s="59">
        <f t="shared" si="34"/>
        <v>276.26988364830532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</v>
      </c>
      <c r="AI24" s="13">
        <f>IF('Données projet'!$A$62&gt;35,AI23+AH24-AQ23,IF(A24&lt;'Données projet'!$A$62,$AF$205^A24,IF(A24='Données projet'!$A$62,'Données projet'!$B$62,AI23+AH24-AQ23)))</f>
        <v>207.00000000000003</v>
      </c>
      <c r="AJ24" s="13">
        <f>AI24*VLOOKUP('Données projet'!$B$10,Paramètres!$A$1:$I$89,3,0)*VLOOKUP('Données projet'!$B$10,Paramètres!$A$1:$I$89,5,0)</f>
        <v>187.2936</v>
      </c>
      <c r="AK24" s="13">
        <f t="shared" si="35"/>
        <v>46.941107550760421</v>
      </c>
      <c r="AL24" s="20">
        <f t="shared" si="4"/>
        <v>407.95878231757439</v>
      </c>
      <c r="AM24" s="59">
        <f t="shared" si="5"/>
        <v>690.2921156509077</v>
      </c>
      <c r="AN24" s="59">
        <f ca="1">AVERAGE(OFFSET($AM$3,0,0,'Données projet'!$E$10+1,1))-AVERAGE(OFFSET($H$3,0,0,'Données projet'!$E$10+1,1))</f>
        <v>436.23918637269577</v>
      </c>
      <c r="AO24" s="59">
        <f t="shared" si="36"/>
        <v>611.43967996341894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11.856020362421907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11.856020362421907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10.6</v>
      </c>
      <c r="BD24" s="12">
        <f>IF('Données projet'!$A$88&gt;35,BD23+BC24-BL23,IF(A24&lt;'Données projet'!$A$88,$BA$205^A24,IF(A24='Données projet'!$A$88,'Données projet'!$B$88,BD23+BC24-BL23)))</f>
        <v>70.59999999999998</v>
      </c>
      <c r="BE24" s="13">
        <f>BD24*VLOOKUP('Données projet'!$B$11,Paramètres!$A$1:$I$89,3,0)*VLOOKUP('Données projet'!$B$11,Paramètres!$A$1:$I$89,5,0)</f>
        <v>55.067999999999984</v>
      </c>
      <c r="BF24" s="13">
        <f t="shared" si="37"/>
        <v>15.915148294580479</v>
      </c>
      <c r="BG24" s="20">
        <f t="shared" si="7"/>
        <v>123.62898327972762</v>
      </c>
      <c r="BH24" s="59">
        <f t="shared" si="8"/>
        <v>405.96231661306092</v>
      </c>
      <c r="BI24" s="59">
        <f ca="1">AVERAGE(OFFSET($BH$3,0,0,'Données projet'!$E$11+1,1))-AVERAGE(OFFSET($H$3,0,0,'Données projet'!$E$11+1,1))</f>
        <v>288.82868507674738</v>
      </c>
      <c r="BJ24" s="59">
        <f t="shared" si="38"/>
        <v>283.48738729114024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0.73541999999999996</v>
      </c>
      <c r="BY24" s="12">
        <f>IF('Données projet'!$A$114&gt;35,BY23+BX24-CG23,IF(A24&lt;'Données projet'!$A$114,$BV$205^A24,IF(A24='Données projet'!$A$114,'Données projet'!$B$114,BY23+BX24-CG23)))</f>
        <v>11.538766205842114</v>
      </c>
      <c r="BZ24" s="13">
        <f>BY24*VLOOKUP('Données projet'!$B$12,Paramètres!$A$1:$I$89,3,0)*VLOOKUP('Données projet'!$B$12,Paramètres!$A$1:$I$89,5,0)</f>
        <v>10.080266157423672</v>
      </c>
      <c r="CA24" s="13">
        <f t="shared" si="39"/>
        <v>3.5499310955165888</v>
      </c>
      <c r="CB24" s="20">
        <f t="shared" si="10"/>
        <v>23.739260215537623</v>
      </c>
      <c r="CC24" s="59">
        <f t="shared" si="11"/>
        <v>306.07259354887094</v>
      </c>
      <c r="CD24" s="59">
        <f ca="1">AVERAGE(OFFSET($CC$3,0,0,'Données projet'!$E$12+1,1))-AVERAGE(OFFSET($H$3,0,0,'Données projet'!$E$12+1,1))</f>
        <v>93.329407403816901</v>
      </c>
      <c r="CE24" s="59">
        <f t="shared" si="40"/>
        <v>90.925148357295313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22.4</v>
      </c>
      <c r="CT24" s="12">
        <f>IF('Données projet'!$A$140&gt;35,CT23+CS24-DB23,IF(A24&lt;'Données projet'!$A$140,$CQ$205^A24,IF(A24='Données projet'!$A$140,'Données projet'!$B$140,CT23+CS24-DB23)))</f>
        <v>149.39999999999998</v>
      </c>
      <c r="CU24" s="17">
        <f>CT24*VLOOKUP('Données projet'!$B$13,Paramètres!$A$1:$I$89,3,0)*VLOOKUP('Données projet'!$B$13,Paramètres!$A$1:$I$89,5,0)</f>
        <v>142.16904</v>
      </c>
      <c r="CV24" s="13">
        <f t="shared" si="41"/>
        <v>36.793456610501487</v>
      </c>
      <c r="CW24" s="20">
        <f t="shared" si="13"/>
        <v>311.69301492995675</v>
      </c>
      <c r="CX24" s="59">
        <f t="shared" si="14"/>
        <v>594.02634826329006</v>
      </c>
      <c r="CY24" s="59">
        <f ca="1">AVERAGE(OFFSET($CX$3,0,0,'Données projet'!$E$13+1,1))-AVERAGE(OFFSET($H$3,0,0,'Données projet'!$E$13+1,1))</f>
        <v>805.04572055352492</v>
      </c>
      <c r="CZ24" s="59">
        <f t="shared" si="42"/>
        <v>708.66645042414962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14.4</v>
      </c>
      <c r="DO24" s="12">
        <f>IF('Données projet'!$A$166&gt;35,DO23+DN24-DW23,IF(A24&lt;'Données projet'!$A$166,$DL$205^A24,IF(A24='Données projet'!$A$166,'Données projet'!$B$166,DO23+DN24-DW23)))</f>
        <v>138.39999999999998</v>
      </c>
      <c r="DP24" s="17">
        <f>DO24*VLOOKUP('Données projet'!$B$14,Paramètres!$A$1:$I$89,3,0)*VLOOKUP('Données projet'!$B$14,Paramètres!$A$1:$I$89,5,0)</f>
        <v>92.838719999999981</v>
      </c>
      <c r="DQ24" s="13">
        <f t="shared" si="43"/>
        <v>25.248613631008698</v>
      </c>
      <c r="DR24" s="20">
        <f t="shared" si="16"/>
        <v>205.6687727406734</v>
      </c>
      <c r="DS24" s="59">
        <f t="shared" si="17"/>
        <v>488.00210607400675</v>
      </c>
      <c r="DT24" s="59">
        <f ca="1">AVERAGE(OFFSET($DS$3,0,0,'Données projet'!$E$14+1,1))-AVERAGE(OFFSET($H$3,0,0,'Données projet'!$E$14+1,1))</f>
        <v>482.69499576870095</v>
      </c>
      <c r="DU24" s="59">
        <f t="shared" si="44"/>
        <v>384.28918352579575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8</v>
      </c>
      <c r="EJ24" s="12">
        <f>IF('Données projet'!$A$192&gt;35,EJ23+EI24-ER23,IF(A24&lt;'Données projet'!$A$192,$EG$205^A24,IF(A24='Données projet'!$A$192,'Données projet'!$B$192,EJ23+EI24-ER23)))</f>
        <v>99</v>
      </c>
      <c r="EK24" s="17">
        <f>EJ24*VLOOKUP('Données projet'!$B$15,Paramètres!$A$1:$I$89,3,0)*VLOOKUP('Données projet'!$B$15,Paramètres!$A$1:$I$89,5,0)</f>
        <v>72.586799999999997</v>
      </c>
      <c r="EL24" s="13">
        <f t="shared" si="45"/>
        <v>20.314488197199065</v>
      </c>
      <c r="EM24" s="20">
        <f t="shared" si="19"/>
        <v>161.80307694345504</v>
      </c>
      <c r="EN24" s="59">
        <f t="shared" si="20"/>
        <v>444.13641027678835</v>
      </c>
      <c r="EO24" s="59">
        <f ca="1">AVERAGE(OFFSET($EN$3,0,0,'Données projet'!$E$15+1,1))-AVERAGE(OFFSET($H$3,0,0,'Données projet'!$E$15+1,1))</f>
        <v>197.34725966440715</v>
      </c>
      <c r="EP24" s="59">
        <f t="shared" si="46"/>
        <v>240.16326570529532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14.071052600117573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14.071052600117573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>
        <f>VLOOKUP(A24,'Données projet'!$A$217:$I$237,2,0)</f>
        <v>247</v>
      </c>
      <c r="FC24" s="12">
        <f>VLOOKUP(A24,'Données projet'!$A$217:$I$237,9,0)</f>
        <v>11.761904761904763</v>
      </c>
      <c r="FD24" s="12">
        <f t="array" ref="FD24">INDEX(FC:FC,MIN(IF(ISNUMBER(FC24:FC220),ROW(FC24:FC220),"")))</f>
        <v>11.761904761904763</v>
      </c>
      <c r="FE24" s="12">
        <f>IF('Données projet'!$A$218&gt;35,FE23+FD24-FM23,IF(A24&lt;'Données projet'!$A$218,$FB$205^A24,IF(A24='Données projet'!$A$218,'Données projet'!$B$218,FE23+FD24-FM23)))</f>
        <v>247</v>
      </c>
      <c r="FF24" s="17">
        <f>FE24*VLOOKUP('Données projet'!$B$16,Paramètres!$A$1:$I$89,3,0)*VLOOKUP('Données projet'!$B$16,Paramètres!$A$1:$I$89,5,0)</f>
        <v>138.07300000000001</v>
      </c>
      <c r="FG24" s="13">
        <f t="shared" si="47"/>
        <v>35.855201393840041</v>
      </c>
      <c r="FH24" s="20">
        <f t="shared" si="22"/>
        <v>302.92495076093809</v>
      </c>
      <c r="FI24" s="59">
        <f t="shared" si="23"/>
        <v>585.2582840942714</v>
      </c>
      <c r="FJ24" s="59">
        <f ca="1">AVERAGE(OFFSET($FI$3,0,0,'Données projet'!$E$16+1,1))-AVERAGE(OFFSET($H$3,0,0,'Données projet'!$E$16+1,1))</f>
        <v>346.42094266871379</v>
      </c>
      <c r="FK24" s="59">
        <f t="shared" si="48"/>
        <v>453.48153556975973</v>
      </c>
      <c r="FL24" s="15">
        <f>IF(ISNA(VLOOKUP(A24,'Données projet'!$A$217:$I$237,3,0)),0,VLOOKUP(A24,'Données projet'!$A$217:$I$237,3,0))</f>
        <v>1</v>
      </c>
      <c r="FM24" s="15">
        <f>IF(ISNA(VLOOKUP(A24,'Données projet'!$A$217:$I$237,4,0)),0,VLOOKUP(A24,'Données projet'!$A$217:$I$237,4,0))</f>
        <v>55</v>
      </c>
      <c r="FN24" s="16">
        <f>IF(ISNA(VLOOKUP(A24,'Données projet'!$A$217:$I$237,5,0)),0%,VLOOKUP(A24,'Données projet'!$A$217:$I$237,5,0)*VLOOKUP('Données projet'!$B$16,Paramètres!$A$1:$I$89,7,0))</f>
        <v>5.5000000000000007E-2</v>
      </c>
      <c r="FO24" s="16">
        <f>IF(ISNA(VLOOKUP(A24,'Données projet'!$A$217:$I$237,6,0)),0%,VLOOKUP(A24,'Données projet'!$A$217:$I$237,6,0)*VLOOKUP('Données projet'!$B$16,Paramètres!$A$1:$I$89,7,0))</f>
        <v>0.44000000000000006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2.2431873300368772</v>
      </c>
      <c r="FR24" s="21">
        <f>EXP(-LN(2)/25)*FR23+(1-EXP(-LN(2)/25))/(LN(2)/25)*Calculateur!FM24*Calculateur!FO24*VLOOKUP('Données projet'!$B$16,Paramètres!$A$1:$I$89,3,0)*0.475*44/12</f>
        <v>17.874840374377118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20.118027704413997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9.1999999999999993</v>
      </c>
      <c r="FZ24" s="12">
        <f>IF('Données projet'!$A$244&gt;35,FZ23+FY24-GH23,IF(A24&lt;'Données projet'!$A$244,$FW$205^A24,IF(A24='Données projet'!$A$244,'Données projet'!$B$244,FZ23+FY24-GH23)))</f>
        <v>111.89999999999999</v>
      </c>
      <c r="GA24" s="17">
        <f>FZ24*VLOOKUP('Données projet'!$B$17,Paramètres!$A$1:$I$89,3,0)*VLOOKUP('Données projet'!$B$17,Paramètres!$A$1:$I$89,5,0)</f>
        <v>52.369199999999999</v>
      </c>
      <c r="GB24" s="13">
        <f t="shared" si="49"/>
        <v>15.223957577854017</v>
      </c>
      <c r="GC24" s="20">
        <f t="shared" si="25"/>
        <v>117.72474944809574</v>
      </c>
      <c r="GD24" s="59">
        <f t="shared" si="26"/>
        <v>400.05808278142905</v>
      </c>
      <c r="GE24" s="59">
        <f ca="1">AVERAGE(OFFSET($GD$3,0,0,'Données projet'!$E$17+1,1))-AVERAGE(OFFSET($H$3,0,0,'Données projet'!$E$17+1,1))</f>
        <v>198.26255998041</v>
      </c>
      <c r="GF24" s="59">
        <f t="shared" si="50"/>
        <v>238.62101708181166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18.293949350413101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18.293949350413101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4.3703703703703702</v>
      </c>
      <c r="GU24" s="12">
        <f>IF('Données projet'!$A$270&gt;35,GU23+GT24-HC23,IF(A24&lt;'Données projet'!$A$270,$GR$205^A24,IF(A24='Données projet'!$A$270,'Données projet'!$B$270,GU23+GT24-HC23)))</f>
        <v>40.875566387466414</v>
      </c>
      <c r="GV24" s="17">
        <f>GU24*VLOOKUP('Données projet'!$B$18,Paramètres!$A$1:$I$89,3,0)*VLOOKUP('Données projet'!$B$18,Paramètres!$A$1:$I$89,5,0)</f>
        <v>47.088652478361304</v>
      </c>
      <c r="GW24" s="13">
        <f t="shared" si="51"/>
        <v>13.859286558561244</v>
      </c>
      <c r="GX24" s="20">
        <f t="shared" si="28"/>
        <v>106.15099382264009</v>
      </c>
      <c r="GY24" s="59">
        <f t="shared" si="29"/>
        <v>388.4843271559734</v>
      </c>
      <c r="GZ24" s="59">
        <f ca="1">AVERAGE(OFFSET($GY$3,0,0,'Données projet'!$E$18+1,1))-AVERAGE(OFFSET($H$3,0,0,'Données projet'!$E$18+1,1))</f>
        <v>604.0566904089452</v>
      </c>
      <c r="HA24" s="59">
        <f t="shared" si="52"/>
        <v>369.5187835902687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</v>
      </c>
      <c r="N25" s="13">
        <f>IF('Données projet'!$A$36&gt;35,N24+M25-V24,IF(A25&lt;'Données projet'!$A$36,$K$205^A25,IF(A25='Données projet'!$A$36,'Données projet'!$B$36,N24+M25-V24)))</f>
        <v>88</v>
      </c>
      <c r="O25" s="13">
        <f>N25*VLOOKUP('Données projet'!$B$9,Paramètres!$A$1:$I$89,3,0)*VLOOKUP('Données projet'!$B$9,Paramètres!$A$1:$I$89,5,0)</f>
        <v>79.622399999999999</v>
      </c>
      <c r="P25" s="13">
        <f t="shared" si="33"/>
        <v>22.044833558880924</v>
      </c>
      <c r="Q25" s="20">
        <f t="shared" si="2"/>
        <v>177.07043178171759</v>
      </c>
      <c r="R25" s="59">
        <f t="shared" si="0"/>
        <v>460.62598733727316</v>
      </c>
      <c r="S25" s="59">
        <f ca="1">AVERAGE(OFFSET($R$3,0,0,'Données projet'!$E$9+1,1))-AVERAGE(OFFSET($H$3,0,0,'Données projet'!$E$9+1,1))</f>
        <v>528.20489749461376</v>
      </c>
      <c r="T25" s="59">
        <f t="shared" si="34"/>
        <v>276.26988364830532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</v>
      </c>
      <c r="AI25" s="13">
        <f>IF('Données projet'!$A$62&gt;35,AI24+AH25-AQ24,IF(A25&lt;'Données projet'!$A$62,$AF$205^A25,IF(A25='Données projet'!$A$62,'Données projet'!$B$62,AI24+AH25-AQ24)))</f>
        <v>220.00000000000003</v>
      </c>
      <c r="AJ25" s="13">
        <f>AI25*VLOOKUP('Données projet'!$B$10,Paramètres!$A$1:$I$89,3,0)*VLOOKUP('Données projet'!$B$10,Paramètres!$A$1:$I$89,5,0)</f>
        <v>199.05600000000001</v>
      </c>
      <c r="AK25" s="13">
        <f t="shared" si="35"/>
        <v>49.536648006253934</v>
      </c>
      <c r="AL25" s="20">
        <f t="shared" si="4"/>
        <v>432.96552861089231</v>
      </c>
      <c r="AM25" s="59">
        <f t="shared" si="5"/>
        <v>716.52108416644785</v>
      </c>
      <c r="AN25" s="59">
        <f ca="1">AVERAGE(OFFSET($AM$3,0,0,'Données projet'!$E$10+1,1))-AVERAGE(OFFSET($H$3,0,0,'Données projet'!$E$10+1,1))</f>
        <v>436.23918637269577</v>
      </c>
      <c r="AO25" s="59">
        <f t="shared" si="36"/>
        <v>611.43967996341894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11.531816862130466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11.531816862130466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10.6</v>
      </c>
      <c r="BD25" s="12">
        <f>IF('Données projet'!$A$88&gt;35,BD24+BC25-BL24,IF(A25&lt;'Données projet'!$A$88,$BA$205^A25,IF(A25='Données projet'!$A$88,'Données projet'!$B$88,BD24+BC25-BL24)))</f>
        <v>81.199999999999974</v>
      </c>
      <c r="BE25" s="13">
        <f>BD25*VLOOKUP('Données projet'!$B$11,Paramètres!$A$1:$I$89,3,0)*VLOOKUP('Données projet'!$B$11,Paramètres!$A$1:$I$89,5,0)</f>
        <v>63.335999999999984</v>
      </c>
      <c r="BF25" s="13">
        <f t="shared" si="37"/>
        <v>18.009040022946227</v>
      </c>
      <c r="BG25" s="20">
        <f t="shared" si="7"/>
        <v>141.67594470663133</v>
      </c>
      <c r="BH25" s="59">
        <f t="shared" si="8"/>
        <v>425.23150026218684</v>
      </c>
      <c r="BI25" s="59">
        <f ca="1">AVERAGE(OFFSET($BH$3,0,0,'Données projet'!$E$11+1,1))-AVERAGE(OFFSET($H$3,0,0,'Données projet'!$E$11+1,1))</f>
        <v>288.82868507674738</v>
      </c>
      <c r="BJ25" s="59">
        <f t="shared" si="38"/>
        <v>283.48738729114024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0.73541999999999996</v>
      </c>
      <c r="BY25" s="12">
        <f>IF('Données projet'!$A$114&gt;35,BY24+BX25-CG24,IF(A25&lt;'Données projet'!$A$114,$BV$205^A25,IF(A25='Données projet'!$A$114,'Données projet'!$B$114,BY24+BX25-CG24)))</f>
        <v>12.963981175401903</v>
      </c>
      <c r="BZ25" s="13">
        <f>BY25*VLOOKUP('Données projet'!$B$12,Paramètres!$A$1:$I$89,3,0)*VLOOKUP('Données projet'!$B$12,Paramètres!$A$1:$I$89,5,0)</f>
        <v>11.325333954831104</v>
      </c>
      <c r="CA25" s="13">
        <f t="shared" si="39"/>
        <v>3.9346992595102392</v>
      </c>
      <c r="CB25" s="20">
        <f t="shared" si="10"/>
        <v>26.577891181644503</v>
      </c>
      <c r="CC25" s="59">
        <f t="shared" si="11"/>
        <v>310.13344673720007</v>
      </c>
      <c r="CD25" s="59">
        <f ca="1">AVERAGE(OFFSET($CC$3,0,0,'Données projet'!$E$12+1,1))-AVERAGE(OFFSET($H$3,0,0,'Données projet'!$E$12+1,1))</f>
        <v>93.329407403816901</v>
      </c>
      <c r="CE25" s="59">
        <f t="shared" si="40"/>
        <v>90.925148357295313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22.4</v>
      </c>
      <c r="CT25" s="12">
        <f>IF('Données projet'!$A$140&gt;35,CT24+CS25-DB24,IF(A25&lt;'Données projet'!$A$140,$CQ$205^A25,IF(A25='Données projet'!$A$140,'Données projet'!$B$140,CT24+CS25-DB24)))</f>
        <v>171.79999999999998</v>
      </c>
      <c r="CU25" s="17">
        <f>CT25*VLOOKUP('Données projet'!$B$13,Paramètres!$A$1:$I$89,3,0)*VLOOKUP('Données projet'!$B$13,Paramètres!$A$1:$I$89,5,0)</f>
        <v>163.48487999999998</v>
      </c>
      <c r="CV25" s="13">
        <f t="shared" si="41"/>
        <v>41.627551418005716</v>
      </c>
      <c r="CW25" s="20">
        <f t="shared" si="13"/>
        <v>357.23748471969321</v>
      </c>
      <c r="CX25" s="59">
        <f t="shared" si="14"/>
        <v>640.79304027524881</v>
      </c>
      <c r="CY25" s="59">
        <f ca="1">AVERAGE(OFFSET($CX$3,0,0,'Données projet'!$E$13+1,1))-AVERAGE(OFFSET($H$3,0,0,'Données projet'!$E$13+1,1))</f>
        <v>805.04572055352492</v>
      </c>
      <c r="CZ25" s="59">
        <f t="shared" si="42"/>
        <v>708.66645042414962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14.4</v>
      </c>
      <c r="DO25" s="12">
        <f>IF('Données projet'!$A$166&gt;35,DO24+DN25-DW24,IF(A25&lt;'Données projet'!$A$166,$DL$205^A25,IF(A25='Données projet'!$A$166,'Données projet'!$B$166,DO24+DN25-DW24)))</f>
        <v>152.79999999999998</v>
      </c>
      <c r="DP25" s="17">
        <f>DO25*VLOOKUP('Données projet'!$B$14,Paramètres!$A$1:$I$89,3,0)*VLOOKUP('Données projet'!$B$14,Paramètres!$A$1:$I$89,5,0)</f>
        <v>102.49824</v>
      </c>
      <c r="DQ25" s="13">
        <f t="shared" si="43"/>
        <v>27.556311354362673</v>
      </c>
      <c r="DR25" s="20">
        <f t="shared" si="16"/>
        <v>226.51167694218165</v>
      </c>
      <c r="DS25" s="59">
        <f t="shared" si="17"/>
        <v>510.06723249773722</v>
      </c>
      <c r="DT25" s="59">
        <f ca="1">AVERAGE(OFFSET($DS$3,0,0,'Données projet'!$E$14+1,1))-AVERAGE(OFFSET($H$3,0,0,'Données projet'!$E$14+1,1))</f>
        <v>482.69499576870095</v>
      </c>
      <c r="DU25" s="59">
        <f t="shared" si="44"/>
        <v>384.28918352579575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8</v>
      </c>
      <c r="EJ25" s="12">
        <f>IF('Données projet'!$A$192&gt;35,EJ24+EI25-ER24,IF(A25&lt;'Données projet'!$A$192,$EG$205^A25,IF(A25='Données projet'!$A$192,'Données projet'!$B$192,EJ24+EI25-ER24)))</f>
        <v>107</v>
      </c>
      <c r="EK25" s="17">
        <f>EJ25*VLOOKUP('Données projet'!$B$15,Paramètres!$A$1:$I$89,3,0)*VLOOKUP('Données projet'!$B$15,Paramètres!$A$1:$I$89,5,0)</f>
        <v>78.452399999999997</v>
      </c>
      <c r="EL25" s="13">
        <f t="shared" si="45"/>
        <v>21.75835875604599</v>
      </c>
      <c r="EM25" s="20">
        <f t="shared" si="19"/>
        <v>174.53373816678013</v>
      </c>
      <c r="EN25" s="59">
        <f t="shared" si="20"/>
        <v>458.0892937223357</v>
      </c>
      <c r="EO25" s="59">
        <f ca="1">AVERAGE(OFFSET($EN$3,0,0,'Données projet'!$E$15+1,1))-AVERAGE(OFFSET($H$3,0,0,'Données projet'!$E$15+1,1))</f>
        <v>197.34725966440715</v>
      </c>
      <c r="EP25" s="59">
        <f t="shared" si="46"/>
        <v>240.16326570529532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13.686278926802862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13.686278926802862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25.333333333333332</v>
      </c>
      <c r="FE25" s="12">
        <f>IF('Données projet'!$A$218&gt;35,FE24+FD25-FM24,IF(A25&lt;'Données projet'!$A$218,$FB$205^A25,IF(A25='Données projet'!$A$218,'Données projet'!$B$218,FE24+FD25-FM24)))</f>
        <v>217.33333333333331</v>
      </c>
      <c r="FF25" s="17">
        <f>FE25*VLOOKUP('Données projet'!$B$16,Paramètres!$A$1:$I$89,3,0)*VLOOKUP('Données projet'!$B$16,Paramètres!$A$1:$I$89,5,0)</f>
        <v>121.48933333333332</v>
      </c>
      <c r="FG25" s="13">
        <f t="shared" si="47"/>
        <v>32.022112078560774</v>
      </c>
      <c r="FH25" s="20">
        <f t="shared" si="22"/>
        <v>267.36576742571555</v>
      </c>
      <c r="FI25" s="59">
        <f t="shared" si="23"/>
        <v>550.92132298127103</v>
      </c>
      <c r="FJ25" s="59">
        <f ca="1">AVERAGE(OFFSET($FI$3,0,0,'Données projet'!$E$16+1,1))-AVERAGE(OFFSET($H$3,0,0,'Données projet'!$E$16+1,1))</f>
        <v>346.42094266871379</v>
      </c>
      <c r="FK25" s="59">
        <f t="shared" si="48"/>
        <v>453.48153556975973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2.1991997947040258</v>
      </c>
      <c r="FR25" s="21">
        <f>EXP(-LN(2)/25)*FR24+(1-EXP(-LN(2)/25))/(LN(2)/25)*Calculateur!FM25*Calculateur!FO25*VLOOKUP('Données projet'!$B$16,Paramètres!$A$1:$I$89,3,0)*0.475*44/12</f>
        <v>17.386051924342773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19.585251719046799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9.1999999999999993</v>
      </c>
      <c r="FZ25" s="12">
        <f>IF('Données projet'!$A$244&gt;35,FZ24+FY25-GH24,IF(A25&lt;'Données projet'!$A$244,$FW$205^A25,IF(A25='Données projet'!$A$244,'Données projet'!$B$244,FZ24+FY25-GH24)))</f>
        <v>121.1</v>
      </c>
      <c r="GA25" s="17">
        <f>FZ25*VLOOKUP('Données projet'!$B$17,Paramètres!$A$1:$I$89,3,0)*VLOOKUP('Données projet'!$B$17,Paramètres!$A$1:$I$89,5,0)</f>
        <v>56.674799999999998</v>
      </c>
      <c r="GB25" s="13">
        <f t="shared" si="49"/>
        <v>16.32478482217585</v>
      </c>
      <c r="GC25" s="20">
        <f t="shared" si="25"/>
        <v>127.1409435652896</v>
      </c>
      <c r="GD25" s="59">
        <f t="shared" si="26"/>
        <v>410.69649912084515</v>
      </c>
      <c r="GE25" s="59">
        <f ca="1">AVERAGE(OFFSET($GD$3,0,0,'Données projet'!$E$17+1,1))-AVERAGE(OFFSET($H$3,0,0,'Données projet'!$E$17+1,1))</f>
        <v>198.26255998041</v>
      </c>
      <c r="GF25" s="59">
        <f t="shared" si="50"/>
        <v>238.62101708181166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17.793700343389069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17.793700343389069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4.3703703703703702</v>
      </c>
      <c r="GU25" s="12">
        <f>IF('Données projet'!$A$270&gt;35,GU24+GT25-HC24,IF(A25&lt;'Données projet'!$A$270,$GR$205^A25,IF(A25='Données projet'!$A$270,'Données projet'!$B$270,GU24+GT25-HC24)))</f>
        <v>48.775323004469058</v>
      </c>
      <c r="GV25" s="17">
        <f>GU25*VLOOKUP('Données projet'!$B$18,Paramètres!$A$1:$I$89,3,0)*VLOOKUP('Données projet'!$B$18,Paramètres!$A$1:$I$89,5,0)</f>
        <v>56.189172101148351</v>
      </c>
      <c r="GW25" s="13">
        <f t="shared" si="51"/>
        <v>16.201123460086201</v>
      </c>
      <c r="GX25" s="20">
        <f t="shared" si="28"/>
        <v>126.07976476915019</v>
      </c>
      <c r="GY25" s="59">
        <f t="shared" si="29"/>
        <v>409.63532032470573</v>
      </c>
      <c r="GZ25" s="59">
        <f ca="1">AVERAGE(OFFSET($GY$3,0,0,'Données projet'!$E$18+1,1))-AVERAGE(OFFSET($H$3,0,0,'Données projet'!$E$18+1,1))</f>
        <v>604.0566904089452</v>
      </c>
      <c r="HA25" s="59">
        <f t="shared" si="52"/>
        <v>369.5187835902687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</v>
      </c>
      <c r="N26" s="13">
        <f>IF('Données projet'!$A$36&gt;35,N25+M26-V25,IF(A26&lt;'Données projet'!$A$36,$K$205^A26,IF(A26='Données projet'!$A$36,'Données projet'!$B$36,N25+M26-V25)))</f>
        <v>92</v>
      </c>
      <c r="O26" s="13">
        <f>N26*VLOOKUP('Données projet'!$B$9,Paramètres!$A$1:$I$89,3,0)*VLOOKUP('Données projet'!$B$9,Paramètres!$A$1:$I$89,5,0)</f>
        <v>83.241600000000005</v>
      </c>
      <c r="P26" s="13">
        <f t="shared" si="33"/>
        <v>22.927930643846508</v>
      </c>
      <c r="Q26" s="20">
        <f t="shared" si="2"/>
        <v>184.91193253803269</v>
      </c>
      <c r="R26" s="59">
        <f t="shared" si="0"/>
        <v>469.68971031581043</v>
      </c>
      <c r="S26" s="59">
        <f ca="1">AVERAGE(OFFSET($R$3,0,0,'Données projet'!$E$9+1,1))-AVERAGE(OFFSET($H$3,0,0,'Données projet'!$E$9+1,1))</f>
        <v>528.20489749461376</v>
      </c>
      <c r="T26" s="59">
        <f t="shared" si="34"/>
        <v>276.26988364830532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</v>
      </c>
      <c r="AI26" s="13">
        <f>IF('Données projet'!$A$62&gt;35,AI25+AH26-AQ25,IF(A26&lt;'Données projet'!$A$62,$AF$205^A26,IF(A26='Données projet'!$A$62,'Données projet'!$B$62,AI25+AH26-AQ25)))</f>
        <v>233.00000000000003</v>
      </c>
      <c r="AJ26" s="13">
        <f>AI26*VLOOKUP('Données projet'!$B$10,Paramètres!$A$1:$I$89,3,0)*VLOOKUP('Données projet'!$B$10,Paramètres!$A$1:$I$89,5,0)</f>
        <v>210.81840000000003</v>
      </c>
      <c r="AK26" s="13">
        <f t="shared" si="35"/>
        <v>52.114386184062198</v>
      </c>
      <c r="AL26" s="20">
        <f t="shared" si="4"/>
        <v>457.94126927057505</v>
      </c>
      <c r="AM26" s="59">
        <f t="shared" si="5"/>
        <v>742.71904704835288</v>
      </c>
      <c r="AN26" s="59">
        <f ca="1">AVERAGE(OFFSET($AM$3,0,0,'Données projet'!$E$10+1,1))-AVERAGE(OFFSET($H$3,0,0,'Données projet'!$E$10+1,1))</f>
        <v>436.23918637269577</v>
      </c>
      <c r="AO26" s="59">
        <f t="shared" si="36"/>
        <v>611.43967996341894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11.216478723603617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11.216478723603617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10.6</v>
      </c>
      <c r="BD26" s="12">
        <f>IF('Données projet'!$A$88&gt;35,BD25+BC26-BL25,IF(A26&lt;'Données projet'!$A$88,$BA$205^A26,IF(A26='Données projet'!$A$88,'Données projet'!$B$88,BD25+BC26-BL25)))</f>
        <v>91.799999999999969</v>
      </c>
      <c r="BE26" s="13">
        <f>BD26*VLOOKUP('Données projet'!$B$11,Paramètres!$A$1:$I$89,3,0)*VLOOKUP('Données projet'!$B$11,Paramètres!$A$1:$I$89,5,0)</f>
        <v>71.603999999999985</v>
      </c>
      <c r="BF26" s="13">
        <f t="shared" si="37"/>
        <v>20.071260561992585</v>
      </c>
      <c r="BG26" s="20">
        <f t="shared" si="7"/>
        <v>159.66774547880371</v>
      </c>
      <c r="BH26" s="59">
        <f t="shared" si="8"/>
        <v>444.44552325658151</v>
      </c>
      <c r="BI26" s="59">
        <f ca="1">AVERAGE(OFFSET($BH$3,0,0,'Données projet'!$E$11+1,1))-AVERAGE(OFFSET($H$3,0,0,'Données projet'!$E$11+1,1))</f>
        <v>288.82868507674738</v>
      </c>
      <c r="BJ26" s="59">
        <f t="shared" si="38"/>
        <v>283.48738729114024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0.73541999999999996</v>
      </c>
      <c r="BY26" s="12">
        <f>IF('Données projet'!$A$114&gt;35,BY25+BX26-CG25,IF(A26&lt;'Données projet'!$A$114,$BV$205^A26,IF(A26='Données projet'!$A$114,'Données projet'!$B$114,BY25+BX26-CG25)))</f>
        <v>14.565232098305552</v>
      </c>
      <c r="BZ26" s="13">
        <f>BY26*VLOOKUP('Données projet'!$B$12,Paramètres!$A$1:$I$89,3,0)*VLOOKUP('Données projet'!$B$12,Paramètres!$A$1:$I$89,5,0)</f>
        <v>12.72418676107973</v>
      </c>
      <c r="CA26" s="13">
        <f t="shared" si="39"/>
        <v>4.3611714836784703</v>
      </c>
      <c r="CB26" s="20">
        <f t="shared" si="10"/>
        <v>29.75699894295386</v>
      </c>
      <c r="CC26" s="59">
        <f t="shared" si="11"/>
        <v>314.53477672073166</v>
      </c>
      <c r="CD26" s="59">
        <f ca="1">AVERAGE(OFFSET($CC$3,0,0,'Données projet'!$E$12+1,1))-AVERAGE(OFFSET($H$3,0,0,'Données projet'!$E$12+1,1))</f>
        <v>93.329407403816901</v>
      </c>
      <c r="CE26" s="59">
        <f t="shared" si="40"/>
        <v>90.925148357295313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22.4</v>
      </c>
      <c r="CT26" s="12">
        <f>IF('Données projet'!$A$140&gt;35,CT25+CS26-DB25,IF(A26&lt;'Données projet'!$A$140,$CQ$205^A26,IF(A26='Données projet'!$A$140,'Données projet'!$B$140,CT25+CS26-DB25)))</f>
        <v>194.2</v>
      </c>
      <c r="CU26" s="17">
        <f>CT26*VLOOKUP('Données projet'!$B$13,Paramètres!$A$1:$I$89,3,0)*VLOOKUP('Données projet'!$B$13,Paramètres!$A$1:$I$89,5,0)</f>
        <v>184.80071999999998</v>
      </c>
      <c r="CV26" s="13">
        <f t="shared" si="41"/>
        <v>46.388616248822061</v>
      </c>
      <c r="CW26" s="20">
        <f t="shared" si="13"/>
        <v>402.65476063336502</v>
      </c>
      <c r="CX26" s="59">
        <f t="shared" si="14"/>
        <v>687.43253841114279</v>
      </c>
      <c r="CY26" s="59">
        <f ca="1">AVERAGE(OFFSET($CX$3,0,0,'Données projet'!$E$13+1,1))-AVERAGE(OFFSET($H$3,0,0,'Données projet'!$E$13+1,1))</f>
        <v>805.04572055352492</v>
      </c>
      <c r="CZ26" s="59">
        <f t="shared" si="42"/>
        <v>708.66645042414962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14.4</v>
      </c>
      <c r="DO26" s="12">
        <f>IF('Données projet'!$A$166&gt;35,DO25+DN26-DW25,IF(A26&lt;'Données projet'!$A$166,$DL$205^A26,IF(A26='Données projet'!$A$166,'Données projet'!$B$166,DO25+DN26-DW25)))</f>
        <v>167.2</v>
      </c>
      <c r="DP26" s="17">
        <f>DO26*VLOOKUP('Données projet'!$B$14,Paramètres!$A$1:$I$89,3,0)*VLOOKUP('Données projet'!$B$14,Paramètres!$A$1:$I$89,5,0)</f>
        <v>112.15776000000001</v>
      </c>
      <c r="DQ26" s="13">
        <f t="shared" si="43"/>
        <v>29.838793453353521</v>
      </c>
      <c r="DR26" s="20">
        <f t="shared" si="16"/>
        <v>247.31066393125738</v>
      </c>
      <c r="DS26" s="59">
        <f t="shared" si="17"/>
        <v>532.08844170903512</v>
      </c>
      <c r="DT26" s="59">
        <f ca="1">AVERAGE(OFFSET($DS$3,0,0,'Données projet'!$E$14+1,1))-AVERAGE(OFFSET($H$3,0,0,'Données projet'!$E$14+1,1))</f>
        <v>482.69499576870095</v>
      </c>
      <c r="DU26" s="59">
        <f t="shared" si="44"/>
        <v>384.28918352579575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8</v>
      </c>
      <c r="EJ26" s="12">
        <f>IF('Données projet'!$A$192&gt;35,EJ25+EI26-ER25,IF(A26&lt;'Données projet'!$A$192,$EG$205^A26,IF(A26='Données projet'!$A$192,'Données projet'!$B$192,EJ25+EI26-ER25)))</f>
        <v>115</v>
      </c>
      <c r="EK26" s="17">
        <f>EJ26*VLOOKUP('Données projet'!$B$15,Paramètres!$A$1:$I$89,3,0)*VLOOKUP('Données projet'!$B$15,Paramètres!$A$1:$I$89,5,0)</f>
        <v>84.317999999999998</v>
      </c>
      <c r="EL26" s="13">
        <f t="shared" si="45"/>
        <v>23.189705803157239</v>
      </c>
      <c r="EM26" s="20">
        <f t="shared" si="19"/>
        <v>187.24258760716552</v>
      </c>
      <c r="EN26" s="59">
        <f t="shared" si="20"/>
        <v>472.02036538494326</v>
      </c>
      <c r="EO26" s="59">
        <f ca="1">AVERAGE(OFFSET($EN$3,0,0,'Données projet'!$E$15+1,1))-AVERAGE(OFFSET($H$3,0,0,'Données projet'!$E$15+1,1))</f>
        <v>197.34725966440715</v>
      </c>
      <c r="EP26" s="59">
        <f t="shared" si="46"/>
        <v>240.16326570529532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13.312026909819309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13.312026909819309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25.333333333333332</v>
      </c>
      <c r="FE26" s="12">
        <f>IF('Données projet'!$A$218&gt;35,FE25+FD26-FM25,IF(A26&lt;'Données projet'!$A$218,$FB$205^A26,IF(A26='Données projet'!$A$218,'Données projet'!$B$218,FE25+FD26-FM25)))</f>
        <v>242.66666666666666</v>
      </c>
      <c r="FF26" s="17">
        <f>FE26*VLOOKUP('Données projet'!$B$16,Paramètres!$A$1:$I$89,3,0)*VLOOKUP('Données projet'!$B$16,Paramètres!$A$1:$I$89,5,0)</f>
        <v>135.65066666666667</v>
      </c>
      <c r="FG26" s="13">
        <f t="shared" si="47"/>
        <v>35.298811608489757</v>
      </c>
      <c r="FH26" s="20">
        <f t="shared" si="22"/>
        <v>297.73700799589739</v>
      </c>
      <c r="FI26" s="59">
        <f t="shared" si="23"/>
        <v>582.51478577367516</v>
      </c>
      <c r="FJ26" s="59">
        <f ca="1">AVERAGE(OFFSET($FI$3,0,0,'Données projet'!$E$16+1,1))-AVERAGE(OFFSET($H$3,0,0,'Données projet'!$E$16+1,1))</f>
        <v>346.42094266871379</v>
      </c>
      <c r="FK26" s="59">
        <f t="shared" si="48"/>
        <v>453.48153556975973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2.1560748281093045</v>
      </c>
      <c r="FR26" s="21">
        <f>EXP(-LN(2)/25)*FR25+(1-EXP(-LN(2)/25))/(LN(2)/25)*Calculateur!FM26*Calculateur!FO26*VLOOKUP('Données projet'!$B$16,Paramètres!$A$1:$I$89,3,0)*0.475*44/12</f>
        <v>16.910629420178886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19.06670424828819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9.1999999999999993</v>
      </c>
      <c r="FZ26" s="12">
        <f>IF('Données projet'!$A$244&gt;35,FZ25+FY26-GH25,IF(A26&lt;'Données projet'!$A$244,$FW$205^A26,IF(A26='Données projet'!$A$244,'Données projet'!$B$244,FZ25+FY26-GH25)))</f>
        <v>130.29999999999998</v>
      </c>
      <c r="GA26" s="17">
        <f>FZ26*VLOOKUP('Données projet'!$B$17,Paramètres!$A$1:$I$89,3,0)*VLOOKUP('Données projet'!$B$17,Paramètres!$A$1:$I$89,5,0)</f>
        <v>60.980399999999996</v>
      </c>
      <c r="GB26" s="13">
        <f t="shared" si="49"/>
        <v>17.415910586658711</v>
      </c>
      <c r="GC26" s="20">
        <f t="shared" si="25"/>
        <v>136.54024093843057</v>
      </c>
      <c r="GD26" s="59">
        <f t="shared" si="26"/>
        <v>421.31801871620837</v>
      </c>
      <c r="GE26" s="59">
        <f ca="1">AVERAGE(OFFSET($GD$3,0,0,'Données projet'!$E$17+1,1))-AVERAGE(OFFSET($H$3,0,0,'Données projet'!$E$17+1,1))</f>
        <v>198.26255998041</v>
      </c>
      <c r="GF26" s="59">
        <f t="shared" si="50"/>
        <v>238.62101708181166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17.307130671769063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17.307130671769063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4.3703703703703702</v>
      </c>
      <c r="GU26" s="12">
        <f>IF('Données projet'!$A$270&gt;35,GU25+GT26-HC25,IF(A26&lt;'Données projet'!$A$270,$GR$205^A26,IF(A26='Données projet'!$A$270,'Données projet'!$B$270,GU25+GT26-HC25)))</f>
        <v>58.201814542189823</v>
      </c>
      <c r="GV26" s="17">
        <f>GU26*VLOOKUP('Données projet'!$B$18,Paramètres!$A$1:$I$89,3,0)*VLOOKUP('Données projet'!$B$18,Paramètres!$A$1:$I$89,5,0)</f>
        <v>67.04849035260267</v>
      </c>
      <c r="GW26" s="13">
        <f t="shared" si="51"/>
        <v>18.938666161485546</v>
      </c>
      <c r="GX26" s="20">
        <f t="shared" si="28"/>
        <v>149.76096426203696</v>
      </c>
      <c r="GY26" s="59">
        <f t="shared" si="29"/>
        <v>434.53874203981474</v>
      </c>
      <c r="GZ26" s="59">
        <f ca="1">AVERAGE(OFFSET($GY$3,0,0,'Données projet'!$E$18+1,1))-AVERAGE(OFFSET($H$3,0,0,'Données projet'!$E$18+1,1))</f>
        <v>604.0566904089452</v>
      </c>
      <c r="HA26" s="59">
        <f t="shared" si="52"/>
        <v>369.5187835902687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</v>
      </c>
      <c r="N27" s="13">
        <f>IF('Données projet'!$A$36&gt;35,N26+M27-V26,IF(A27&lt;'Données projet'!$A$36,$K$205^A27,IF(A27='Données projet'!$A$36,'Données projet'!$B$36,N26+M27-V26)))</f>
        <v>96</v>
      </c>
      <c r="O27" s="13">
        <f>N27*VLOOKUP('Données projet'!$B$9,Paramètres!$A$1:$I$89,3,0)*VLOOKUP('Données projet'!$B$9,Paramètres!$A$1:$I$89,5,0)</f>
        <v>86.860799999999998</v>
      </c>
      <c r="P27" s="13">
        <f t="shared" si="33"/>
        <v>23.806568296036275</v>
      </c>
      <c r="Q27" s="20">
        <f t="shared" si="2"/>
        <v>192.74566644892982</v>
      </c>
      <c r="R27" s="59">
        <f t="shared" si="0"/>
        <v>478.7456664489298</v>
      </c>
      <c r="S27" s="59">
        <f ca="1">AVERAGE(OFFSET($R$3,0,0,'Données projet'!$E$9+1,1))-AVERAGE(OFFSET($H$3,0,0,'Données projet'!$E$9+1,1))</f>
        <v>528.20489749461376</v>
      </c>
      <c r="T27" s="59">
        <f t="shared" si="34"/>
        <v>276.26988364830532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</v>
      </c>
      <c r="AI27" s="13">
        <f>IF('Données projet'!$A$62&gt;35,AI26+AH27-AQ26,IF(A27&lt;'Données projet'!$A$62,$AF$205^A27,IF(A27='Données projet'!$A$62,'Données projet'!$B$62,AI26+AH27-AQ26)))</f>
        <v>246.00000000000003</v>
      </c>
      <c r="AJ27" s="13">
        <f>AI27*VLOOKUP('Données projet'!$B$10,Paramètres!$A$1:$I$89,3,0)*VLOOKUP('Données projet'!$B$10,Paramètres!$A$1:$I$89,5,0)</f>
        <v>222.58080000000001</v>
      </c>
      <c r="AK27" s="13">
        <f t="shared" si="35"/>
        <v>54.675428546153249</v>
      </c>
      <c r="AL27" s="20">
        <f t="shared" si="4"/>
        <v>482.8879313845502</v>
      </c>
      <c r="AM27" s="59">
        <f t="shared" si="5"/>
        <v>768.88793138455026</v>
      </c>
      <c r="AN27" s="59">
        <f ca="1">AVERAGE(OFFSET($AM$3,0,0,'Données projet'!$E$10+1,1))-AVERAGE(OFFSET($H$3,0,0,'Données projet'!$E$10+1,1))</f>
        <v>436.23918637269577</v>
      </c>
      <c r="AO27" s="59">
        <f t="shared" si="36"/>
        <v>611.43967996341894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10.909763523057695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10.909763523057695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10.6</v>
      </c>
      <c r="BD27" s="12">
        <f>IF('Données projet'!$A$88&gt;35,BD26+BC27-BL26,IF(A27&lt;'Données projet'!$A$88,$BA$205^A27,IF(A27='Données projet'!$A$88,'Données projet'!$B$88,BD26+BC27-BL26)))</f>
        <v>102.39999999999996</v>
      </c>
      <c r="BE27" s="13">
        <f>BD27*VLOOKUP('Données projet'!$B$11,Paramètres!$A$1:$I$89,3,0)*VLOOKUP('Données projet'!$B$11,Paramètres!$A$1:$I$89,5,0)</f>
        <v>79.871999999999971</v>
      </c>
      <c r="BF27" s="13">
        <f t="shared" si="37"/>
        <v>22.105884547145401</v>
      </c>
      <c r="BG27" s="20">
        <f t="shared" si="7"/>
        <v>177.61148225294485</v>
      </c>
      <c r="BH27" s="59">
        <f t="shared" si="8"/>
        <v>463.61148225294482</v>
      </c>
      <c r="BI27" s="59">
        <f ca="1">AVERAGE(OFFSET($BH$3,0,0,'Données projet'!$E$11+1,1))-AVERAGE(OFFSET($H$3,0,0,'Données projet'!$E$11+1,1))</f>
        <v>288.82868507674738</v>
      </c>
      <c r="BJ27" s="59">
        <f t="shared" si="38"/>
        <v>283.48738729114024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0.73541999999999996</v>
      </c>
      <c r="BY27" s="12">
        <f>IF('Données projet'!$A$114&gt;35,BY26+BX27-CG26,IF(A27&lt;'Données projet'!$A$114,$BV$205^A27,IF(A27='Données projet'!$A$114,'Données projet'!$B$114,BY26+BX27-CG26)))</f>
        <v>16.364262120346186</v>
      </c>
      <c r="BZ27" s="13">
        <f>BY27*VLOOKUP('Données projet'!$B$12,Paramètres!$A$1:$I$89,3,0)*VLOOKUP('Données projet'!$B$12,Paramètres!$A$1:$I$89,5,0)</f>
        <v>14.295819388334429</v>
      </c>
      <c r="CA27" s="13">
        <f t="shared" si="39"/>
        <v>4.8338679669301401</v>
      </c>
      <c r="CB27" s="20">
        <f t="shared" si="10"/>
        <v>33.31753881041913</v>
      </c>
      <c r="CC27" s="59">
        <f t="shared" si="11"/>
        <v>319.31753881041914</v>
      </c>
      <c r="CD27" s="59">
        <f ca="1">AVERAGE(OFFSET($CC$3,0,0,'Données projet'!$E$12+1,1))-AVERAGE(OFFSET($H$3,0,0,'Données projet'!$E$12+1,1))</f>
        <v>93.329407403816901</v>
      </c>
      <c r="CE27" s="59">
        <f t="shared" si="40"/>
        <v>90.925148357295313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22.4</v>
      </c>
      <c r="CT27" s="12">
        <f>IF('Données projet'!$A$140&gt;35,CT26+CS27-DB26,IF(A27&lt;'Données projet'!$A$140,$CQ$205^A27,IF(A27='Données projet'!$A$140,'Données projet'!$B$140,CT26+CS27-DB26)))</f>
        <v>216.6</v>
      </c>
      <c r="CU27" s="17">
        <f>CT27*VLOOKUP('Données projet'!$B$13,Paramètres!$A$1:$I$89,3,0)*VLOOKUP('Données projet'!$B$13,Paramètres!$A$1:$I$89,5,0)</f>
        <v>206.11656000000002</v>
      </c>
      <c r="CV27" s="13">
        <f t="shared" si="41"/>
        <v>51.086036652420376</v>
      </c>
      <c r="CW27" s="20">
        <f t="shared" si="13"/>
        <v>447.96118916963223</v>
      </c>
      <c r="CX27" s="59">
        <f t="shared" si="14"/>
        <v>733.96118916963223</v>
      </c>
      <c r="CY27" s="59">
        <f ca="1">AVERAGE(OFFSET($CX$3,0,0,'Données projet'!$E$13+1,1))-AVERAGE(OFFSET($H$3,0,0,'Données projet'!$E$13+1,1))</f>
        <v>805.04572055352492</v>
      </c>
      <c r="CZ27" s="59">
        <f t="shared" si="42"/>
        <v>708.66645042414962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14.4</v>
      </c>
      <c r="DO27" s="12">
        <f>IF('Données projet'!$A$166&gt;35,DO26+DN27-DW26,IF(A27&lt;'Données projet'!$A$166,$DL$205^A27,IF(A27='Données projet'!$A$166,'Données projet'!$B$166,DO26+DN27-DW26)))</f>
        <v>181.6</v>
      </c>
      <c r="DP27" s="17">
        <f>DO27*VLOOKUP('Données projet'!$B$14,Paramètres!$A$1:$I$89,3,0)*VLOOKUP('Données projet'!$B$14,Paramètres!$A$1:$I$89,5,0)</f>
        <v>121.81728</v>
      </c>
      <c r="DQ27" s="13">
        <f t="shared" si="43"/>
        <v>32.098478525710213</v>
      </c>
      <c r="DR27" s="20">
        <f t="shared" si="16"/>
        <v>268.06994609894531</v>
      </c>
      <c r="DS27" s="59">
        <f t="shared" si="17"/>
        <v>554.06994609894537</v>
      </c>
      <c r="DT27" s="59">
        <f ca="1">AVERAGE(OFFSET($DS$3,0,0,'Données projet'!$E$14+1,1))-AVERAGE(OFFSET($H$3,0,0,'Données projet'!$E$14+1,1))</f>
        <v>482.69499576870095</v>
      </c>
      <c r="DU27" s="59">
        <f t="shared" si="44"/>
        <v>384.28918352579575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8</v>
      </c>
      <c r="EJ27" s="12">
        <f>IF('Données projet'!$A$192&gt;35,EJ26+EI27-ER26,IF(A27&lt;'Données projet'!$A$192,$EG$205^A27,IF(A27='Données projet'!$A$192,'Données projet'!$B$192,EJ26+EI27-ER26)))</f>
        <v>123</v>
      </c>
      <c r="EK27" s="17">
        <f>EJ27*VLOOKUP('Données projet'!$B$15,Paramètres!$A$1:$I$89,3,0)*VLOOKUP('Données projet'!$B$15,Paramètres!$A$1:$I$89,5,0)</f>
        <v>90.183599999999998</v>
      </c>
      <c r="EL27" s="13">
        <f t="shared" si="45"/>
        <v>24.609499639553789</v>
      </c>
      <c r="EM27" s="20">
        <f t="shared" si="19"/>
        <v>199.93131520555619</v>
      </c>
      <c r="EN27" s="59">
        <f t="shared" si="20"/>
        <v>485.93131520555619</v>
      </c>
      <c r="EO27" s="59">
        <f ca="1">AVERAGE(OFFSET($EN$3,0,0,'Données projet'!$E$15+1,1))-AVERAGE(OFFSET($H$3,0,0,'Données projet'!$E$15+1,1))</f>
        <v>197.34725966440715</v>
      </c>
      <c r="EP27" s="59">
        <f t="shared" si="46"/>
        <v>240.16326570529532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12.94800883392123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12.94800883392123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25.333333333333332</v>
      </c>
      <c r="FE27" s="12">
        <f>IF('Données projet'!$A$218&gt;35,FE26+FD27-FM26,IF(A27&lt;'Données projet'!$A$218,$FB$205^A27,IF(A27='Données projet'!$A$218,'Données projet'!$B$218,FE26+FD27-FM26)))</f>
        <v>268</v>
      </c>
      <c r="FF27" s="17">
        <f>FE27*VLOOKUP('Données projet'!$B$16,Paramètres!$A$1:$I$89,3,0)*VLOOKUP('Données projet'!$B$16,Paramètres!$A$1:$I$89,5,0)</f>
        <v>149.81200000000001</v>
      </c>
      <c r="FG27" s="13">
        <f t="shared" si="47"/>
        <v>38.535858828351053</v>
      </c>
      <c r="FH27" s="20">
        <f t="shared" si="22"/>
        <v>328.03918745937807</v>
      </c>
      <c r="FI27" s="59">
        <f t="shared" si="23"/>
        <v>614.03918745937813</v>
      </c>
      <c r="FJ27" s="59">
        <f ca="1">AVERAGE(OFFSET($FI$3,0,0,'Données projet'!$E$16+1,1))-AVERAGE(OFFSET($H$3,0,0,'Données projet'!$E$16+1,1))</f>
        <v>346.42094266871379</v>
      </c>
      <c r="FK27" s="59">
        <f t="shared" si="48"/>
        <v>453.48153556975973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2.1137955158058732</v>
      </c>
      <c r="FR27" s="21">
        <f>EXP(-LN(2)/25)*FR26+(1-EXP(-LN(2)/25))/(LN(2)/25)*Calculateur!FM27*Calculateur!FO27*VLOOKUP('Données projet'!$B$16,Paramètres!$A$1:$I$89,3,0)*0.475*44/12</f>
        <v>16.448207369392744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18.562002885198616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9.1999999999999993</v>
      </c>
      <c r="FZ27" s="12">
        <f>IF('Données projet'!$A$244&gt;35,FZ26+FY27-GH26,IF(A27&lt;'Données projet'!$A$244,$FW$205^A27,IF(A27='Données projet'!$A$244,'Données projet'!$B$244,FZ26+FY27-GH26)))</f>
        <v>139.49999999999997</v>
      </c>
      <c r="GA27" s="17">
        <f>FZ27*VLOOKUP('Données projet'!$B$17,Paramètres!$A$1:$I$89,3,0)*VLOOKUP('Données projet'!$B$17,Paramètres!$A$1:$I$89,5,0)</f>
        <v>65.285999999999987</v>
      </c>
      <c r="GB27" s="13">
        <f t="shared" si="49"/>
        <v>18.498097767862411</v>
      </c>
      <c r="GC27" s="20">
        <f t="shared" si="25"/>
        <v>145.923970279027</v>
      </c>
      <c r="GD27" s="59">
        <f t="shared" si="26"/>
        <v>431.923970279027</v>
      </c>
      <c r="GE27" s="59">
        <f ca="1">AVERAGE(OFFSET($GD$3,0,0,'Données projet'!$E$17+1,1))-AVERAGE(OFFSET($H$3,0,0,'Données projet'!$E$17+1,1))</f>
        <v>198.26255998041</v>
      </c>
      <c r="GF27" s="59">
        <f t="shared" si="50"/>
        <v>238.62101708181166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16.833866273407093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16.833866273407093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4.3703703703703702</v>
      </c>
      <c r="GU27" s="12">
        <f>IF('Données projet'!$A$270&gt;35,GU26+GT27-HC26,IF(A27&lt;'Données projet'!$A$270,$GR$205^A27,IF(A27='Données projet'!$A$270,'Données projet'!$B$270,GU26+GT27-HC26)))</f>
        <v>69.450103194459274</v>
      </c>
      <c r="GV27" s="17">
        <f>GU27*VLOOKUP('Données projet'!$B$18,Paramètres!$A$1:$I$89,3,0)*VLOOKUP('Données projet'!$B$18,Paramètres!$A$1:$I$89,5,0)</f>
        <v>80.006518880017083</v>
      </c>
      <c r="GW27" s="13">
        <f t="shared" si="51"/>
        <v>22.138778021156408</v>
      </c>
      <c r="GX27" s="20">
        <f t="shared" si="28"/>
        <v>177.90305876954383</v>
      </c>
      <c r="GY27" s="59">
        <f t="shared" si="29"/>
        <v>463.9030587695438</v>
      </c>
      <c r="GZ27" s="59">
        <f ca="1">AVERAGE(OFFSET($GY$3,0,0,'Données projet'!$E$18+1,1))-AVERAGE(OFFSET($H$3,0,0,'Données projet'!$E$18+1,1))</f>
        <v>604.0566904089452</v>
      </c>
      <c r="HA27" s="59">
        <f t="shared" si="52"/>
        <v>369.5187835902687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</v>
      </c>
      <c r="N28" s="13">
        <f>IF('Données projet'!$A$36&gt;35,N27+M28-V27,IF(A28&lt;'Données projet'!$A$36,$K$205^A28,IF(A28='Données projet'!$A$36,'Données projet'!$B$36,N27+M28-V27)))</f>
        <v>100</v>
      </c>
      <c r="O28" s="13">
        <f>N28*VLOOKUP('Données projet'!$B$9,Paramètres!$A$1:$I$89,3,0)*VLOOKUP('Données projet'!$B$9,Paramètres!$A$1:$I$89,5,0)</f>
        <v>90.47999999999999</v>
      </c>
      <c r="P28" s="13">
        <f t="shared" si="33"/>
        <v>24.680953573367994</v>
      </c>
      <c r="Q28" s="20">
        <f t="shared" si="2"/>
        <v>200.57199414028256</v>
      </c>
      <c r="R28" s="59">
        <f t="shared" si="0"/>
        <v>487.79421636250481</v>
      </c>
      <c r="S28" s="59">
        <f ca="1">AVERAGE(OFFSET($R$3,0,0,'Données projet'!$E$9+1,1))-AVERAGE(OFFSET($H$3,0,0,'Données projet'!$E$9+1,1))</f>
        <v>528.20489749461376</v>
      </c>
      <c r="T28" s="59">
        <f t="shared" si="34"/>
        <v>276.26988364830532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259</v>
      </c>
      <c r="AG28" s="12">
        <f>VLOOKUP(A28,'Données projet'!$A$61:$I$81,9,0)</f>
        <v>13</v>
      </c>
      <c r="AH28" s="12">
        <f t="array" ref="AH28">INDEX(AG:AG,MIN(IF(ISNUMBER(AG28:AG224),ROW(AG28:AG224),"")))</f>
        <v>13</v>
      </c>
      <c r="AI28" s="13">
        <f>IF('Données projet'!$A$62&gt;35,AI27+AH28-AQ27,IF(A28&lt;'Données projet'!$A$62,$AF$205^A28,IF(A28='Données projet'!$A$62,'Données projet'!$B$62,AI27+AH28-AQ27)))</f>
        <v>259</v>
      </c>
      <c r="AJ28" s="13">
        <f>AI28*VLOOKUP('Données projet'!$B$10,Paramètres!$A$1:$I$89,3,0)*VLOOKUP('Données projet'!$B$10,Paramètres!$A$1:$I$89,5,0)</f>
        <v>234.3432</v>
      </c>
      <c r="AK28" s="13">
        <f t="shared" si="35"/>
        <v>57.220758006491664</v>
      </c>
      <c r="AL28" s="20">
        <f t="shared" si="4"/>
        <v>507.80722686130622</v>
      </c>
      <c r="AM28" s="59">
        <f t="shared" si="5"/>
        <v>795.02944908352845</v>
      </c>
      <c r="AN28" s="59">
        <f ca="1">AVERAGE(OFFSET($AM$3,0,0,'Données projet'!$E$10+1,1))-AVERAGE(OFFSET($H$3,0,0,'Données projet'!$E$10+1,1))</f>
        <v>436.23918637269577</v>
      </c>
      <c r="AO28" s="59">
        <f t="shared" si="36"/>
        <v>611.43967996341894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18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0.15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13.301422014548429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13.301422014548429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113</v>
      </c>
      <c r="BB28" s="12">
        <f>VLOOKUP(A28,'Données projet'!$A$87:$I$107,9,0)</f>
        <v>10.6</v>
      </c>
      <c r="BC28" s="12">
        <f t="array" ref="BC28">INDEX(BB:BB,MIN(IF(ISNUMBER(BB28:BB224),ROW(BB28:BB224),"")))</f>
        <v>10.6</v>
      </c>
      <c r="BD28" s="12">
        <f>IF('Données projet'!$A$88&gt;35,BD27+BC28-BL27,IF(A28&lt;'Données projet'!$A$88,$BA$205^A28,IF(A28='Données projet'!$A$88,'Données projet'!$B$88,BD27+BC28-BL27)))</f>
        <v>112.99999999999996</v>
      </c>
      <c r="BE28" s="13">
        <f>BD28*VLOOKUP('Données projet'!$B$11,Paramètres!$A$1:$I$89,3,0)*VLOOKUP('Données projet'!$B$11,Paramètres!$A$1:$I$89,5,0)</f>
        <v>88.139999999999972</v>
      </c>
      <c r="BF28" s="13">
        <f t="shared" si="37"/>
        <v>24.116094026318823</v>
      </c>
      <c r="BG28" s="20">
        <f t="shared" si="7"/>
        <v>195.51269709583855</v>
      </c>
      <c r="BH28" s="59">
        <f t="shared" si="8"/>
        <v>482.73491931806075</v>
      </c>
      <c r="BI28" s="59">
        <f ca="1">AVERAGE(OFFSET($BH$3,0,0,'Données projet'!$E$11+1,1))-AVERAGE(OFFSET($H$3,0,0,'Données projet'!$E$11+1,1))</f>
        <v>288.82868507674738</v>
      </c>
      <c r="BJ28" s="59">
        <f t="shared" si="38"/>
        <v>283.48738729114024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18.3855</v>
      </c>
      <c r="BW28" s="12">
        <f>VLOOKUP(A28,'Données projet'!$A$113:$I$133,9,0)</f>
        <v>0.73541999999999996</v>
      </c>
      <c r="BX28" s="12">
        <f t="array" ref="BX28">INDEX(BW:BW,MIN(IF(ISNUMBER(BW28:BW224),ROW(BW28:BW224),"")))</f>
        <v>0.73541999999999996</v>
      </c>
      <c r="BY28" s="12">
        <f>IF('Données projet'!$A$114&gt;35,BY27+BX28-CG27,IF(A28&lt;'Données projet'!$A$114,$BV$205^A28,IF(A28='Données projet'!$A$114,'Données projet'!$B$114,BY27+BX28-CG27)))</f>
        <v>18.3855</v>
      </c>
      <c r="BZ28" s="13">
        <f>BY28*VLOOKUP('Données projet'!$B$12,Paramètres!$A$1:$I$89,3,0)*VLOOKUP('Données projet'!$B$12,Paramètres!$A$1:$I$89,5,0)</f>
        <v>16.0615728</v>
      </c>
      <c r="CA28" s="13">
        <f t="shared" si="39"/>
        <v>5.3577988412427189</v>
      </c>
      <c r="CB28" s="20">
        <f t="shared" si="10"/>
        <v>37.305405608497736</v>
      </c>
      <c r="CC28" s="59">
        <f t="shared" si="11"/>
        <v>324.52762783071995</v>
      </c>
      <c r="CD28" s="59">
        <f ca="1">AVERAGE(OFFSET($CC$3,0,0,'Données projet'!$E$12+1,1))-AVERAGE(OFFSET($H$3,0,0,'Données projet'!$E$12+1,1))</f>
        <v>93.329407403816901</v>
      </c>
      <c r="CE28" s="59">
        <f t="shared" si="40"/>
        <v>90.925148357295313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5.0469999999999997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239</v>
      </c>
      <c r="CR28" s="12">
        <f>VLOOKUP(A28,'Données projet'!$A$139:$I$159,9,0)</f>
        <v>22.4</v>
      </c>
      <c r="CS28" s="12">
        <f t="array" ref="CS28">INDEX(CR:CR,MIN(IF(ISNUMBER(CR28:CR224),ROW(CR28:CR224),"")))</f>
        <v>22.4</v>
      </c>
      <c r="CT28" s="12">
        <f>IF('Données projet'!$A$140&gt;35,CT27+CS28-DB27,IF(A28&lt;'Données projet'!$A$140,$CQ$205^A28,IF(A28='Données projet'!$A$140,'Données projet'!$B$140,CT27+CS28-DB27)))</f>
        <v>239</v>
      </c>
      <c r="CU28" s="17">
        <f>CT28*VLOOKUP('Données projet'!$B$13,Paramètres!$A$1:$I$89,3,0)*VLOOKUP('Données projet'!$B$13,Paramètres!$A$1:$I$89,5,0)</f>
        <v>227.4324</v>
      </c>
      <c r="CV28" s="13">
        <f t="shared" si="41"/>
        <v>55.72714416794178</v>
      </c>
      <c r="CW28" s="20">
        <f t="shared" si="13"/>
        <v>493.16953942583194</v>
      </c>
      <c r="CX28" s="59">
        <f t="shared" si="14"/>
        <v>780.39176164805417</v>
      </c>
      <c r="CY28" s="59">
        <f ca="1">AVERAGE(OFFSET($CX$3,0,0,'Données projet'!$E$13+1,1))-AVERAGE(OFFSET($H$3,0,0,'Données projet'!$E$13+1,1))</f>
        <v>805.04572055352492</v>
      </c>
      <c r="CZ28" s="59">
        <f t="shared" si="42"/>
        <v>708.66645042414962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31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196</v>
      </c>
      <c r="DM28" s="12">
        <f>VLOOKUP(A28,'Données projet'!$A$165:$I$185,9,0)</f>
        <v>14.4</v>
      </c>
      <c r="DN28" s="12">
        <f t="array" ref="DN28">INDEX(DM:DM,MIN(IF(ISNUMBER(DM28:DM224),ROW(DM28:DM224),"")))</f>
        <v>14.4</v>
      </c>
      <c r="DO28" s="12">
        <f>IF('Données projet'!$A$166&gt;35,DO27+DN28-DW27,IF(A28&lt;'Données projet'!$A$166,$DL$205^A28,IF(A28='Données projet'!$A$166,'Données projet'!$B$166,DO27+DN28-DW27)))</f>
        <v>196</v>
      </c>
      <c r="DP28" s="17">
        <f>DO28*VLOOKUP('Données projet'!$B$14,Paramètres!$A$1:$I$89,3,0)*VLOOKUP('Données projet'!$B$14,Paramètres!$A$1:$I$89,5,0)</f>
        <v>131.4768</v>
      </c>
      <c r="DQ28" s="13">
        <f t="shared" si="43"/>
        <v>34.337379785620797</v>
      </c>
      <c r="DR28" s="20">
        <f t="shared" si="16"/>
        <v>288.79302979328958</v>
      </c>
      <c r="DS28" s="59">
        <f t="shared" si="17"/>
        <v>576.01525201551181</v>
      </c>
      <c r="DT28" s="59">
        <f ca="1">AVERAGE(OFFSET($DS$3,0,0,'Données projet'!$E$14+1,1))-AVERAGE(OFFSET($H$3,0,0,'Données projet'!$E$14+1,1))</f>
        <v>482.69499576870095</v>
      </c>
      <c r="DU28" s="59">
        <f t="shared" si="44"/>
        <v>384.28918352579575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131</v>
      </c>
      <c r="EH28" s="12">
        <f>VLOOKUP(A28,'Données projet'!$A$191:$I$211,9,0)</f>
        <v>8</v>
      </c>
      <c r="EI28" s="12">
        <f t="array" ref="EI28">INDEX(EH:EH,MIN(IF(ISNUMBER(EH28:EH224),ROW(EH28:EH224),"")))</f>
        <v>8</v>
      </c>
      <c r="EJ28" s="12">
        <f>IF('Données projet'!$A$192&gt;35,EJ27+EI28-ER27,IF(A28&lt;'Données projet'!$A$192,$EG$205^A28,IF(A28='Données projet'!$A$192,'Données projet'!$B$192,EJ27+EI28-ER27)))</f>
        <v>131</v>
      </c>
      <c r="EK28" s="17">
        <f>EJ28*VLOOKUP('Données projet'!$B$15,Paramètres!$A$1:$I$89,3,0)*VLOOKUP('Données projet'!$B$15,Paramètres!$A$1:$I$89,5,0)</f>
        <v>96.049199999999999</v>
      </c>
      <c r="EL28" s="13">
        <f t="shared" si="45"/>
        <v>26.018577210521599</v>
      </c>
      <c r="EM28" s="20">
        <f t="shared" si="19"/>
        <v>212.60137864165844</v>
      </c>
      <c r="EN28" s="59">
        <f t="shared" si="20"/>
        <v>499.82360086388064</v>
      </c>
      <c r="EO28" s="59">
        <f ca="1">AVERAGE(OFFSET($EN$3,0,0,'Données projet'!$E$15+1,1))-AVERAGE(OFFSET($H$3,0,0,'Données projet'!$E$15+1,1))</f>
        <v>197.34725966440715</v>
      </c>
      <c r="EP28" s="59">
        <f t="shared" si="46"/>
        <v>240.16326570529532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41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0.215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19.710642661663179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19.710642661663179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25.333333333333332</v>
      </c>
      <c r="FE28" s="12">
        <f>IF('Données projet'!$A$218&gt;35,FE27+FD28-FM27,IF(A28&lt;'Données projet'!$A$218,$FB$205^A28,IF(A28='Données projet'!$A$218,'Données projet'!$B$218,FE27+FD28-FM27)))</f>
        <v>293.33333333333331</v>
      </c>
      <c r="FF28" s="17">
        <f>FE28*VLOOKUP('Données projet'!$B$16,Paramètres!$A$1:$I$89,3,0)*VLOOKUP('Données projet'!$B$16,Paramètres!$A$1:$I$89,5,0)</f>
        <v>163.97333333333333</v>
      </c>
      <c r="FG28" s="13">
        <f t="shared" si="47"/>
        <v>41.737428373369248</v>
      </c>
      <c r="FH28" s="20">
        <f t="shared" si="22"/>
        <v>358.27957663917368</v>
      </c>
      <c r="FI28" s="59">
        <f t="shared" si="23"/>
        <v>645.50179886139586</v>
      </c>
      <c r="FJ28" s="59">
        <f ca="1">AVERAGE(OFFSET($FI$3,0,0,'Données projet'!$E$16+1,1))-AVERAGE(OFFSET($H$3,0,0,'Données projet'!$E$16+1,1))</f>
        <v>346.42094266871379</v>
      </c>
      <c r="FK28" s="59">
        <f t="shared" si="48"/>
        <v>453.48153556975973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2.0723452750288782</v>
      </c>
      <c r="FR28" s="21">
        <f>EXP(-LN(2)/25)*FR27+(1-EXP(-LN(2)/25))/(LN(2)/25)*Calculateur!FM28*Calculateur!FO28*VLOOKUP('Données projet'!$B$16,Paramètres!$A$1:$I$89,3,0)*0.475*44/12</f>
        <v>15.998430273903066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18.070775548931945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9.1999999999999993</v>
      </c>
      <c r="FZ28" s="12">
        <f>IF('Données projet'!$A$244&gt;35,FZ27+FY28-GH27,IF(A28&lt;'Données projet'!$A$244,$FW$205^A28,IF(A28='Données projet'!$A$244,'Données projet'!$B$244,FZ27+FY28-GH27)))</f>
        <v>148.69999999999996</v>
      </c>
      <c r="GA28" s="17">
        <f>FZ28*VLOOKUP('Données projet'!$B$17,Paramètres!$A$1:$I$89,3,0)*VLOOKUP('Données projet'!$B$17,Paramètres!$A$1:$I$89,5,0)</f>
        <v>69.591599999999985</v>
      </c>
      <c r="GB28" s="13">
        <f t="shared" si="49"/>
        <v>19.572002944803202</v>
      </c>
      <c r="GC28" s="20">
        <f t="shared" si="25"/>
        <v>155.29327512886556</v>
      </c>
      <c r="GD28" s="59">
        <f t="shared" si="26"/>
        <v>442.51549735108779</v>
      </c>
      <c r="GE28" s="59">
        <f ca="1">AVERAGE(OFFSET($GD$3,0,0,'Données projet'!$E$17+1,1))-AVERAGE(OFFSET($H$3,0,0,'Données projet'!$E$17+1,1))</f>
        <v>198.26255998041</v>
      </c>
      <c r="GF28" s="59">
        <f t="shared" si="50"/>
        <v>238.62101708181166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16.373543314906222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16.373543314906222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4.3703703703703702</v>
      </c>
      <c r="GU28" s="12">
        <f>IF('Données projet'!$A$270&gt;35,GU27+GT28-HC27,IF(A28&lt;'Données projet'!$A$270,$GR$205^A28,IF(A28='Données projet'!$A$270,'Données projet'!$B$270,GU27+GT28-HC27)))</f>
        <v>82.872275918900684</v>
      </c>
      <c r="GV28" s="17">
        <f>GU28*VLOOKUP('Données projet'!$B$18,Paramètres!$A$1:$I$89,3,0)*VLOOKUP('Données projet'!$B$18,Paramètres!$A$1:$I$89,5,0)</f>
        <v>95.46886185857359</v>
      </c>
      <c r="GW28" s="13">
        <f t="shared" si="51"/>
        <v>25.87962045958534</v>
      </c>
      <c r="GX28" s="20">
        <f t="shared" si="28"/>
        <v>211.34860670412681</v>
      </c>
      <c r="GY28" s="59">
        <f t="shared" si="29"/>
        <v>498.57082892634901</v>
      </c>
      <c r="GZ28" s="59">
        <f ca="1">AVERAGE(OFFSET($GY$3,0,0,'Données projet'!$E$18+1,1))-AVERAGE(OFFSET($H$3,0,0,'Données projet'!$E$18+1,1))</f>
        <v>604.0566904089452</v>
      </c>
      <c r="HA28" s="59">
        <f t="shared" si="52"/>
        <v>369.5187835902687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</v>
      </c>
      <c r="N29" s="13">
        <f>IF('Données projet'!$A$36&gt;35,N28+M29-V28,IF(A29&lt;'Données projet'!$A$36,$K$205^A29,IF(A29='Données projet'!$A$36,'Données projet'!$B$36,N28+M29-V28)))</f>
        <v>104</v>
      </c>
      <c r="O29" s="13">
        <f>N29*VLOOKUP('Données projet'!$B$9,Paramètres!$A$1:$I$89,3,0)*VLOOKUP('Données projet'!$B$9,Paramètres!$A$1:$I$89,5,0)</f>
        <v>94.099199999999996</v>
      </c>
      <c r="P29" s="13">
        <f t="shared" si="33"/>
        <v>25.551276031514817</v>
      </c>
      <c r="Q29" s="20">
        <f t="shared" si="2"/>
        <v>208.39124575488827</v>
      </c>
      <c r="R29" s="59">
        <f t="shared" si="0"/>
        <v>496.8356901993327</v>
      </c>
      <c r="S29" s="59">
        <f ca="1">AVERAGE(OFFSET($R$3,0,0,'Données projet'!$E$9+1,1))-AVERAGE(OFFSET($H$3,0,0,'Données projet'!$E$9+1,1))</f>
        <v>528.20489749461376</v>
      </c>
      <c r="T29" s="59">
        <f t="shared" si="34"/>
        <v>276.26988364830532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10.6</v>
      </c>
      <c r="AI29" s="13">
        <f>IF('Données projet'!$A$62&gt;35,AI28+AH29-AQ28,IF(A29&lt;'Données projet'!$A$62,$AF$205^A29,IF(A29='Données projet'!$A$62,'Données projet'!$B$62,AI28+AH29-AQ28)))</f>
        <v>251.60000000000002</v>
      </c>
      <c r="AJ29" s="13">
        <f>AI29*VLOOKUP('Données projet'!$B$10,Paramètres!$A$1:$I$89,3,0)*VLOOKUP('Données projet'!$B$10,Paramètres!$A$1:$I$89,5,0)</f>
        <v>227.64768000000001</v>
      </c>
      <c r="AK29" s="13">
        <f t="shared" si="35"/>
        <v>55.773751036838362</v>
      </c>
      <c r="AL29" s="20">
        <f t="shared" si="4"/>
        <v>493.62565905582687</v>
      </c>
      <c r="AM29" s="59">
        <f t="shared" si="5"/>
        <v>782.07010350027133</v>
      </c>
      <c r="AN29" s="59">
        <f ca="1">AVERAGE(OFFSET($AM$3,0,0,'Données projet'!$E$10+1,1))-AVERAGE(OFFSET($H$3,0,0,'Données projet'!$E$10+1,1))</f>
        <v>436.23918637269577</v>
      </c>
      <c r="AO29" s="59">
        <f t="shared" si="36"/>
        <v>611.43967996341894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12.937693930069219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12.937693930069219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11.5</v>
      </c>
      <c r="BD29" s="12">
        <f>IF('Données projet'!$A$88&gt;35,BD28+BC29-BL28,IF(A29&lt;'Données projet'!$A$88,$BA$205^A29,IF(A29='Données projet'!$A$88,'Données projet'!$B$88,BD28+BC29-BL28)))</f>
        <v>97.499999999999957</v>
      </c>
      <c r="BE29" s="13">
        <f>BD29*VLOOKUP('Données projet'!$B$11,Paramètres!$A$1:$I$89,3,0)*VLOOKUP('Données projet'!$B$11,Paramètres!$A$1:$I$89,5,0)</f>
        <v>76.049999999999969</v>
      </c>
      <c r="BF29" s="13">
        <f t="shared" si="37"/>
        <v>21.168560890749262</v>
      </c>
      <c r="BG29" s="20">
        <f t="shared" si="7"/>
        <v>169.32232688472158</v>
      </c>
      <c r="BH29" s="59">
        <f t="shared" si="8"/>
        <v>457.76677132916603</v>
      </c>
      <c r="BI29" s="59">
        <f ca="1">AVERAGE(OFFSET($BH$3,0,0,'Données projet'!$E$11+1,1))-AVERAGE(OFFSET($H$3,0,0,'Données projet'!$E$11+1,1))</f>
        <v>288.82868507674738</v>
      </c>
      <c r="BJ29" s="59">
        <f t="shared" si="38"/>
        <v>283.48738729114024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2.7397999999999989</v>
      </c>
      <c r="BY29" s="12">
        <f>IF('Données projet'!$A$114&gt;35,BY28+BX29-CG28,IF(A29&lt;'Données projet'!$A$114,$BV$205^A29,IF(A29='Données projet'!$A$114,'Données projet'!$B$114,BY28+BX29-CG28)))</f>
        <v>16.078299999999999</v>
      </c>
      <c r="BZ29" s="13">
        <f>BY29*VLOOKUP('Données projet'!$B$12,Paramètres!$A$1:$I$89,3,0)*VLOOKUP('Données projet'!$B$12,Paramètres!$A$1:$I$89,5,0)</f>
        <v>14.04600288</v>
      </c>
      <c r="CA29" s="13">
        <f t="shared" si="39"/>
        <v>4.7591531157266687</v>
      </c>
      <c r="CB29" s="20">
        <f t="shared" si="10"/>
        <v>32.752313359223947</v>
      </c>
      <c r="CC29" s="59">
        <f t="shared" si="11"/>
        <v>321.19675780366839</v>
      </c>
      <c r="CD29" s="59">
        <f ca="1">AVERAGE(OFFSET($CC$3,0,0,'Données projet'!$E$12+1,1))-AVERAGE(OFFSET($H$3,0,0,'Données projet'!$E$12+1,1))</f>
        <v>93.329407403816901</v>
      </c>
      <c r="CE29" s="59">
        <f t="shared" si="40"/>
        <v>90.925148357295313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24</v>
      </c>
      <c r="CT29" s="12">
        <f>IF('Données projet'!$A$140&gt;35,CT28+CS29-DB28,IF(A29&lt;'Données projet'!$A$140,$CQ$205^A29,IF(A29='Données projet'!$A$140,'Données projet'!$B$140,CT28+CS29-DB28)))</f>
        <v>232</v>
      </c>
      <c r="CU29" s="17">
        <f>CT29*VLOOKUP('Données projet'!$B$13,Paramètres!$A$1:$I$89,3,0)*VLOOKUP('Données projet'!$B$13,Paramètres!$A$1:$I$89,5,0)</f>
        <v>220.77120000000002</v>
      </c>
      <c r="CV29" s="13">
        <f t="shared" si="41"/>
        <v>54.28246807807983</v>
      </c>
      <c r="CW29" s="20">
        <f t="shared" si="13"/>
        <v>479.05180523598898</v>
      </c>
      <c r="CX29" s="59">
        <f t="shared" si="14"/>
        <v>767.49624968043349</v>
      </c>
      <c r="CY29" s="59">
        <f ca="1">AVERAGE(OFFSET($CX$3,0,0,'Données projet'!$E$13+1,1))-AVERAGE(OFFSET($H$3,0,0,'Données projet'!$E$13+1,1))</f>
        <v>805.04572055352492</v>
      </c>
      <c r="CZ29" s="59">
        <f t="shared" si="42"/>
        <v>708.66645042414962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13.8</v>
      </c>
      <c r="DO29" s="12">
        <f>IF('Données projet'!$A$166&gt;35,DO28+DN29-DW28,IF(A29&lt;'Données projet'!$A$166,$DL$205^A29,IF(A29='Données projet'!$A$166,'Données projet'!$B$166,DO28+DN29-DW28)))</f>
        <v>181.8</v>
      </c>
      <c r="DP29" s="17">
        <f>DO29*VLOOKUP('Données projet'!$B$14,Paramètres!$A$1:$I$89,3,0)*VLOOKUP('Données projet'!$B$14,Paramètres!$A$1:$I$89,5,0)</f>
        <v>121.95144000000002</v>
      </c>
      <c r="DQ29" s="13">
        <f t="shared" si="43"/>
        <v>32.129712444696345</v>
      </c>
      <c r="DR29" s="20">
        <f t="shared" si="16"/>
        <v>268.35800717451281</v>
      </c>
      <c r="DS29" s="59">
        <f t="shared" si="17"/>
        <v>556.80245161895732</v>
      </c>
      <c r="DT29" s="59">
        <f ca="1">AVERAGE(OFFSET($DS$3,0,0,'Données projet'!$E$14+1,1))-AVERAGE(OFFSET($H$3,0,0,'Données projet'!$E$14+1,1))</f>
        <v>482.69499576870095</v>
      </c>
      <c r="DU29" s="59">
        <f t="shared" si="44"/>
        <v>384.28918352579575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7.05</v>
      </c>
      <c r="EJ29" s="12">
        <f>IF('Données projet'!$A$192&gt;35,EJ28+EI29-ER28,IF(A29&lt;'Données projet'!$A$192,$EG$205^A29,IF(A29='Données projet'!$A$192,'Données projet'!$B$192,EJ28+EI29-ER28)))</f>
        <v>97.050000000000011</v>
      </c>
      <c r="EK29" s="17">
        <f>EJ29*VLOOKUP('Données projet'!$B$15,Paramètres!$A$1:$I$89,3,0)*VLOOKUP('Données projet'!$B$15,Paramètres!$A$1:$I$89,5,0)</f>
        <v>71.157060000000001</v>
      </c>
      <c r="EL29" s="13">
        <f t="shared" si="45"/>
        <v>19.960521611336972</v>
      </c>
      <c r="EM29" s="20">
        <f t="shared" si="19"/>
        <v>158.69645463974521</v>
      </c>
      <c r="EN29" s="59">
        <f t="shared" si="20"/>
        <v>447.14089908418964</v>
      </c>
      <c r="EO29" s="59">
        <f ca="1">AVERAGE(OFFSET($EN$3,0,0,'Données projet'!$E$15+1,1))-AVERAGE(OFFSET($H$3,0,0,'Données projet'!$E$15+1,1))</f>
        <v>197.34725966440715</v>
      </c>
      <c r="EP29" s="59">
        <f t="shared" si="46"/>
        <v>240.16326570529532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19.171654101542352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19.171654101542352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25.333333333333332</v>
      </c>
      <c r="FE29" s="12">
        <f>IF('Données projet'!$A$218&gt;35,FE28+FD29-FM28,IF(A29&lt;'Données projet'!$A$218,$FB$205^A29,IF(A29='Données projet'!$A$218,'Données projet'!$B$218,FE28+FD29-FM28)))</f>
        <v>318.66666666666663</v>
      </c>
      <c r="FF29" s="17">
        <f>FE29*VLOOKUP('Données projet'!$B$16,Paramètres!$A$1:$I$89,3,0)*VLOOKUP('Données projet'!$B$16,Paramètres!$A$1:$I$89,5,0)</f>
        <v>178.13466666666665</v>
      </c>
      <c r="FG29" s="13">
        <f t="shared" si="47"/>
        <v>44.906932598015977</v>
      </c>
      <c r="FH29" s="20">
        <f t="shared" si="22"/>
        <v>388.46411871932219</v>
      </c>
      <c r="FI29" s="59">
        <f t="shared" si="23"/>
        <v>676.90856316376664</v>
      </c>
      <c r="FJ29" s="59">
        <f ca="1">AVERAGE(OFFSET($FI$3,0,0,'Données projet'!$E$16+1,1))-AVERAGE(OFFSET($H$3,0,0,'Données projet'!$E$16+1,1))</f>
        <v>346.42094266871379</v>
      </c>
      <c r="FK29" s="59">
        <f t="shared" si="48"/>
        <v>453.48153556975973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2.0317078481913695</v>
      </c>
      <c r="FR29" s="21">
        <f>EXP(-LN(2)/25)*FR28+(1-EXP(-LN(2)/25))/(LN(2)/25)*Calculateur!FM29*Calculateur!FO29*VLOOKUP('Données projet'!$B$16,Paramètres!$A$1:$I$89,3,0)*0.475*44/12</f>
        <v>15.560952356742304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17.592660204933672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9.1999999999999993</v>
      </c>
      <c r="FZ29" s="12">
        <f>IF('Données projet'!$A$244&gt;35,FZ28+FY29-GH28,IF(A29&lt;'Données projet'!$A$244,$FW$205^A29,IF(A29='Données projet'!$A$244,'Données projet'!$B$244,FZ28+FY29-GH28)))</f>
        <v>157.89999999999995</v>
      </c>
      <c r="GA29" s="17">
        <f>FZ29*VLOOKUP('Données projet'!$B$17,Paramètres!$A$1:$I$89,3,0)*VLOOKUP('Données projet'!$B$17,Paramètres!$A$1:$I$89,5,0)</f>
        <v>73.89719999999997</v>
      </c>
      <c r="GB29" s="13">
        <f t="shared" si="49"/>
        <v>20.638196860576663</v>
      </c>
      <c r="GC29" s="20">
        <f t="shared" si="25"/>
        <v>164.64914953217098</v>
      </c>
      <c r="GD29" s="59">
        <f t="shared" si="26"/>
        <v>453.09359397661547</v>
      </c>
      <c r="GE29" s="59">
        <f ca="1">AVERAGE(OFFSET($GD$3,0,0,'Données projet'!$E$17+1,1))-AVERAGE(OFFSET($H$3,0,0,'Données projet'!$E$17+1,1))</f>
        <v>198.26255998041</v>
      </c>
      <c r="GF29" s="59">
        <f t="shared" si="50"/>
        <v>238.62101708181166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15.925807911912891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15.925807911912891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4.3703703703703702</v>
      </c>
      <c r="GU29" s="12">
        <f>IF('Données projet'!$A$270&gt;35,GU28+GT29-HC28,IF(A29&lt;'Données projet'!$A$270,$GR$205^A29,IF(A29='Données projet'!$A$270,'Données projet'!$B$270,GU28+GT29-HC28)))</f>
        <v>98.888465244589028</v>
      </c>
      <c r="GV29" s="17">
        <f>GU29*VLOOKUP('Données projet'!$B$18,Paramètres!$A$1:$I$89,3,0)*VLOOKUP('Données projet'!$B$18,Paramètres!$A$1:$I$89,5,0)</f>
        <v>113.91951196176656</v>
      </c>
      <c r="GW29" s="13">
        <f t="shared" si="51"/>
        <v>30.25256202000638</v>
      </c>
      <c r="GX29" s="20">
        <f t="shared" si="28"/>
        <v>251.09969551825452</v>
      </c>
      <c r="GY29" s="59">
        <f t="shared" si="29"/>
        <v>539.54413996269898</v>
      </c>
      <c r="GZ29" s="59">
        <f ca="1">AVERAGE(OFFSET($GY$3,0,0,'Données projet'!$E$18+1,1))-AVERAGE(OFFSET($H$3,0,0,'Données projet'!$E$18+1,1))</f>
        <v>604.0566904089452</v>
      </c>
      <c r="HA29" s="59">
        <f t="shared" si="52"/>
        <v>369.5187835902687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</v>
      </c>
      <c r="N30" s="13">
        <f>IF('Données projet'!$A$36&gt;35,N29+M30-V29,IF(A30&lt;'Données projet'!$A$36,$K$205^A30,IF(A30='Données projet'!$A$36,'Données projet'!$B$36,N29+M30-V29)))</f>
        <v>108</v>
      </c>
      <c r="O30" s="13">
        <f>N30*VLOOKUP('Données projet'!$B$9,Paramètres!$A$1:$I$89,3,0)*VLOOKUP('Données projet'!$B$9,Paramètres!$A$1:$I$89,5,0)</f>
        <v>97.718399999999988</v>
      </c>
      <c r="P30" s="13">
        <f t="shared" si="33"/>
        <v>26.417709819192194</v>
      </c>
      <c r="Q30" s="20">
        <f t="shared" si="2"/>
        <v>216.20372460175972</v>
      </c>
      <c r="R30" s="59">
        <f t="shared" si="0"/>
        <v>505.87039126842637</v>
      </c>
      <c r="S30" s="59">
        <f ca="1">AVERAGE(OFFSET($R$3,0,0,'Données projet'!$E$9+1,1))-AVERAGE(OFFSET($H$3,0,0,'Données projet'!$E$9+1,1))</f>
        <v>528.20489749461376</v>
      </c>
      <c r="T30" s="59">
        <f t="shared" si="34"/>
        <v>276.26988364830532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10.6</v>
      </c>
      <c r="AI30" s="13">
        <f>IF('Données projet'!$A$62&gt;35,AI29+AH30-AQ29,IF(A30&lt;'Données projet'!$A$62,$AF$205^A30,IF(A30='Données projet'!$A$62,'Données projet'!$B$62,AI29+AH30-AQ29)))</f>
        <v>262.20000000000005</v>
      </c>
      <c r="AJ30" s="13">
        <f>AI30*VLOOKUP('Données projet'!$B$10,Paramètres!$A$1:$I$89,3,0)*VLOOKUP('Données projet'!$B$10,Paramètres!$A$1:$I$89,5,0)</f>
        <v>237.23856000000004</v>
      </c>
      <c r="AK30" s="13">
        <f t="shared" si="35"/>
        <v>57.84499363660688</v>
      </c>
      <c r="AL30" s="20">
        <f t="shared" si="4"/>
        <v>513.93718925042367</v>
      </c>
      <c r="AM30" s="59">
        <f t="shared" si="5"/>
        <v>803.60385591709041</v>
      </c>
      <c r="AN30" s="59">
        <f ca="1">AVERAGE(OFFSET($AM$3,0,0,'Données projet'!$E$10+1,1))-AVERAGE(OFFSET($H$3,0,0,'Données projet'!$E$10+1,1))</f>
        <v>436.23918637269577</v>
      </c>
      <c r="AO30" s="59">
        <f t="shared" si="36"/>
        <v>611.43967996341894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12.583912009187722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12.583912009187722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11.5</v>
      </c>
      <c r="BD30" s="12">
        <f>IF('Données projet'!$A$88&gt;35,BD29+BC30-BL29,IF(A30&lt;'Données projet'!$A$88,$BA$205^A30,IF(A30='Données projet'!$A$88,'Données projet'!$B$88,BD29+BC30-BL29)))</f>
        <v>108.99999999999996</v>
      </c>
      <c r="BE30" s="13">
        <f>BD30*VLOOKUP('Données projet'!$B$11,Paramètres!$A$1:$I$89,3,0)*VLOOKUP('Données projet'!$B$11,Paramètres!$A$1:$I$89,5,0)</f>
        <v>85.019999999999968</v>
      </c>
      <c r="BF30" s="13">
        <f t="shared" si="37"/>
        <v>23.360218970693097</v>
      </c>
      <c r="BG30" s="20">
        <f t="shared" si="7"/>
        <v>188.76221470729038</v>
      </c>
      <c r="BH30" s="59">
        <f t="shared" si="8"/>
        <v>478.4288813739571</v>
      </c>
      <c r="BI30" s="59">
        <f ca="1">AVERAGE(OFFSET($BH$3,0,0,'Données projet'!$E$11+1,1))-AVERAGE(OFFSET($H$3,0,0,'Données projet'!$E$11+1,1))</f>
        <v>288.82868507674738</v>
      </c>
      <c r="BJ30" s="59">
        <f t="shared" si="38"/>
        <v>283.48738729114024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2.7397999999999989</v>
      </c>
      <c r="BY30" s="12">
        <f>IF('Données projet'!$A$114&gt;35,BY29+BX30-CG29,IF(A30&lt;'Données projet'!$A$114,$BV$205^A30,IF(A30='Données projet'!$A$114,'Données projet'!$B$114,BY29+BX30-CG29)))</f>
        <v>18.818099999999998</v>
      </c>
      <c r="BZ30" s="13">
        <f>BY30*VLOOKUP('Données projet'!$B$12,Paramètres!$A$1:$I$89,3,0)*VLOOKUP('Données projet'!$B$12,Paramètres!$A$1:$I$89,5,0)</f>
        <v>16.43949216</v>
      </c>
      <c r="CA30" s="13">
        <f t="shared" si="39"/>
        <v>5.4690394088461431</v>
      </c>
      <c r="CB30" s="20">
        <f t="shared" si="10"/>
        <v>38.157359149073699</v>
      </c>
      <c r="CC30" s="59">
        <f t="shared" si="11"/>
        <v>327.82402581574036</v>
      </c>
      <c r="CD30" s="59">
        <f ca="1">AVERAGE(OFFSET($CC$3,0,0,'Données projet'!$E$12+1,1))-AVERAGE(OFFSET($H$3,0,0,'Données projet'!$E$12+1,1))</f>
        <v>93.329407403816901</v>
      </c>
      <c r="CE30" s="59">
        <f t="shared" si="40"/>
        <v>90.925148357295313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24</v>
      </c>
      <c r="CT30" s="12">
        <f>IF('Données projet'!$A$140&gt;35,CT29+CS30-DB29,IF(A30&lt;'Données projet'!$A$140,$CQ$205^A30,IF(A30='Données projet'!$A$140,'Données projet'!$B$140,CT29+CS30-DB29)))</f>
        <v>256</v>
      </c>
      <c r="CU30" s="17">
        <f>CT30*VLOOKUP('Données projet'!$B$13,Paramètres!$A$1:$I$89,3,0)*VLOOKUP('Données projet'!$B$13,Paramètres!$A$1:$I$89,5,0)</f>
        <v>243.6096</v>
      </c>
      <c r="CV30" s="13">
        <f t="shared" si="41"/>
        <v>59.21547748087886</v>
      </c>
      <c r="CW30" s="20">
        <f t="shared" si="13"/>
        <v>527.42034327919725</v>
      </c>
      <c r="CX30" s="59">
        <f t="shared" si="14"/>
        <v>817.08700994586388</v>
      </c>
      <c r="CY30" s="59">
        <f ca="1">AVERAGE(OFFSET($CX$3,0,0,'Données projet'!$E$13+1,1))-AVERAGE(OFFSET($H$3,0,0,'Données projet'!$E$13+1,1))</f>
        <v>805.04572055352492</v>
      </c>
      <c r="CZ30" s="59">
        <f t="shared" si="42"/>
        <v>708.66645042414962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13.8</v>
      </c>
      <c r="DO30" s="12">
        <f>IF('Données projet'!$A$166&gt;35,DO29+DN30-DW29,IF(A30&lt;'Données projet'!$A$166,$DL$205^A30,IF(A30='Données projet'!$A$166,'Données projet'!$B$166,DO29+DN30-DW29)))</f>
        <v>195.60000000000002</v>
      </c>
      <c r="DP30" s="17">
        <f>DO30*VLOOKUP('Données projet'!$B$14,Paramètres!$A$1:$I$89,3,0)*VLOOKUP('Données projet'!$B$14,Paramètres!$A$1:$I$89,5,0)</f>
        <v>131.20848000000001</v>
      </c>
      <c r="DQ30" s="13">
        <f t="shared" si="43"/>
        <v>34.27545301984977</v>
      </c>
      <c r="DR30" s="20">
        <f t="shared" si="16"/>
        <v>288.21785000957169</v>
      </c>
      <c r="DS30" s="59">
        <f t="shared" si="17"/>
        <v>577.88451667623838</v>
      </c>
      <c r="DT30" s="59">
        <f ca="1">AVERAGE(OFFSET($DS$3,0,0,'Données projet'!$E$14+1,1))-AVERAGE(OFFSET($H$3,0,0,'Données projet'!$E$14+1,1))</f>
        <v>482.69499576870095</v>
      </c>
      <c r="DU30" s="59">
        <f t="shared" si="44"/>
        <v>384.28918352579575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7.05</v>
      </c>
      <c r="EJ30" s="12">
        <f>IF('Données projet'!$A$192&gt;35,EJ29+EI30-ER29,IF(A30&lt;'Données projet'!$A$192,$EG$205^A30,IF(A30='Données projet'!$A$192,'Données projet'!$B$192,EJ29+EI30-ER29)))</f>
        <v>104.10000000000001</v>
      </c>
      <c r="EK30" s="17">
        <f>EJ30*VLOOKUP('Données projet'!$B$15,Paramètres!$A$1:$I$89,3,0)*VLOOKUP('Données projet'!$B$15,Paramètres!$A$1:$I$89,5,0)</f>
        <v>76.326120000000003</v>
      </c>
      <c r="EL30" s="13">
        <f t="shared" si="45"/>
        <v>21.236458429363207</v>
      </c>
      <c r="EM30" s="20">
        <f t="shared" si="19"/>
        <v>169.92149076447427</v>
      </c>
      <c r="EN30" s="59">
        <f t="shared" si="20"/>
        <v>459.58815743114098</v>
      </c>
      <c r="EO30" s="59">
        <f ca="1">AVERAGE(OFFSET($EN$3,0,0,'Données projet'!$E$15+1,1))-AVERAGE(OFFSET($H$3,0,0,'Données projet'!$E$15+1,1))</f>
        <v>197.34725966440715</v>
      </c>
      <c r="EP30" s="59">
        <f t="shared" si="46"/>
        <v>240.16326570529532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18.647404211942206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18.647404211942206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>
        <f>VLOOKUP(A30,'Données projet'!$A$217:$I$237,2,0)</f>
        <v>344</v>
      </c>
      <c r="FC30" s="12">
        <f>VLOOKUP(A30,'Données projet'!$A$217:$I$237,9,0)</f>
        <v>25.333333333333332</v>
      </c>
      <c r="FD30" s="12">
        <f t="array" ref="FD30">INDEX(FC:FC,MIN(IF(ISNUMBER(FC30:FC226),ROW(FC30:FC226),"")))</f>
        <v>25.333333333333332</v>
      </c>
      <c r="FE30" s="12">
        <f>IF('Données projet'!$A$218&gt;35,FE29+FD30-FM29,IF(A30&lt;'Données projet'!$A$218,$FB$205^A30,IF(A30='Données projet'!$A$218,'Données projet'!$B$218,FE29+FD30-FM29)))</f>
        <v>343.99999999999994</v>
      </c>
      <c r="FF30" s="17">
        <f>FE30*VLOOKUP('Données projet'!$B$16,Paramètres!$A$1:$I$89,3,0)*VLOOKUP('Données projet'!$B$16,Paramètres!$A$1:$I$89,5,0)</f>
        <v>192.29599999999996</v>
      </c>
      <c r="FG30" s="13">
        <f t="shared" si="47"/>
        <v>48.047210442610933</v>
      </c>
      <c r="FH30" s="20">
        <f t="shared" si="22"/>
        <v>418.59775818754724</v>
      </c>
      <c r="FI30" s="59">
        <f t="shared" si="23"/>
        <v>708.26442485421398</v>
      </c>
      <c r="FJ30" s="59">
        <f ca="1">AVERAGE(OFFSET($FI$3,0,0,'Données projet'!$E$16+1,1))-AVERAGE(OFFSET($H$3,0,0,'Données projet'!$E$16+1,1))</f>
        <v>346.42094266871379</v>
      </c>
      <c r="FK30" s="59">
        <f t="shared" si="48"/>
        <v>453.48153556975973</v>
      </c>
      <c r="FL30" s="15">
        <f>IF(ISNA(VLOOKUP(A30,'Données projet'!$A$217:$I$237,3,0)),0,VLOOKUP(A30,'Données projet'!$A$217:$I$237,3,0))</f>
        <v>2</v>
      </c>
      <c r="FM30" s="15">
        <f>IF(ISNA(VLOOKUP(A30,'Données projet'!$A$217:$I$237,4,0)),0,VLOOKUP(A30,'Données projet'!$A$217:$I$237,4,0))</f>
        <v>81</v>
      </c>
      <c r="FN30" s="16">
        <f>IF(ISNA(VLOOKUP(A30,'Données projet'!$A$217:$I$237,5,0)),0%,VLOOKUP(A30,'Données projet'!$A$217:$I$237,5,0)*VLOOKUP('Données projet'!$B$16,Paramètres!$A$1:$I$89,7,0))</f>
        <v>5.5E-2</v>
      </c>
      <c r="FO30" s="16">
        <f>IF(ISNA(VLOOKUP(A30,'Données projet'!$A$217:$I$237,6,0)),0%,VLOOKUP(A30,'Données projet'!$A$217:$I$237,6,0)*VLOOKUP('Données projet'!$B$16,Paramètres!$A$1:$I$89,7,0))</f>
        <v>0.44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5.2954704552893421</v>
      </c>
      <c r="FR30" s="21">
        <f>EXP(-LN(2)/25)*FR29+(1-EXP(-LN(2)/25))/(LN(2)/25)*Calculateur!FM30*Calculateur!FO30*VLOOKUP('Données projet'!$B$16,Paramètres!$A$1:$I$89,3,0)*0.475*44/12</f>
        <v>41.460202211224015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46.755672666513355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9.1999999999999993</v>
      </c>
      <c r="FZ30" s="12">
        <f>IF('Données projet'!$A$244&gt;35,FZ29+FY30-GH29,IF(A30&lt;'Données projet'!$A$244,$FW$205^A30,IF(A30='Données projet'!$A$244,'Données projet'!$B$244,FZ29+FY30-GH29)))</f>
        <v>167.09999999999994</v>
      </c>
      <c r="GA30" s="17">
        <f>FZ30*VLOOKUP('Données projet'!$B$17,Paramètres!$A$1:$I$89,3,0)*VLOOKUP('Données projet'!$B$17,Paramètres!$A$1:$I$89,5,0)</f>
        <v>78.202799999999968</v>
      </c>
      <c r="GB30" s="13">
        <f t="shared" si="49"/>
        <v>21.697179992990623</v>
      </c>
      <c r="GC30" s="20">
        <f t="shared" si="25"/>
        <v>173.99246515445861</v>
      </c>
      <c r="GD30" s="59">
        <f t="shared" si="26"/>
        <v>463.6591318211253</v>
      </c>
      <c r="GE30" s="59">
        <f ca="1">AVERAGE(OFFSET($GD$3,0,0,'Données projet'!$E$17+1,1))-AVERAGE(OFFSET($H$3,0,0,'Données projet'!$E$17+1,1))</f>
        <v>198.26255998041</v>
      </c>
      <c r="GF30" s="59">
        <f t="shared" si="50"/>
        <v>238.62101708181166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15.490315857059795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15.490315857059795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>
        <f>VLOOKUP(A30,'Données projet'!$A$269:$I$289,2,0)</f>
        <v>118</v>
      </c>
      <c r="GS30" s="12">
        <f>VLOOKUP(A30,'Données projet'!$A$269:$I$289,9,0)</f>
        <v>4.3703703703703702</v>
      </c>
      <c r="GT30" s="12">
        <f t="array" ref="GT30">INDEX(GS:GS,MIN(IF(ISNUMBER(GS30:GS226),ROW(GS30:GS226),"")))</f>
        <v>4.3703703703703702</v>
      </c>
      <c r="GU30" s="12">
        <f>IF('Données projet'!$A$270&gt;35,GU29+GT30-HC29,IF(A30&lt;'Données projet'!$A$270,$GR$205^A30,IF(A30='Données projet'!$A$270,'Données projet'!$B$270,GU29+GT30-HC29)))</f>
        <v>118</v>
      </c>
      <c r="GV30" s="17">
        <f>GU30*VLOOKUP('Données projet'!$B$18,Paramètres!$A$1:$I$89,3,0)*VLOOKUP('Données projet'!$B$18,Paramètres!$A$1:$I$89,5,0)</f>
        <v>135.93600000000001</v>
      </c>
      <c r="GW30" s="13">
        <f t="shared" si="51"/>
        <v>35.364410007618631</v>
      </c>
      <c r="GX30" s="20">
        <f t="shared" si="28"/>
        <v>298.34821409660248</v>
      </c>
      <c r="GY30" s="59">
        <f t="shared" si="29"/>
        <v>588.01488076326916</v>
      </c>
      <c r="GZ30" s="59">
        <f ca="1">AVERAGE(OFFSET($GY$3,0,0,'Données projet'!$E$18+1,1))-AVERAGE(OFFSET($H$3,0,0,'Données projet'!$E$18+1,1))</f>
        <v>604.0566904089452</v>
      </c>
      <c r="HA30" s="59">
        <f t="shared" si="52"/>
        <v>369.5187835902687</v>
      </c>
      <c r="HB30" s="15">
        <f>IF(ISNA(VLOOKUP(A30,'Données projet'!$A$269:$I$289,3,0)),0,VLOOKUP(A30,'Données projet'!$A$269:$I$289,3,0))</f>
        <v>1</v>
      </c>
      <c r="HC30" s="15">
        <f>IF(ISNA(VLOOKUP(A30,'Données projet'!$A$269:$I$289,4,0)),0,VLOOKUP(A30,'Données projet'!$A$269:$I$289,4,0))</f>
        <v>15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0.45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5.5654894112033304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5.5654894112033304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</v>
      </c>
      <c r="N31" s="13">
        <f>IF('Données projet'!$A$36&gt;35,N30+M31-V30,IF(A31&lt;'Données projet'!$A$36,$K$205^A31,IF(A31='Données projet'!$A$36,'Données projet'!$B$36,N30+M31-V30)))</f>
        <v>112</v>
      </c>
      <c r="O31" s="13">
        <f>N31*VLOOKUP('Données projet'!$B$9,Paramètres!$A$1:$I$89,3,0)*VLOOKUP('Données projet'!$B$9,Paramètres!$A$1:$I$89,5,0)</f>
        <v>101.33759999999999</v>
      </c>
      <c r="P31" s="13">
        <f t="shared" si="33"/>
        <v>27.280415454305565</v>
      </c>
      <c r="Q31" s="20">
        <f t="shared" si="2"/>
        <v>224.00971024958213</v>
      </c>
      <c r="R31" s="59">
        <f t="shared" si="0"/>
        <v>514.89859913847101</v>
      </c>
      <c r="S31" s="59">
        <f ca="1">AVERAGE(OFFSET($R$3,0,0,'Données projet'!$E$9+1,1))-AVERAGE(OFFSET($H$3,0,0,'Données projet'!$E$9+1,1))</f>
        <v>528.20489749461376</v>
      </c>
      <c r="T31" s="59">
        <f t="shared" si="34"/>
        <v>276.26988364830532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10.6</v>
      </c>
      <c r="AI31" s="13">
        <f>IF('Données projet'!$A$62&gt;35,AI30+AH31-AQ30,IF(A31&lt;'Données projet'!$A$62,$AF$205^A31,IF(A31='Données projet'!$A$62,'Données projet'!$B$62,AI30+AH31-AQ30)))</f>
        <v>272.80000000000007</v>
      </c>
      <c r="AJ31" s="13">
        <f>AI31*VLOOKUP('Données projet'!$B$10,Paramètres!$A$1:$I$89,3,0)*VLOOKUP('Données projet'!$B$10,Paramètres!$A$1:$I$89,5,0)</f>
        <v>246.82944000000003</v>
      </c>
      <c r="AK31" s="13">
        <f t="shared" si="35"/>
        <v>59.906509645447485</v>
      </c>
      <c r="AL31" s="20">
        <f t="shared" si="4"/>
        <v>534.23177896582104</v>
      </c>
      <c r="AM31" s="59">
        <f t="shared" si="5"/>
        <v>825.12066785470984</v>
      </c>
      <c r="AN31" s="59">
        <f ca="1">AVERAGE(OFFSET($AM$3,0,0,'Données projet'!$E$10+1,1))-AVERAGE(OFFSET($H$3,0,0,'Données projet'!$E$10+1,1))</f>
        <v>436.23918637269577</v>
      </c>
      <c r="AO31" s="59">
        <f t="shared" si="36"/>
        <v>611.43967996341894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12.239804273537313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12.239804273537313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11.5</v>
      </c>
      <c r="BD31" s="12">
        <f>IF('Données projet'!$A$88&gt;35,BD30+BC31-BL30,IF(A31&lt;'Données projet'!$A$88,$BA$205^A31,IF(A31='Données projet'!$A$88,'Données projet'!$B$88,BD30+BC31-BL30)))</f>
        <v>120.49999999999996</v>
      </c>
      <c r="BE31" s="13">
        <f>BD31*VLOOKUP('Données projet'!$B$11,Paramètres!$A$1:$I$89,3,0)*VLOOKUP('Données projet'!$B$11,Paramètres!$A$1:$I$89,5,0)</f>
        <v>93.989999999999966</v>
      </c>
      <c r="BF31" s="13">
        <f t="shared" si="37"/>
        <v>25.525074036970054</v>
      </c>
      <c r="BG31" s="20">
        <f t="shared" si="7"/>
        <v>208.15542061438944</v>
      </c>
      <c r="BH31" s="59">
        <f t="shared" si="8"/>
        <v>499.04430950327833</v>
      </c>
      <c r="BI31" s="59">
        <f ca="1">AVERAGE(OFFSET($BH$3,0,0,'Données projet'!$E$11+1,1))-AVERAGE(OFFSET($H$3,0,0,'Données projet'!$E$11+1,1))</f>
        <v>288.82868507674738</v>
      </c>
      <c r="BJ31" s="59">
        <f t="shared" si="38"/>
        <v>283.48738729114024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2.7397999999999989</v>
      </c>
      <c r="BY31" s="12">
        <f>IF('Données projet'!$A$114&gt;35,BY30+BX31-CG30,IF(A31&lt;'Données projet'!$A$114,$BV$205^A31,IF(A31='Données projet'!$A$114,'Données projet'!$B$114,BY30+BX31-CG30)))</f>
        <v>21.557899999999997</v>
      </c>
      <c r="BZ31" s="13">
        <f>BY31*VLOOKUP('Données projet'!$B$12,Paramètres!$A$1:$I$89,3,0)*VLOOKUP('Données projet'!$B$12,Paramètres!$A$1:$I$89,5,0)</f>
        <v>18.832981440000001</v>
      </c>
      <c r="CA31" s="13">
        <f t="shared" si="39"/>
        <v>6.1669519205693293</v>
      </c>
      <c r="CB31" s="20">
        <f t="shared" si="10"/>
        <v>43.541550602991578</v>
      </c>
      <c r="CC31" s="59">
        <f t="shared" si="11"/>
        <v>334.43043949188041</v>
      </c>
      <c r="CD31" s="59">
        <f ca="1">AVERAGE(OFFSET($CC$3,0,0,'Données projet'!$E$12+1,1))-AVERAGE(OFFSET($H$3,0,0,'Données projet'!$E$12+1,1))</f>
        <v>93.329407403816901</v>
      </c>
      <c r="CE31" s="59">
        <f t="shared" si="40"/>
        <v>90.925148357295313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24</v>
      </c>
      <c r="CT31" s="12">
        <f>IF('Données projet'!$A$140&gt;35,CT30+CS31-DB30,IF(A31&lt;'Données projet'!$A$140,$CQ$205^A31,IF(A31='Données projet'!$A$140,'Données projet'!$B$140,CT30+CS31-DB30)))</f>
        <v>280</v>
      </c>
      <c r="CU31" s="17">
        <f>CT31*VLOOKUP('Données projet'!$B$13,Paramètres!$A$1:$I$89,3,0)*VLOOKUP('Données projet'!$B$13,Paramètres!$A$1:$I$89,5,0)</f>
        <v>266.44799999999998</v>
      </c>
      <c r="CV31" s="13">
        <f t="shared" si="41"/>
        <v>64.094865228054687</v>
      </c>
      <c r="CW31" s="20">
        <f t="shared" si="13"/>
        <v>575.69549027219523</v>
      </c>
      <c r="CX31" s="59">
        <f t="shared" si="14"/>
        <v>866.58437916108414</v>
      </c>
      <c r="CY31" s="59">
        <f ca="1">AVERAGE(OFFSET($CX$3,0,0,'Données projet'!$E$13+1,1))-AVERAGE(OFFSET($H$3,0,0,'Données projet'!$E$13+1,1))</f>
        <v>805.04572055352492</v>
      </c>
      <c r="CZ31" s="59">
        <f t="shared" si="42"/>
        <v>708.66645042414962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13.8</v>
      </c>
      <c r="DO31" s="12">
        <f>IF('Données projet'!$A$166&gt;35,DO30+DN31-DW30,IF(A31&lt;'Données projet'!$A$166,$DL$205^A31,IF(A31='Données projet'!$A$166,'Données projet'!$B$166,DO30+DN31-DW30)))</f>
        <v>209.40000000000003</v>
      </c>
      <c r="DP31" s="17">
        <f>DO31*VLOOKUP('Données projet'!$B$14,Paramètres!$A$1:$I$89,3,0)*VLOOKUP('Données projet'!$B$14,Paramètres!$A$1:$I$89,5,0)</f>
        <v>140.46552000000003</v>
      </c>
      <c r="DQ31" s="13">
        <f t="shared" si="43"/>
        <v>36.403628977335316</v>
      </c>
      <c r="DR31" s="20">
        <f t="shared" si="16"/>
        <v>308.04710113552568</v>
      </c>
      <c r="DS31" s="59">
        <f t="shared" si="17"/>
        <v>598.93599002441454</v>
      </c>
      <c r="DT31" s="59">
        <f ca="1">AVERAGE(OFFSET($DS$3,0,0,'Données projet'!$E$14+1,1))-AVERAGE(OFFSET($H$3,0,0,'Données projet'!$E$14+1,1))</f>
        <v>482.69499576870095</v>
      </c>
      <c r="DU31" s="59">
        <f t="shared" si="44"/>
        <v>384.28918352579575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7.05</v>
      </c>
      <c r="EJ31" s="12">
        <f>IF('Données projet'!$A$192&gt;35,EJ30+EI31-ER30,IF(A31&lt;'Données projet'!$A$192,$EG$205^A31,IF(A31='Données projet'!$A$192,'Données projet'!$B$192,EJ30+EI31-ER30)))</f>
        <v>111.15</v>
      </c>
      <c r="EK31" s="17">
        <f>EJ31*VLOOKUP('Données projet'!$B$15,Paramètres!$A$1:$I$89,3,0)*VLOOKUP('Données projet'!$B$15,Paramètres!$A$1:$I$89,5,0)</f>
        <v>81.495180000000005</v>
      </c>
      <c r="EL31" s="13">
        <f t="shared" si="45"/>
        <v>22.502368493881775</v>
      </c>
      <c r="EM31" s="20">
        <f t="shared" si="19"/>
        <v>181.12906362684407</v>
      </c>
      <c r="EN31" s="59">
        <f t="shared" si="20"/>
        <v>472.01795251573293</v>
      </c>
      <c r="EO31" s="59">
        <f ca="1">AVERAGE(OFFSET($EN$3,0,0,'Données projet'!$E$15+1,1))-AVERAGE(OFFSET($H$3,0,0,'Données projet'!$E$15+1,1))</f>
        <v>197.34725966440715</v>
      </c>
      <c r="EP31" s="59">
        <f t="shared" si="46"/>
        <v>240.16326570529532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18.137489963142279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18.137489963142279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26.5</v>
      </c>
      <c r="FE31" s="12">
        <f>IF('Données projet'!$A$218&gt;35,FE30+FD31-FM30,IF(A31&lt;'Données projet'!$A$218,$FB$205^A31,IF(A31='Données projet'!$A$218,'Données projet'!$B$218,FE30+FD31-FM30)))</f>
        <v>289.49999999999994</v>
      </c>
      <c r="FF31" s="17">
        <f>FE31*VLOOKUP('Données projet'!$B$16,Paramètres!$A$1:$I$89,3,0)*VLOOKUP('Données projet'!$B$16,Paramètres!$A$1:$I$89,5,0)</f>
        <v>161.83049999999997</v>
      </c>
      <c r="FG31" s="13">
        <f t="shared" si="47"/>
        <v>41.255116044523184</v>
      </c>
      <c r="FH31" s="20">
        <f t="shared" si="22"/>
        <v>353.7074479442112</v>
      </c>
      <c r="FI31" s="59">
        <f t="shared" si="23"/>
        <v>644.59633683310005</v>
      </c>
      <c r="FJ31" s="59">
        <f ca="1">AVERAGE(OFFSET($FI$3,0,0,'Données projet'!$E$16+1,1))-AVERAGE(OFFSET($H$3,0,0,'Données projet'!$E$16+1,1))</f>
        <v>346.42094266871379</v>
      </c>
      <c r="FK31" s="59">
        <f t="shared" si="48"/>
        <v>453.48153556975973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5.191629509579168</v>
      </c>
      <c r="FR31" s="21">
        <f>EXP(-LN(2)/25)*FR30+(1-EXP(-LN(2)/25))/(LN(2)/25)*Calculateur!FM31*Calculateur!FO31*VLOOKUP('Données projet'!$B$16,Paramètres!$A$1:$I$89,3,0)*0.475*44/12</f>
        <v>40.326470801460822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45.518100311039987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9.1999999999999993</v>
      </c>
      <c r="FZ31" s="12">
        <f>IF('Données projet'!$A$244&gt;35,FZ30+FY31-GH30,IF(A31&lt;'Données projet'!$A$244,$FW$205^A31,IF(A31='Données projet'!$A$244,'Données projet'!$B$244,FZ30+FY31-GH30)))</f>
        <v>176.29999999999993</v>
      </c>
      <c r="GA31" s="17">
        <f>FZ31*VLOOKUP('Données projet'!$B$17,Paramètres!$A$1:$I$89,3,0)*VLOOKUP('Données projet'!$B$17,Paramètres!$A$1:$I$89,5,0)</f>
        <v>82.508399999999966</v>
      </c>
      <c r="GB31" s="13">
        <f t="shared" si="49"/>
        <v>22.749394597897162</v>
      </c>
      <c r="GC31" s="20">
        <f t="shared" si="25"/>
        <v>183.32399225800415</v>
      </c>
      <c r="GD31" s="59">
        <f t="shared" si="26"/>
        <v>474.21288114689298</v>
      </c>
      <c r="GE31" s="59">
        <f ca="1">AVERAGE(OFFSET($GD$3,0,0,'Données projet'!$E$17+1,1))-AVERAGE(OFFSET($H$3,0,0,'Données projet'!$E$17+1,1))</f>
        <v>198.26255998041</v>
      </c>
      <c r="GF31" s="59">
        <f t="shared" si="50"/>
        <v>238.62101708181166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15.066732355348186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15.066732355348186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9.6666666666666661</v>
      </c>
      <c r="GU31" s="12">
        <f>IF('Données projet'!$A$270&gt;35,GU30+GT31-HC30,IF(A31&lt;'Données projet'!$A$270,$GR$205^A31,IF(A31='Données projet'!$A$270,'Données projet'!$B$270,GU30+GT31-HC30)))</f>
        <v>112.66666666666667</v>
      </c>
      <c r="GV31" s="17">
        <f>GU31*VLOOKUP('Données projet'!$B$18,Paramètres!$A$1:$I$89,3,0)*VLOOKUP('Données projet'!$B$18,Paramètres!$A$1:$I$89,5,0)</f>
        <v>129.792</v>
      </c>
      <c r="GW31" s="13">
        <f t="shared" si="51"/>
        <v>33.94829216111502</v>
      </c>
      <c r="GX31" s="20">
        <f t="shared" si="28"/>
        <v>285.18100884727528</v>
      </c>
      <c r="GY31" s="59">
        <f t="shared" si="29"/>
        <v>576.06989773616419</v>
      </c>
      <c r="GZ31" s="59">
        <f ca="1">AVERAGE(OFFSET($GY$3,0,0,'Données projet'!$E$18+1,1))-AVERAGE(OFFSET($H$3,0,0,'Données projet'!$E$18+1,1))</f>
        <v>604.0566904089452</v>
      </c>
      <c r="HA31" s="59">
        <f t="shared" si="52"/>
        <v>369.5187835902687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5.4133008105776073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5.4133008105776073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</v>
      </c>
      <c r="N32" s="13">
        <f>IF('Données projet'!$A$36&gt;35,N31+M32-V31,IF(A32&lt;'Données projet'!$A$36,$K$205^A32,IF(A32='Données projet'!$A$36,'Données projet'!$B$36,N31+M32-V31)))</f>
        <v>116</v>
      </c>
      <c r="O32" s="13">
        <f>N32*VLOOKUP('Données projet'!$B$9,Paramètres!$A$1:$I$89,3,0)*VLOOKUP('Données projet'!$B$9,Paramètres!$A$1:$I$89,5,0)</f>
        <v>104.9568</v>
      </c>
      <c r="P32" s="13">
        <f t="shared" si="33"/>
        <v>28.139541339232373</v>
      </c>
      <c r="Q32" s="20">
        <f t="shared" si="2"/>
        <v>231.8094611658297</v>
      </c>
      <c r="R32" s="59">
        <f t="shared" si="0"/>
        <v>523.9205722769409</v>
      </c>
      <c r="S32" s="59">
        <f ca="1">AVERAGE(OFFSET($R$3,0,0,'Données projet'!$E$9+1,1))-AVERAGE(OFFSET($H$3,0,0,'Données projet'!$E$9+1,1))</f>
        <v>528.20489749461376</v>
      </c>
      <c r="T32" s="59">
        <f t="shared" si="34"/>
        <v>276.26988364830532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10.6</v>
      </c>
      <c r="AI32" s="13">
        <f>IF('Données projet'!$A$62&gt;35,AI31+AH32-AQ31,IF(A32&lt;'Données projet'!$A$62,$AF$205^A32,IF(A32='Données projet'!$A$62,'Données projet'!$B$62,AI31+AH32-AQ31)))</f>
        <v>283.40000000000009</v>
      </c>
      <c r="AJ32" s="13">
        <f>AI32*VLOOKUP('Données projet'!$B$10,Paramètres!$A$1:$I$89,3,0)*VLOOKUP('Données projet'!$B$10,Paramètres!$A$1:$I$89,5,0)</f>
        <v>256.42032000000006</v>
      </c>
      <c r="AK32" s="13">
        <f t="shared" si="35"/>
        <v>61.958720258016918</v>
      </c>
      <c r="AL32" s="20">
        <f t="shared" si="4"/>
        <v>554.51016178271277</v>
      </c>
      <c r="AM32" s="59">
        <f t="shared" si="5"/>
        <v>846.62127289382397</v>
      </c>
      <c r="AN32" s="59">
        <f ca="1">AVERAGE(OFFSET($AM$3,0,0,'Données projet'!$E$10+1,1))-AVERAGE(OFFSET($H$3,0,0,'Données projet'!$E$10+1,1))</f>
        <v>436.23918637269577</v>
      </c>
      <c r="AO32" s="59">
        <f t="shared" si="36"/>
        <v>611.43967996341894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11.905106182014103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11.905106182014103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11.5</v>
      </c>
      <c r="BD32" s="12">
        <f>IF('Données projet'!$A$88&gt;35,BD31+BC32-BL31,IF(A32&lt;'Données projet'!$A$88,$BA$205^A32,IF(A32='Données projet'!$A$88,'Données projet'!$B$88,BD31+BC32-BL31)))</f>
        <v>131.99999999999994</v>
      </c>
      <c r="BE32" s="13">
        <f>BD32*VLOOKUP('Données projet'!$B$11,Paramètres!$A$1:$I$89,3,0)*VLOOKUP('Données projet'!$B$11,Paramètres!$A$1:$I$89,5,0)</f>
        <v>102.95999999999997</v>
      </c>
      <c r="BF32" s="13">
        <f t="shared" si="37"/>
        <v>27.665975080374633</v>
      </c>
      <c r="BG32" s="20">
        <f t="shared" si="7"/>
        <v>227.50690659831903</v>
      </c>
      <c r="BH32" s="59">
        <f t="shared" si="8"/>
        <v>519.61801770943021</v>
      </c>
      <c r="BI32" s="59">
        <f ca="1">AVERAGE(OFFSET($BH$3,0,0,'Données projet'!$E$11+1,1))-AVERAGE(OFFSET($H$3,0,0,'Données projet'!$E$11+1,1))</f>
        <v>288.82868507674738</v>
      </c>
      <c r="BJ32" s="59">
        <f t="shared" si="38"/>
        <v>283.48738729114024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2.7397999999999989</v>
      </c>
      <c r="BY32" s="12">
        <f>IF('Données projet'!$A$114&gt;35,BY31+BX32-CG31,IF(A32&lt;'Données projet'!$A$114,$BV$205^A32,IF(A32='Données projet'!$A$114,'Données projet'!$B$114,BY31+BX32-CG31)))</f>
        <v>24.297699999999995</v>
      </c>
      <c r="BZ32" s="13">
        <f>BY32*VLOOKUP('Données projet'!$B$12,Paramètres!$A$1:$I$89,3,0)*VLOOKUP('Données projet'!$B$12,Paramètres!$A$1:$I$89,5,0)</f>
        <v>21.226470719999998</v>
      </c>
      <c r="CA32" s="13">
        <f t="shared" si="39"/>
        <v>6.8545868104169116</v>
      </c>
      <c r="CB32" s="20">
        <f t="shared" si="10"/>
        <v>48.907841865476115</v>
      </c>
      <c r="CC32" s="59">
        <f t="shared" si="11"/>
        <v>341.01895297658723</v>
      </c>
      <c r="CD32" s="59">
        <f ca="1">AVERAGE(OFFSET($CC$3,0,0,'Données projet'!$E$12+1,1))-AVERAGE(OFFSET($H$3,0,0,'Données projet'!$E$12+1,1))</f>
        <v>93.329407403816901</v>
      </c>
      <c r="CE32" s="59">
        <f t="shared" si="40"/>
        <v>90.925148357295313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24</v>
      </c>
      <c r="CT32" s="12">
        <f>IF('Données projet'!$A$140&gt;35,CT31+CS32-DB31,IF(A32&lt;'Données projet'!$A$140,$CQ$205^A32,IF(A32='Données projet'!$A$140,'Données projet'!$B$140,CT31+CS32-DB31)))</f>
        <v>304</v>
      </c>
      <c r="CU32" s="17">
        <f>CT32*VLOOKUP('Données projet'!$B$13,Paramètres!$A$1:$I$89,3,0)*VLOOKUP('Données projet'!$B$13,Paramètres!$A$1:$I$89,5,0)</f>
        <v>289.28640000000001</v>
      </c>
      <c r="CV32" s="13">
        <f t="shared" si="41"/>
        <v>68.925750029647361</v>
      </c>
      <c r="CW32" s="20">
        <f t="shared" si="13"/>
        <v>623.88616130163575</v>
      </c>
      <c r="CX32" s="59">
        <f t="shared" si="14"/>
        <v>915.99727241274695</v>
      </c>
      <c r="CY32" s="59">
        <f ca="1">AVERAGE(OFFSET($CX$3,0,0,'Données projet'!$E$13+1,1))-AVERAGE(OFFSET($H$3,0,0,'Données projet'!$E$13+1,1))</f>
        <v>805.04572055352492</v>
      </c>
      <c r="CZ32" s="59">
        <f t="shared" si="42"/>
        <v>708.66645042414962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13.8</v>
      </c>
      <c r="DO32" s="12">
        <f>IF('Données projet'!$A$166&gt;35,DO31+DN32-DW31,IF(A32&lt;'Données projet'!$A$166,$DL$205^A32,IF(A32='Données projet'!$A$166,'Données projet'!$B$166,DO31+DN32-DW31)))</f>
        <v>223.20000000000005</v>
      </c>
      <c r="DP32" s="17">
        <f>DO32*VLOOKUP('Données projet'!$B$14,Paramètres!$A$1:$I$89,3,0)*VLOOKUP('Données projet'!$B$14,Paramètres!$A$1:$I$89,5,0)</f>
        <v>149.72256000000002</v>
      </c>
      <c r="DQ32" s="13">
        <f t="shared" si="43"/>
        <v>38.515529593578506</v>
      </c>
      <c r="DR32" s="20">
        <f t="shared" si="16"/>
        <v>327.84800604214928</v>
      </c>
      <c r="DS32" s="59">
        <f t="shared" si="17"/>
        <v>619.95911715326042</v>
      </c>
      <c r="DT32" s="59">
        <f ca="1">AVERAGE(OFFSET($DS$3,0,0,'Données projet'!$E$14+1,1))-AVERAGE(OFFSET($H$3,0,0,'Données projet'!$E$14+1,1))</f>
        <v>482.69499576870095</v>
      </c>
      <c r="DU32" s="59">
        <f t="shared" si="44"/>
        <v>384.28918352579575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7.05</v>
      </c>
      <c r="EJ32" s="12">
        <f>IF('Données projet'!$A$192&gt;35,EJ31+EI32-ER31,IF(A32&lt;'Données projet'!$A$192,$EG$205^A32,IF(A32='Données projet'!$A$192,'Données projet'!$B$192,EJ31+EI32-ER31)))</f>
        <v>118.2</v>
      </c>
      <c r="EK32" s="17">
        <f>EJ32*VLOOKUP('Données projet'!$B$15,Paramètres!$A$1:$I$89,3,0)*VLOOKUP('Données projet'!$B$15,Paramètres!$A$1:$I$89,5,0)</f>
        <v>86.664239999999992</v>
      </c>
      <c r="EL32" s="13">
        <f t="shared" si="45"/>
        <v>23.758960172468854</v>
      </c>
      <c r="EM32" s="20">
        <f t="shared" si="19"/>
        <v>192.32040696704988</v>
      </c>
      <c r="EN32" s="59">
        <f t="shared" si="20"/>
        <v>484.43151807816105</v>
      </c>
      <c r="EO32" s="59">
        <f ca="1">AVERAGE(OFFSET($EN$3,0,0,'Données projet'!$E$15+1,1))-AVERAGE(OFFSET($H$3,0,0,'Données projet'!$E$15+1,1))</f>
        <v>197.34725966440715</v>
      </c>
      <c r="EP32" s="59">
        <f t="shared" si="46"/>
        <v>240.16326570529532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17.641519346291009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17.641519346291009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26.5</v>
      </c>
      <c r="FE32" s="12">
        <f>IF('Données projet'!$A$218&gt;35,FE31+FD32-FM31,IF(A32&lt;'Données projet'!$A$218,$FB$205^A32,IF(A32='Données projet'!$A$218,'Données projet'!$B$218,FE31+FD32-FM31)))</f>
        <v>315.99999999999994</v>
      </c>
      <c r="FF32" s="17">
        <f>FE32*VLOOKUP('Données projet'!$B$16,Paramètres!$A$1:$I$89,3,0)*VLOOKUP('Données projet'!$B$16,Paramètres!$A$1:$I$89,5,0)</f>
        <v>176.64399999999998</v>
      </c>
      <c r="FG32" s="13">
        <f t="shared" si="47"/>
        <v>44.574722126887373</v>
      </c>
      <c r="FH32" s="20">
        <f t="shared" si="22"/>
        <v>385.28927437099543</v>
      </c>
      <c r="FI32" s="59">
        <f t="shared" si="23"/>
        <v>677.40038548210657</v>
      </c>
      <c r="FJ32" s="59">
        <f ca="1">AVERAGE(OFFSET($FI$3,0,0,'Données projet'!$E$16+1,1))-AVERAGE(OFFSET($H$3,0,0,'Données projet'!$E$16+1,1))</f>
        <v>346.42094266871379</v>
      </c>
      <c r="FK32" s="59">
        <f t="shared" si="48"/>
        <v>453.48153556975973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5.0898248214776478</v>
      </c>
      <c r="FR32" s="21">
        <f>EXP(-LN(2)/25)*FR31+(1-EXP(-LN(2)/25))/(LN(2)/25)*Calculateur!FM32*Calculateur!FO32*VLOOKUP('Données projet'!$B$16,Paramètres!$A$1:$I$89,3,0)*0.475*44/12</f>
        <v>39.223741336717943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44.313566158195592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9.1999999999999993</v>
      </c>
      <c r="FZ32" s="12">
        <f>IF('Données projet'!$A$244&gt;35,FZ31+FY32-GH31,IF(A32&lt;'Données projet'!$A$244,$FW$205^A32,IF(A32='Données projet'!$A$244,'Données projet'!$B$244,FZ31+FY32-GH31)))</f>
        <v>185.49999999999991</v>
      </c>
      <c r="GA32" s="17">
        <f>FZ32*VLOOKUP('Données projet'!$B$17,Paramètres!$A$1:$I$89,3,0)*VLOOKUP('Données projet'!$B$17,Paramètres!$A$1:$I$89,5,0)</f>
        <v>86.813999999999965</v>
      </c>
      <c r="GB32" s="13">
        <f t="shared" si="49"/>
        <v>23.795234166993009</v>
      </c>
      <c r="GC32" s="20">
        <f t="shared" si="25"/>
        <v>192.64441617417944</v>
      </c>
      <c r="GD32" s="59">
        <f t="shared" si="26"/>
        <v>484.75552728529055</v>
      </c>
      <c r="GE32" s="59">
        <f ca="1">AVERAGE(OFFSET($GD$3,0,0,'Données projet'!$E$17+1,1))-AVERAGE(OFFSET($H$3,0,0,'Données projet'!$E$17+1,1))</f>
        <v>198.26255998041</v>
      </c>
      <c r="GF32" s="59">
        <f t="shared" si="50"/>
        <v>238.62101708181166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14.654731766766171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14.654731766766171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9.6666666666666661</v>
      </c>
      <c r="GU32" s="12">
        <f>IF('Données projet'!$A$270&gt;35,GU31+GT32-HC31,IF(A32&lt;'Données projet'!$A$270,$GR$205^A32,IF(A32='Données projet'!$A$270,'Données projet'!$B$270,GU31+GT32-HC31)))</f>
        <v>122.33333333333334</v>
      </c>
      <c r="GV32" s="17">
        <f>GU32*VLOOKUP('Données projet'!$B$18,Paramètres!$A$1:$I$89,3,0)*VLOOKUP('Données projet'!$B$18,Paramètres!$A$1:$I$89,5,0)</f>
        <v>140.928</v>
      </c>
      <c r="GW32" s="13">
        <f t="shared" si="51"/>
        <v>36.509515450942786</v>
      </c>
      <c r="GX32" s="20">
        <f t="shared" si="28"/>
        <v>309.03700607705866</v>
      </c>
      <c r="GY32" s="59">
        <f t="shared" si="29"/>
        <v>601.14811718816986</v>
      </c>
      <c r="GZ32" s="59">
        <f ca="1">AVERAGE(OFFSET($GY$3,0,0,'Données projet'!$E$18+1,1))-AVERAGE(OFFSET($H$3,0,0,'Données projet'!$E$18+1,1))</f>
        <v>604.0566904089452</v>
      </c>
      <c r="HA32" s="59">
        <f t="shared" si="52"/>
        <v>369.5187835902687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5.2652738152392455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5.2652738152392455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</v>
      </c>
      <c r="N33" s="13">
        <f>IF('Données projet'!$A$36&gt;35,N32+M33-V32,IF(A33&lt;'Données projet'!$A$36,$K$205^A33,IF(A33='Données projet'!$A$36,'Données projet'!$B$36,N32+M33-V32)))</f>
        <v>120</v>
      </c>
      <c r="O33" s="13">
        <f>N33*VLOOKUP('Données projet'!$B$9,Paramètres!$A$1:$I$89,3,0)*VLOOKUP('Données projet'!$B$9,Paramètres!$A$1:$I$89,5,0)</f>
        <v>108.57599999999999</v>
      </c>
      <c r="P33" s="13">
        <f t="shared" si="33"/>
        <v>28.995225061228002</v>
      </c>
      <c r="Q33" s="20">
        <f t="shared" si="2"/>
        <v>239.60321698163875</v>
      </c>
      <c r="R33" s="59">
        <f t="shared" si="0"/>
        <v>532.93655031497201</v>
      </c>
      <c r="S33" s="59">
        <f ca="1">AVERAGE(OFFSET($R$3,0,0,'Données projet'!$E$9+1,1))-AVERAGE(OFFSET($H$3,0,0,'Données projet'!$E$9+1,1))</f>
        <v>528.20489749461376</v>
      </c>
      <c r="T33" s="59">
        <f t="shared" si="34"/>
        <v>276.26988364830532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294</v>
      </c>
      <c r="AG33" s="12">
        <f>VLOOKUP(A33,'Données projet'!$A$61:$I$81,9,0)</f>
        <v>10.6</v>
      </c>
      <c r="AH33" s="12">
        <f t="array" ref="AH33">INDEX(AG:AG,MIN(IF(ISNUMBER(AG33:AG229),ROW(AG33:AG229),"")))</f>
        <v>10.6</v>
      </c>
      <c r="AI33" s="13">
        <f>IF('Données projet'!$A$62&gt;35,AI32+AH33-AQ32,IF(A33&lt;'Données projet'!$A$62,$AF$205^A33,IF(A33='Données projet'!$A$62,'Données projet'!$B$62,AI32+AH33-AQ32)))</f>
        <v>294.00000000000011</v>
      </c>
      <c r="AJ33" s="13">
        <f>AI33*VLOOKUP('Données projet'!$B$10,Paramètres!$A$1:$I$89,3,0)*VLOOKUP('Données projet'!$B$10,Paramètres!$A$1:$I$89,5,0)</f>
        <v>266.01120000000009</v>
      </c>
      <c r="AK33" s="13">
        <f t="shared" si="35"/>
        <v>64.002013376125717</v>
      </c>
      <c r="AL33" s="20">
        <f t="shared" si="4"/>
        <v>574.77301329675242</v>
      </c>
      <c r="AM33" s="59">
        <f t="shared" si="5"/>
        <v>868.10634663008568</v>
      </c>
      <c r="AN33" s="59">
        <f ca="1">AVERAGE(OFFSET($AM$3,0,0,'Données projet'!$E$10+1,1))-AVERAGE(OFFSET($H$3,0,0,'Données projet'!$E$10+1,1))</f>
        <v>436.23918637269577</v>
      </c>
      <c r="AO33" s="59">
        <f t="shared" si="36"/>
        <v>611.43967996341894</v>
      </c>
      <c r="AP33" s="15">
        <f>IF(ISNA(VLOOKUP(A33,'Données projet'!$A$61:$I$81,3,0)),0,VLOOKUP(A33,'Données projet'!$A$61:$I$81,3,0))</f>
        <v>6</v>
      </c>
      <c r="AQ33" s="15">
        <f>IF(ISNA(VLOOKUP(A33,'Données projet'!$A$61:$I$81,4,0)),0,VLOOKUP(A33,'Données projet'!$A$61:$I$81,4,0))</f>
        <v>14</v>
      </c>
      <c r="AR33" s="16">
        <f>IF(ISNA(VLOOKUP(A33,'Données projet'!$A$61:$I$81,5,0)),0%,VLOOKUP(A33,'Données projet'!$A$61:$I$81,5,0)*VLOOKUP('Données projet'!$B$10,Paramètres!$A$1:$I$89,7,0))</f>
        <v>0.18</v>
      </c>
      <c r="AS33" s="16">
        <f>IF(ISNA(VLOOKUP(A33,'Données projet'!$A$61:$I$81,6,0)),0%,VLOOKUP(A33,'Données projet'!$A$61:$I$81,6,0)*VLOOKUP('Données projet'!$B$10,Paramètres!$A$1:$I$89,7,0))</f>
        <v>0.06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2.5205785904915614</v>
      </c>
      <c r="AV33" s="21">
        <f>EXP(-LN(2)/25)*AV32+(1-EXP(-LN(2)/25))/(LN(2)/25)*Calculateur!AQ33*Calculateur!AS33*VLOOKUP('Données projet'!$B$10,Paramètres!$A$1:$I$89,3,0)*0.475*44/12</f>
        <v>12.416445131459623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14.937023721951185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11.5</v>
      </c>
      <c r="BD33" s="12">
        <f>IF('Données projet'!$A$88&gt;35,BD32+BC33-BL32,IF(A33&lt;'Données projet'!$A$88,$BA$205^A33,IF(A33='Données projet'!$A$88,'Données projet'!$B$88,BD32+BC33-BL32)))</f>
        <v>143.49999999999994</v>
      </c>
      <c r="BE33" s="13">
        <f>BD33*VLOOKUP('Données projet'!$B$11,Paramètres!$A$1:$I$89,3,0)*VLOOKUP('Données projet'!$B$11,Paramètres!$A$1:$I$89,5,0)</f>
        <v>111.92999999999996</v>
      </c>
      <c r="BF33" s="13">
        <f t="shared" si="37"/>
        <v>29.785246291563833</v>
      </c>
      <c r="BG33" s="20">
        <f t="shared" si="7"/>
        <v>246.82072062447358</v>
      </c>
      <c r="BH33" s="59">
        <f t="shared" si="8"/>
        <v>540.15405395780692</v>
      </c>
      <c r="BI33" s="59">
        <f ca="1">AVERAGE(OFFSET($BH$3,0,0,'Données projet'!$E$11+1,1))-AVERAGE(OFFSET($H$3,0,0,'Données projet'!$E$11+1,1))</f>
        <v>288.82868507674738</v>
      </c>
      <c r="BJ33" s="59">
        <f t="shared" si="38"/>
        <v>283.48738729114024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27.037499999999994</v>
      </c>
      <c r="BW33" s="12">
        <f>VLOOKUP(A33,'Données projet'!$A$113:$I$133,9,0)</f>
        <v>2.7397999999999989</v>
      </c>
      <c r="BX33" s="12">
        <f t="array" ref="BX33">INDEX(BW:BW,MIN(IF(ISNUMBER(BW33:BW229),ROW(BW33:BW229),"")))</f>
        <v>2.7397999999999989</v>
      </c>
      <c r="BY33" s="12">
        <f>IF('Données projet'!$A$114&gt;35,BY32+BX33-CG32,IF(A33&lt;'Données projet'!$A$114,$BV$205^A33,IF(A33='Données projet'!$A$114,'Données projet'!$B$114,BY32+BX33-CG32)))</f>
        <v>27.037499999999994</v>
      </c>
      <c r="BZ33" s="13">
        <f>BY33*VLOOKUP('Données projet'!$B$12,Paramètres!$A$1:$I$89,3,0)*VLOOKUP('Données projet'!$B$12,Paramètres!$A$1:$I$89,5,0)</f>
        <v>23.619959999999999</v>
      </c>
      <c r="CA33" s="13">
        <f t="shared" si="39"/>
        <v>7.5332352290691205</v>
      </c>
      <c r="CB33" s="20">
        <f t="shared" si="10"/>
        <v>54.258481690628713</v>
      </c>
      <c r="CC33" s="59">
        <f t="shared" si="11"/>
        <v>347.591815023962</v>
      </c>
      <c r="CD33" s="59">
        <f ca="1">AVERAGE(OFFSET($CC$3,0,0,'Données projet'!$E$12+1,1))-AVERAGE(OFFSET($H$3,0,0,'Données projet'!$E$12+1,1))</f>
        <v>93.329407403816901</v>
      </c>
      <c r="CE33" s="59">
        <f t="shared" si="40"/>
        <v>90.925148357295313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5.0469999999999997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328</v>
      </c>
      <c r="CR33" s="12">
        <f>VLOOKUP(A33,'Données projet'!$A$139:$I$159,9,0)</f>
        <v>24</v>
      </c>
      <c r="CS33" s="12">
        <f t="array" ref="CS33">INDEX(CR:CR,MIN(IF(ISNUMBER(CR33:CR229),ROW(CR33:CR229),"")))</f>
        <v>24</v>
      </c>
      <c r="CT33" s="12">
        <f>IF('Données projet'!$A$140&gt;35,CT32+CS33-DB32,IF(A33&lt;'Données projet'!$A$140,$CQ$205^A33,IF(A33='Données projet'!$A$140,'Données projet'!$B$140,CT32+CS33-DB32)))</f>
        <v>328</v>
      </c>
      <c r="CU33" s="17">
        <f>CT33*VLOOKUP('Données projet'!$B$13,Paramètres!$A$1:$I$89,3,0)*VLOOKUP('Données projet'!$B$13,Paramètres!$A$1:$I$89,5,0)</f>
        <v>312.12479999999999</v>
      </c>
      <c r="CV33" s="13">
        <f t="shared" si="41"/>
        <v>73.71239641577975</v>
      </c>
      <c r="CW33" s="20">
        <f t="shared" si="13"/>
        <v>671.9997837574831</v>
      </c>
      <c r="CX33" s="59">
        <f t="shared" si="14"/>
        <v>965.33311709081636</v>
      </c>
      <c r="CY33" s="59">
        <f ca="1">AVERAGE(OFFSET($CX$3,0,0,'Données projet'!$E$13+1,1))-AVERAGE(OFFSET($H$3,0,0,'Données projet'!$E$13+1,1))</f>
        <v>805.04572055352492</v>
      </c>
      <c r="CZ33" s="59">
        <f t="shared" si="42"/>
        <v>708.66645042414962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43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237</v>
      </c>
      <c r="DM33" s="12">
        <f>VLOOKUP(A33,'Données projet'!$A$165:$I$185,9,0)</f>
        <v>13.8</v>
      </c>
      <c r="DN33" s="12">
        <f t="array" ref="DN33">INDEX(DM:DM,MIN(IF(ISNUMBER(DM33:DM229),ROW(DM33:DM229),"")))</f>
        <v>13.8</v>
      </c>
      <c r="DO33" s="12">
        <f>IF('Données projet'!$A$166&gt;35,DO32+DN33-DW32,IF(A33&lt;'Données projet'!$A$166,$DL$205^A33,IF(A33='Données projet'!$A$166,'Données projet'!$B$166,DO32+DN33-DW32)))</f>
        <v>237.00000000000006</v>
      </c>
      <c r="DP33" s="17">
        <f>DO33*VLOOKUP('Données projet'!$B$14,Paramètres!$A$1:$I$89,3,0)*VLOOKUP('Données projet'!$B$14,Paramètres!$A$1:$I$89,5,0)</f>
        <v>158.97960000000003</v>
      </c>
      <c r="DQ33" s="13">
        <f t="shared" si="43"/>
        <v>40.6122757085909</v>
      </c>
      <c r="DR33" s="20">
        <f t="shared" si="16"/>
        <v>347.62251685912912</v>
      </c>
      <c r="DS33" s="59">
        <f t="shared" si="17"/>
        <v>640.95585019246244</v>
      </c>
      <c r="DT33" s="59">
        <f ca="1">AVERAGE(OFFSET($DS$3,0,0,'Données projet'!$E$14+1,1))-AVERAGE(OFFSET($H$3,0,0,'Données projet'!$E$14+1,1))</f>
        <v>482.69499576870095</v>
      </c>
      <c r="DU33" s="59">
        <f t="shared" si="44"/>
        <v>384.28918352579575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29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7.05</v>
      </c>
      <c r="EJ33" s="12">
        <f>IF('Données projet'!$A$192&gt;35,EJ32+EI33-ER32,IF(A33&lt;'Données projet'!$A$192,$EG$205^A33,IF(A33='Données projet'!$A$192,'Données projet'!$B$192,EJ32+EI33-ER32)))</f>
        <v>125.25</v>
      </c>
      <c r="EK33" s="17">
        <f>EJ33*VLOOKUP('Données projet'!$B$15,Paramètres!$A$1:$I$89,3,0)*VLOOKUP('Données projet'!$B$15,Paramètres!$A$1:$I$89,5,0)</f>
        <v>91.833300000000008</v>
      </c>
      <c r="EL33" s="13">
        <f t="shared" si="45"/>
        <v>25.006852558064324</v>
      </c>
      <c r="EM33" s="20">
        <f t="shared" si="19"/>
        <v>203.49659903862869</v>
      </c>
      <c r="EN33" s="59">
        <f t="shared" si="20"/>
        <v>496.829932371962</v>
      </c>
      <c r="EO33" s="59">
        <f ca="1">AVERAGE(OFFSET($EN$3,0,0,'Données projet'!$E$15+1,1))-AVERAGE(OFFSET($H$3,0,0,'Données projet'!$E$15+1,1))</f>
        <v>197.34725966440715</v>
      </c>
      <c r="EP33" s="59">
        <f t="shared" si="46"/>
        <v>240.16326570529532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17.159111072039501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17.159111072039501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26.5</v>
      </c>
      <c r="FE33" s="12">
        <f>IF('Données projet'!$A$218&gt;35,FE32+FD33-FM32,IF(A33&lt;'Données projet'!$A$218,$FB$205^A33,IF(A33='Données projet'!$A$218,'Données projet'!$B$218,FE32+FD33-FM32)))</f>
        <v>342.49999999999994</v>
      </c>
      <c r="FF33" s="17">
        <f>FE33*VLOOKUP('Données projet'!$B$16,Paramètres!$A$1:$I$89,3,0)*VLOOKUP('Données projet'!$B$16,Paramètres!$A$1:$I$89,5,0)</f>
        <v>191.45749999999998</v>
      </c>
      <c r="FG33" s="13">
        <f t="shared" si="47"/>
        <v>47.862041953929108</v>
      </c>
      <c r="FH33" s="20">
        <f t="shared" si="22"/>
        <v>416.81486890309316</v>
      </c>
      <c r="FI33" s="59">
        <f t="shared" si="23"/>
        <v>710.14820223642641</v>
      </c>
      <c r="FJ33" s="59">
        <f ca="1">AVERAGE(OFFSET($FI$3,0,0,'Données projet'!$E$16+1,1))-AVERAGE(OFFSET($H$3,0,0,'Données projet'!$E$16+1,1))</f>
        <v>346.42094266871379</v>
      </c>
      <c r="FK33" s="59">
        <f t="shared" si="48"/>
        <v>453.48153556975973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4.9900164612150695</v>
      </c>
      <c r="FR33" s="21">
        <f>EXP(-LN(2)/25)*FR32+(1-EXP(-LN(2)/25))/(LN(2)/25)*Calculateur!FM33*Calculateur!FO33*VLOOKUP('Données projet'!$B$16,Paramètres!$A$1:$I$89,3,0)*0.475*44/12</f>
        <v>38.15116606717848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43.14118252839355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194.7</v>
      </c>
      <c r="FX33" s="12">
        <f>VLOOKUP(A33,'Données projet'!$A$243:$I$263,9,0)</f>
        <v>9.1999999999999993</v>
      </c>
      <c r="FY33" s="12">
        <f t="array" ref="FY33">INDEX(FX:FX,MIN(IF(ISNUMBER(FX33:FX229),ROW(FX33:FX229),"")))</f>
        <v>9.1999999999999993</v>
      </c>
      <c r="FZ33" s="12">
        <f>IF('Données projet'!$A$244&gt;35,FZ32+FY33-GH32,IF(A33&lt;'Données projet'!$A$244,$FW$205^A33,IF(A33='Données projet'!$A$244,'Données projet'!$B$244,FZ32+FY33-GH32)))</f>
        <v>194.6999999999999</v>
      </c>
      <c r="GA33" s="17">
        <f>FZ33*VLOOKUP('Données projet'!$B$17,Paramètres!$A$1:$I$89,3,0)*VLOOKUP('Données projet'!$B$17,Paramètres!$A$1:$I$89,5,0)</f>
        <v>91.119599999999949</v>
      </c>
      <c r="GB33" s="13">
        <f t="shared" si="49"/>
        <v>24.835050956064173</v>
      </c>
      <c r="GC33" s="20">
        <f t="shared" si="25"/>
        <v>201.954350415145</v>
      </c>
      <c r="GD33" s="59">
        <f t="shared" si="26"/>
        <v>495.28768374847834</v>
      </c>
      <c r="GE33" s="59">
        <f ca="1">AVERAGE(OFFSET($GD$3,0,0,'Données projet'!$E$17+1,1))-AVERAGE(OFFSET($H$3,0,0,'Données projet'!$E$17+1,1))</f>
        <v>198.26255998041</v>
      </c>
      <c r="GF33" s="59">
        <f t="shared" si="50"/>
        <v>238.62101708181166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48.674999999999997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0.55000000000000004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30.80900940035367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30.80900940035367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132</v>
      </c>
      <c r="GS33" s="12">
        <f>VLOOKUP(A33,'Données projet'!$A$269:$I$289,9,0)</f>
        <v>9.6666666666666661</v>
      </c>
      <c r="GT33" s="12">
        <f t="array" ref="GT33">INDEX(GS:GS,MIN(IF(ISNUMBER(GS33:GS229),ROW(GS33:GS229),"")))</f>
        <v>9.6666666666666661</v>
      </c>
      <c r="GU33" s="12">
        <f>IF('Données projet'!$A$270&gt;35,GU32+GT33-HC32,IF(A33&lt;'Données projet'!$A$270,$GR$205^A33,IF(A33='Données projet'!$A$270,'Données projet'!$B$270,GU32+GT33-HC32)))</f>
        <v>132</v>
      </c>
      <c r="GV33" s="17">
        <f>GU33*VLOOKUP('Données projet'!$B$18,Paramètres!$A$1:$I$89,3,0)*VLOOKUP('Données projet'!$B$18,Paramètres!$A$1:$I$89,5,0)</f>
        <v>152.06399999999999</v>
      </c>
      <c r="GW33" s="13">
        <f t="shared" si="51"/>
        <v>39.047263305417459</v>
      </c>
      <c r="GX33" s="20">
        <f t="shared" si="28"/>
        <v>332.85211692360207</v>
      </c>
      <c r="GY33" s="59">
        <f t="shared" si="29"/>
        <v>626.18545025693538</v>
      </c>
      <c r="GZ33" s="59">
        <f ca="1">AVERAGE(OFFSET($GY$3,0,0,'Données projet'!$E$18+1,1))-AVERAGE(OFFSET($H$3,0,0,'Données projet'!$E$18+1,1))</f>
        <v>604.0566904089452</v>
      </c>
      <c r="HA33" s="59">
        <f t="shared" si="52"/>
        <v>369.5187835902687</v>
      </c>
      <c r="HB33" s="15">
        <f>IF(ISNA(VLOOKUP(A33,'Données projet'!$A$269:$I$289,3,0)),0,VLOOKUP(A33,'Données projet'!$A$269:$I$289,3,0))</f>
        <v>2</v>
      </c>
      <c r="HC33" s="15">
        <f>IF(ISNA(VLOOKUP(A33,'Données projet'!$A$269:$I$289,4,0)),0,VLOOKUP(A33,'Données projet'!$A$269:$I$289,4,0))</f>
        <v>13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0.45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9.9447187822490317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9.9447187822490317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</v>
      </c>
      <c r="N34" s="13">
        <f>IF('Données projet'!$A$36&gt;35,N33+M34-V33,IF(A34&lt;'Données projet'!$A$36,$K$205^A34,IF(A34='Données projet'!$A$36,'Données projet'!$B$36,N33+M34-V33)))</f>
        <v>124</v>
      </c>
      <c r="O34" s="13">
        <f>N34*VLOOKUP('Données projet'!$B$9,Paramètres!$A$1:$I$89,3,0)*VLOOKUP('Données projet'!$B$9,Paramètres!$A$1:$I$89,5,0)</f>
        <v>112.1952</v>
      </c>
      <c r="P34" s="13">
        <f t="shared" si="33"/>
        <v>29.847594514573263</v>
      </c>
      <c r="Q34" s="20">
        <f t="shared" si="2"/>
        <v>247.39120044621509</v>
      </c>
      <c r="R34" s="59">
        <f t="shared" si="0"/>
        <v>540.72453377954844</v>
      </c>
      <c r="S34" s="59">
        <f ca="1">AVERAGE(OFFSET($R$3,0,0,'Données projet'!$E$9+1,1))-AVERAGE(OFFSET($H$3,0,0,'Données projet'!$E$9+1,1))</f>
        <v>528.20489749461376</v>
      </c>
      <c r="T34" s="59">
        <f t="shared" si="34"/>
        <v>276.26988364830532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</v>
      </c>
      <c r="AI34" s="13">
        <f>IF('Données projet'!$A$62&gt;35,AI33+AH34-AQ33,IF(A34&lt;'Données projet'!$A$62,$AF$205^A34,IF(A34='Données projet'!$A$62,'Données projet'!$B$62,AI33+AH34-AQ33)))</f>
        <v>288.60000000000014</v>
      </c>
      <c r="AJ34" s="13">
        <f>AI34*VLOOKUP('Données projet'!$B$10,Paramètres!$A$1:$I$89,3,0)*VLOOKUP('Données projet'!$B$10,Paramètres!$A$1:$I$89,5,0)</f>
        <v>261.12528000000009</v>
      </c>
      <c r="AK34" s="13">
        <f t="shared" si="35"/>
        <v>62.962181856353716</v>
      </c>
      <c r="AL34" s="20">
        <f t="shared" si="4"/>
        <v>564.45232939981622</v>
      </c>
      <c r="AM34" s="59">
        <f t="shared" si="5"/>
        <v>857.78566273314959</v>
      </c>
      <c r="AN34" s="59">
        <f ca="1">AVERAGE(OFFSET($AM$3,0,0,'Données projet'!$E$10+1,1))-AVERAGE(OFFSET($H$3,0,0,'Données projet'!$E$10+1,1))</f>
        <v>436.23918637269577</v>
      </c>
      <c r="AO34" s="59">
        <f t="shared" si="36"/>
        <v>611.43967996341894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2.4711515817331562</v>
      </c>
      <c r="AV34" s="21">
        <f>EXP(-LN(2)/25)*AV33+(1-EXP(-LN(2)/25))/(LN(2)/25)*Calculateur!AQ34*Calculateur!AS34*VLOOKUP('Données projet'!$B$10,Paramètres!$A$1:$I$89,3,0)*0.475*44/12</f>
        <v>12.076916786387388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14.548068368120544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155</v>
      </c>
      <c r="BB34" s="12">
        <f>VLOOKUP(A34,'Données projet'!$A$87:$I$107,9,0)</f>
        <v>11.5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154.99999999999994</v>
      </c>
      <c r="BE34" s="13">
        <f>BD34*VLOOKUP('Données projet'!$B$11,Paramètres!$A$1:$I$89,3,0)*VLOOKUP('Données projet'!$B$11,Paramètres!$A$1:$I$89,5,0)</f>
        <v>120.89999999999996</v>
      </c>
      <c r="BF34" s="13">
        <f t="shared" si="37"/>
        <v>31.884818143351602</v>
      </c>
      <c r="BG34" s="20">
        <f t="shared" si="7"/>
        <v>266.10022493300397</v>
      </c>
      <c r="BH34" s="59">
        <f t="shared" si="8"/>
        <v>559.43355826633729</v>
      </c>
      <c r="BI34" s="59">
        <f ca="1">AVERAGE(OFFSET($BH$3,0,0,'Données projet'!$E$11+1,1))-AVERAGE(OFFSET($H$3,0,0,'Données projet'!$E$11+1,1))</f>
        <v>288.82868507674738</v>
      </c>
      <c r="BJ34" s="59">
        <f t="shared" si="38"/>
        <v>283.48738729114024</v>
      </c>
      <c r="BK34" s="15">
        <f>IF(ISNA(VLOOKUP(A34,'Données projet'!$A$87:$I$107,3,0)),0,VLOOKUP(A34,'Données projet'!$A$87:$I$107,3,0))</f>
        <v>4</v>
      </c>
      <c r="BL34" s="15">
        <f>IF(ISNA(VLOOKUP(A34,'Données projet'!$A$87:$I$107,4,0)),0,VLOOKUP(A34,'Données projet'!$A$87:$I$107,4,0))</f>
        <v>36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2.4514000000000018</v>
      </c>
      <c r="BY34" s="12">
        <f>IF('Données projet'!$A$114&gt;35,BY33+BX34-CG33,IF(A34&lt;'Données projet'!$A$114,$BV$205^A34,IF(A34='Données projet'!$A$114,'Données projet'!$B$114,BY33+BX34-CG33)))</f>
        <v>24.441899999999997</v>
      </c>
      <c r="BZ34" s="13">
        <f>BY34*VLOOKUP('Données projet'!$B$12,Paramètres!$A$1:$I$89,3,0)*VLOOKUP('Données projet'!$B$12,Paramètres!$A$1:$I$89,5,0)</f>
        <v>21.352443840000003</v>
      </c>
      <c r="CA34" s="13">
        <f t="shared" si="39"/>
        <v>6.8905193060796792</v>
      </c>
      <c r="CB34" s="20">
        <f t="shared" si="10"/>
        <v>49.189827479422114</v>
      </c>
      <c r="CC34" s="59">
        <f t="shared" si="11"/>
        <v>342.52316081275541</v>
      </c>
      <c r="CD34" s="59">
        <f ca="1">AVERAGE(OFFSET($CC$3,0,0,'Données projet'!$E$12+1,1))-AVERAGE(OFFSET($H$3,0,0,'Données projet'!$E$12+1,1))</f>
        <v>93.329407403816901</v>
      </c>
      <c r="CE34" s="59">
        <f t="shared" si="40"/>
        <v>90.925148357295313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20.399999999999999</v>
      </c>
      <c r="CT34" s="12">
        <f>IF('Données projet'!$A$140&gt;35,CT33+CS34-DB33,IF(A34&lt;'Données projet'!$A$140,$CQ$205^A34,IF(A34='Données projet'!$A$140,'Données projet'!$B$140,CT33+CS34-DB33)))</f>
        <v>305.39999999999998</v>
      </c>
      <c r="CU34" s="17">
        <f>CT34*VLOOKUP('Données projet'!$B$13,Paramètres!$A$1:$I$89,3,0)*VLOOKUP('Données projet'!$B$13,Paramètres!$A$1:$I$89,5,0)</f>
        <v>290.61863999999997</v>
      </c>
      <c r="CV34" s="13">
        <f t="shared" si="41"/>
        <v>69.206148371471954</v>
      </c>
      <c r="CW34" s="20">
        <f t="shared" si="13"/>
        <v>626.69483974698016</v>
      </c>
      <c r="CX34" s="59">
        <f t="shared" si="14"/>
        <v>920.02817308031354</v>
      </c>
      <c r="CY34" s="59">
        <f ca="1">AVERAGE(OFFSET($CX$3,0,0,'Données projet'!$E$13+1,1))-AVERAGE(OFFSET($H$3,0,0,'Données projet'!$E$13+1,1))</f>
        <v>805.04572055352492</v>
      </c>
      <c r="CZ34" s="59">
        <f t="shared" si="42"/>
        <v>708.66645042414962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13</v>
      </c>
      <c r="DO34" s="12">
        <f>IF('Données projet'!$A$166&gt;35,DO33+DN34-DW33,IF(A34&lt;'Données projet'!$A$166,$DL$205^A34,IF(A34='Données projet'!$A$166,'Données projet'!$B$166,DO33+DN34-DW33)))</f>
        <v>221.00000000000006</v>
      </c>
      <c r="DP34" s="17">
        <f>DO34*VLOOKUP('Données projet'!$B$14,Paramètres!$A$1:$I$89,3,0)*VLOOKUP('Données projet'!$B$14,Paramètres!$A$1:$I$89,5,0)</f>
        <v>148.24680000000006</v>
      </c>
      <c r="DQ34" s="13">
        <f t="shared" si="43"/>
        <v>38.179892421047185</v>
      </c>
      <c r="DR34" s="20">
        <f t="shared" si="16"/>
        <v>324.69315596665729</v>
      </c>
      <c r="DS34" s="59">
        <f t="shared" si="17"/>
        <v>618.02648929999054</v>
      </c>
      <c r="DT34" s="59">
        <f ca="1">AVERAGE(OFFSET($DS$3,0,0,'Données projet'!$E$14+1,1))-AVERAGE(OFFSET($H$3,0,0,'Données projet'!$E$14+1,1))</f>
        <v>482.69499576870095</v>
      </c>
      <c r="DU34" s="59">
        <f t="shared" si="44"/>
        <v>384.28918352579575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7.05</v>
      </c>
      <c r="EJ34" s="12">
        <f>IF('Données projet'!$A$192&gt;35,EJ33+EI34-ER33,IF(A34&lt;'Données projet'!$A$192,$EG$205^A34,IF(A34='Données projet'!$A$192,'Données projet'!$B$192,EJ33+EI34-ER33)))</f>
        <v>132.30000000000001</v>
      </c>
      <c r="EK34" s="17">
        <f>EJ34*VLOOKUP('Données projet'!$B$15,Paramètres!$A$1:$I$89,3,0)*VLOOKUP('Données projet'!$B$15,Paramètres!$A$1:$I$89,5,0)</f>
        <v>97.00236000000001</v>
      </c>
      <c r="EL34" s="13">
        <f t="shared" si="45"/>
        <v>26.246591112950082</v>
      </c>
      <c r="EM34" s="20">
        <f t="shared" si="19"/>
        <v>214.65858985505474</v>
      </c>
      <c r="EN34" s="59">
        <f t="shared" si="20"/>
        <v>507.99192318838806</v>
      </c>
      <c r="EO34" s="59">
        <f ca="1">AVERAGE(OFFSET($EN$3,0,0,'Données projet'!$E$15+1,1))-AVERAGE(OFFSET($H$3,0,0,'Données projet'!$E$15+1,1))</f>
        <v>197.34725966440715</v>
      </c>
      <c r="EP34" s="59">
        <f t="shared" si="46"/>
        <v>240.16326570529532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16.689894277416148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16.689894277416148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26.5</v>
      </c>
      <c r="FE34" s="12">
        <f>IF('Données projet'!$A$218&gt;35,FE33+FD34-FM33,IF(A34&lt;'Données projet'!$A$218,$FB$205^A34,IF(A34='Données projet'!$A$218,'Données projet'!$B$218,FE33+FD34-FM33)))</f>
        <v>368.99999999999994</v>
      </c>
      <c r="FF34" s="17">
        <f>FE34*VLOOKUP('Données projet'!$B$16,Paramètres!$A$1:$I$89,3,0)*VLOOKUP('Données projet'!$B$16,Paramètres!$A$1:$I$89,5,0)</f>
        <v>206.27099999999996</v>
      </c>
      <c r="FG34" s="13">
        <f t="shared" si="47"/>
        <v>51.119857609331589</v>
      </c>
      <c r="FH34" s="20">
        <f t="shared" si="22"/>
        <v>448.2890770029191</v>
      </c>
      <c r="FI34" s="59">
        <f t="shared" si="23"/>
        <v>741.62241033625241</v>
      </c>
      <c r="FJ34" s="59">
        <f ca="1">AVERAGE(OFFSET($FI$3,0,0,'Données projet'!$E$16+1,1))-AVERAGE(OFFSET($H$3,0,0,'Données projet'!$E$16+1,1))</f>
        <v>346.42094266871379</v>
      </c>
      <c r="FK34" s="59">
        <f t="shared" si="48"/>
        <v>453.48153556975973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4.8921652820201516</v>
      </c>
      <c r="FR34" s="21">
        <f>EXP(-LN(2)/25)*FR33+(1-EXP(-LN(2)/25))/(LN(2)/25)*Calculateur!FM34*Calculateur!FO34*VLOOKUP('Données projet'!$B$16,Paramètres!$A$1:$I$89,3,0)*0.475*44/12</f>
        <v>37.107920424788858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42.00008570680901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</v>
      </c>
      <c r="FZ34" s="12">
        <f>IF('Données projet'!$A$244&gt;35,FZ33+FY34-GH33,IF(A34&lt;'Données projet'!$A$244,$FW$205^A34,IF(A34='Données projet'!$A$244,'Données projet'!$B$244,FZ33+FY34-GH33)))</f>
        <v>156.02499999999992</v>
      </c>
      <c r="GA34" s="17">
        <f>FZ34*VLOOKUP('Données projet'!$B$17,Paramètres!$A$1:$I$89,3,0)*VLOOKUP('Données projet'!$B$17,Paramètres!$A$1:$I$89,5,0)</f>
        <v>73.019699999999958</v>
      </c>
      <c r="GB34" s="13">
        <f t="shared" si="49"/>
        <v>20.421502318973651</v>
      </c>
      <c r="GC34" s="20">
        <f t="shared" si="25"/>
        <v>162.74342737221238</v>
      </c>
      <c r="GD34" s="59">
        <f t="shared" si="26"/>
        <v>456.07676070554567</v>
      </c>
      <c r="GE34" s="59">
        <f ca="1">AVERAGE(OFFSET($GD$3,0,0,'Données projet'!$E$17+1,1))-AVERAGE(OFFSET($H$3,0,0,'Données projet'!$E$17+1,1))</f>
        <v>198.26255998041</v>
      </c>
      <c r="GF34" s="59">
        <f t="shared" si="50"/>
        <v>238.62101708181166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29.966535418125609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29.966535418125609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10</v>
      </c>
      <c r="GU34" s="12">
        <f>IF('Données projet'!$A$270&gt;35,GU33+GT34-HC33,IF(A34&lt;'Données projet'!$A$270,$GR$205^A34,IF(A34='Données projet'!$A$270,'Données projet'!$B$270,GU33+GT34-HC33)))</f>
        <v>129</v>
      </c>
      <c r="GV34" s="17">
        <f>GU34*VLOOKUP('Données projet'!$B$18,Paramètres!$A$1:$I$89,3,0)*VLOOKUP('Données projet'!$B$18,Paramètres!$A$1:$I$89,5,0)</f>
        <v>148.60799999999998</v>
      </c>
      <c r="GW34" s="13">
        <f t="shared" si="51"/>
        <v>38.262077180570529</v>
      </c>
      <c r="GX34" s="20">
        <f t="shared" si="28"/>
        <v>325.4653844228269</v>
      </c>
      <c r="GY34" s="59">
        <f t="shared" si="29"/>
        <v>618.79871775616016</v>
      </c>
      <c r="GZ34" s="59">
        <f ca="1">AVERAGE(OFFSET($GY$3,0,0,'Données projet'!$E$18+1,1))-AVERAGE(OFFSET($H$3,0,0,'Données projet'!$E$18+1,1))</f>
        <v>604.0566904089452</v>
      </c>
      <c r="HA34" s="59">
        <f t="shared" si="52"/>
        <v>369.5187835902687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9.6727799241783998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9.6727799241783998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</v>
      </c>
      <c r="N35" s="13">
        <f>IF('Données projet'!$A$36&gt;35,N34+M35-V34,IF(A35&lt;'Données projet'!$A$36,$K$205^A35,IF(A35='Données projet'!$A$36,'Données projet'!$B$36,N34+M35-V34)))</f>
        <v>128</v>
      </c>
      <c r="O35" s="13">
        <f>N35*VLOOKUP('Données projet'!$B$9,Paramètres!$A$1:$I$89,3,0)*VLOOKUP('Données projet'!$B$9,Paramètres!$A$1:$I$89,5,0)</f>
        <v>115.81439999999999</v>
      </c>
      <c r="P35" s="13">
        <f t="shared" si="33"/>
        <v>30.696768873861398</v>
      </c>
      <c r="Q35" s="20">
        <f t="shared" ref="Q35:Q66" si="53">(O35+P35)*0.475*44/12</f>
        <v>255.17361912197524</v>
      </c>
      <c r="R35" s="59">
        <f t="shared" si="0"/>
        <v>548.50695245530858</v>
      </c>
      <c r="S35" s="59">
        <f ca="1">AVERAGE(OFFSET($R$3,0,0,'Données projet'!$E$9+1,1))-AVERAGE(OFFSET($H$3,0,0,'Données projet'!$E$9+1,1))</f>
        <v>528.20489749461376</v>
      </c>
      <c r="T35" s="59">
        <f t="shared" si="34"/>
        <v>276.26988364830532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</v>
      </c>
      <c r="AI35" s="13">
        <f>IF('Données projet'!$A$62&gt;35,AI34+AH35-AQ34,IF(A35&lt;'Données projet'!$A$62,$AF$205^A35,IF(A35='Données projet'!$A$62,'Données projet'!$B$62,AI34+AH35-AQ34)))</f>
        <v>297.20000000000016</v>
      </c>
      <c r="AJ35" s="13">
        <f>AI35*VLOOKUP('Données projet'!$B$10,Paramètres!$A$1:$I$89,3,0)*VLOOKUP('Données projet'!$B$10,Paramètres!$A$1:$I$89,5,0)</f>
        <v>268.90656000000013</v>
      </c>
      <c r="AK35" s="13">
        <f t="shared" si="35"/>
        <v>64.617158945843826</v>
      </c>
      <c r="AL35" s="20">
        <f t="shared" si="4"/>
        <v>580.88714383067816</v>
      </c>
      <c r="AM35" s="59">
        <f t="shared" si="5"/>
        <v>874.22047716401153</v>
      </c>
      <c r="AN35" s="59">
        <f ca="1">AVERAGE(OFFSET($AM$3,0,0,'Données projet'!$E$10+1,1))-AVERAGE(OFFSET($H$3,0,0,'Données projet'!$E$10+1,1))</f>
        <v>436.23918637269577</v>
      </c>
      <c r="AO35" s="59">
        <f t="shared" si="36"/>
        <v>611.43967996341894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2.4226938064690051</v>
      </c>
      <c r="AV35" s="21">
        <f>EXP(-LN(2)/25)*AV34+(1-EXP(-LN(2)/25))/(LN(2)/25)*Calculateur!AQ35*Calculateur!AS35*VLOOKUP('Données projet'!$B$10,Paramètres!$A$1:$I$89,3,0)*0.475*44/12</f>
        <v>11.746672861766173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14.169366668235178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</v>
      </c>
      <c r="BD35" s="12">
        <f>IF('Données projet'!$A$88&gt;35,BD34+BC35-BL34,IF(A35&lt;'Données projet'!$A$88,$BA$205^A35,IF(A35='Données projet'!$A$88,'Données projet'!$B$88,BD34+BC35-BL34)))</f>
        <v>130.49999999999994</v>
      </c>
      <c r="BE35" s="13">
        <f>BD35*VLOOKUP('Données projet'!$B$11,Paramètres!$A$1:$I$89,3,0)*VLOOKUP('Données projet'!$B$11,Paramètres!$A$1:$I$89,5,0)</f>
        <v>101.78999999999996</v>
      </c>
      <c r="BF35" s="13">
        <f t="shared" si="37"/>
        <v>27.38799903683508</v>
      </c>
      <c r="BG35" s="20">
        <f t="shared" si="7"/>
        <v>224.98501498915437</v>
      </c>
      <c r="BH35" s="59">
        <f t="shared" si="8"/>
        <v>518.31834832248774</v>
      </c>
      <c r="BI35" s="59">
        <f ca="1">AVERAGE(OFFSET($BH$3,0,0,'Données projet'!$E$11+1,1))-AVERAGE(OFFSET($H$3,0,0,'Données projet'!$E$11+1,1))</f>
        <v>288.82868507674738</v>
      </c>
      <c r="BJ35" s="59">
        <f t="shared" si="38"/>
        <v>283.48738729114024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2.4514000000000018</v>
      </c>
      <c r="BY35" s="12">
        <f>IF('Données projet'!$A$114&gt;35,BY34+BX35-CG34,IF(A35&lt;'Données projet'!$A$114,$BV$205^A35,IF(A35='Données projet'!$A$114,'Données projet'!$B$114,BY34+BX35-CG34)))</f>
        <v>26.8933</v>
      </c>
      <c r="BZ35" s="13">
        <f>BY35*VLOOKUP('Données projet'!$B$12,Paramètres!$A$1:$I$89,3,0)*VLOOKUP('Données projet'!$B$12,Paramètres!$A$1:$I$89,5,0)</f>
        <v>23.493986880000001</v>
      </c>
      <c r="CA35" s="13">
        <f t="shared" si="39"/>
        <v>7.4977235656189514</v>
      </c>
      <c r="CB35" s="20">
        <f t="shared" si="10"/>
        <v>53.977229026119666</v>
      </c>
      <c r="CC35" s="59">
        <f t="shared" si="11"/>
        <v>347.310562359453</v>
      </c>
      <c r="CD35" s="59">
        <f ca="1">AVERAGE(OFFSET($CC$3,0,0,'Données projet'!$E$12+1,1))-AVERAGE(OFFSET($H$3,0,0,'Données projet'!$E$12+1,1))</f>
        <v>93.329407403816901</v>
      </c>
      <c r="CE35" s="59">
        <f t="shared" si="40"/>
        <v>90.925148357295313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20.399999999999999</v>
      </c>
      <c r="CT35" s="12">
        <f>IF('Données projet'!$A$140&gt;35,CT34+CS35-DB34,IF(A35&lt;'Données projet'!$A$140,$CQ$205^A35,IF(A35='Données projet'!$A$140,'Données projet'!$B$140,CT34+CS35-DB34)))</f>
        <v>325.79999999999995</v>
      </c>
      <c r="CU35" s="17">
        <f>CT35*VLOOKUP('Données projet'!$B$13,Paramètres!$A$1:$I$89,3,0)*VLOOKUP('Données projet'!$B$13,Paramètres!$A$1:$I$89,5,0)</f>
        <v>310.03127999999998</v>
      </c>
      <c r="CV35" s="13">
        <f t="shared" si="41"/>
        <v>73.275362642397909</v>
      </c>
      <c r="CW35" s="20">
        <f t="shared" si="13"/>
        <v>667.59240260217632</v>
      </c>
      <c r="CX35" s="59">
        <f t="shared" si="14"/>
        <v>960.92573593550969</v>
      </c>
      <c r="CY35" s="59">
        <f ca="1">AVERAGE(OFFSET($CX$3,0,0,'Données projet'!$E$13+1,1))-AVERAGE(OFFSET($H$3,0,0,'Données projet'!$E$13+1,1))</f>
        <v>805.04572055352492</v>
      </c>
      <c r="CZ35" s="59">
        <f t="shared" si="42"/>
        <v>708.66645042414962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13</v>
      </c>
      <c r="DO35" s="12">
        <f>IF('Données projet'!$A$166&gt;35,DO34+DN35-DW34,IF(A35&lt;'Données projet'!$A$166,$DL$205^A35,IF(A35='Données projet'!$A$166,'Données projet'!$B$166,DO34+DN35-DW34)))</f>
        <v>234.00000000000006</v>
      </c>
      <c r="DP35" s="17">
        <f>DO35*VLOOKUP('Données projet'!$B$14,Paramètres!$A$1:$I$89,3,0)*VLOOKUP('Données projet'!$B$14,Paramètres!$A$1:$I$89,5,0)</f>
        <v>156.96720000000005</v>
      </c>
      <c r="DQ35" s="13">
        <f t="shared" si="43"/>
        <v>40.157698885918435</v>
      </c>
      <c r="DR35" s="20">
        <f t="shared" si="16"/>
        <v>343.32586555964139</v>
      </c>
      <c r="DS35" s="59">
        <f t="shared" si="17"/>
        <v>636.6591988929747</v>
      </c>
      <c r="DT35" s="59">
        <f ca="1">AVERAGE(OFFSET($DS$3,0,0,'Données projet'!$E$14+1,1))-AVERAGE(OFFSET($H$3,0,0,'Données projet'!$E$14+1,1))</f>
        <v>482.69499576870095</v>
      </c>
      <c r="DU35" s="59">
        <f t="shared" si="44"/>
        <v>384.28918352579575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7.05</v>
      </c>
      <c r="EJ35" s="12">
        <f>IF('Données projet'!$A$192&gt;35,EJ34+EI35-ER34,IF(A35&lt;'Données projet'!$A$192,$EG$205^A35,IF(A35='Données projet'!$A$192,'Données projet'!$B$192,EJ34+EI35-ER34)))</f>
        <v>139.35000000000002</v>
      </c>
      <c r="EK35" s="17">
        <f>EJ35*VLOOKUP('Données projet'!$B$15,Paramètres!$A$1:$I$89,3,0)*VLOOKUP('Données projet'!$B$15,Paramètres!$A$1:$I$89,5,0)</f>
        <v>102.17142000000001</v>
      </c>
      <c r="EL35" s="13">
        <f t="shared" si="45"/>
        <v>27.478659882957807</v>
      </c>
      <c r="EM35" s="20">
        <f t="shared" si="19"/>
        <v>225.8072224628182</v>
      </c>
      <c r="EN35" s="59">
        <f t="shared" si="20"/>
        <v>519.14055579615149</v>
      </c>
      <c r="EO35" s="59">
        <f ca="1">AVERAGE(OFFSET($EN$3,0,0,'Données projet'!$E$15+1,1))-AVERAGE(OFFSET($H$3,0,0,'Données projet'!$E$15+1,1))</f>
        <v>197.34725966440715</v>
      </c>
      <c r="EP35" s="59">
        <f t="shared" si="46"/>
        <v>240.16326570529532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16.233508240716809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16.233508240716809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26.5</v>
      </c>
      <c r="FE35" s="12">
        <f>IF('Données projet'!$A$218&gt;35,FE34+FD35-FM34,IF(A35&lt;'Données projet'!$A$218,$FB$205^A35,IF(A35='Données projet'!$A$218,'Données projet'!$B$218,FE34+FD35-FM34)))</f>
        <v>395.49999999999994</v>
      </c>
      <c r="FF35" s="17">
        <f>FE35*VLOOKUP('Données projet'!$B$16,Paramètres!$A$1:$I$89,3,0)*VLOOKUP('Données projet'!$B$16,Paramètres!$A$1:$I$89,5,0)</f>
        <v>221.08449999999996</v>
      </c>
      <c r="FG35" s="13">
        <f t="shared" si="47"/>
        <v>54.350528935727127</v>
      </c>
      <c r="FH35" s="20">
        <f t="shared" si="22"/>
        <v>479.71600872972459</v>
      </c>
      <c r="FI35" s="59">
        <f t="shared" si="23"/>
        <v>773.04934206305791</v>
      </c>
      <c r="FJ35" s="59">
        <f ca="1">AVERAGE(OFFSET($FI$3,0,0,'Données projet'!$E$16+1,1))-AVERAGE(OFFSET($H$3,0,0,'Données projet'!$E$16+1,1))</f>
        <v>346.42094266871379</v>
      </c>
      <c r="FK35" s="59">
        <f t="shared" si="48"/>
        <v>453.48153556975973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4.7962329047659198</v>
      </c>
      <c r="FR35" s="21">
        <f>EXP(-LN(2)/25)*FR34+(1-EXP(-LN(2)/25))/(LN(2)/25)*Calculateur!FM35*Calculateur!FO35*VLOOKUP('Données projet'!$B$16,Paramètres!$A$1:$I$89,3,0)*0.475*44/12</f>
        <v>36.093202389352285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40.889435294118208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</v>
      </c>
      <c r="FZ35" s="12">
        <f>IF('Données projet'!$A$244&gt;35,FZ34+FY35-GH34,IF(A35&lt;'Données projet'!$A$244,$FW$205^A35,IF(A35='Données projet'!$A$244,'Données projet'!$B$244,FZ34+FY35-GH34)))</f>
        <v>166.02499999999992</v>
      </c>
      <c r="GA35" s="17">
        <f>FZ35*VLOOKUP('Données projet'!$B$17,Paramètres!$A$1:$I$89,3,0)*VLOOKUP('Données projet'!$B$17,Paramètres!$A$1:$I$89,5,0)</f>
        <v>77.699699999999964</v>
      </c>
      <c r="GB35" s="13">
        <f t="shared" si="49"/>
        <v>21.573797375192402</v>
      </c>
      <c r="GC35" s="20">
        <f t="shared" si="25"/>
        <v>172.90134126179336</v>
      </c>
      <c r="GD35" s="59">
        <f t="shared" si="26"/>
        <v>466.23467459512665</v>
      </c>
      <c r="GE35" s="59">
        <f ca="1">AVERAGE(OFFSET($GD$3,0,0,'Données projet'!$E$17+1,1))-AVERAGE(OFFSET($H$3,0,0,'Données projet'!$E$17+1,1))</f>
        <v>198.26255998041</v>
      </c>
      <c r="GF35" s="59">
        <f t="shared" si="50"/>
        <v>238.62101708181166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29.147098931245356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29.147098931245356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10</v>
      </c>
      <c r="GU35" s="12">
        <f>IF('Données projet'!$A$270&gt;35,GU34+GT35-HC34,IF(A35&lt;'Données projet'!$A$270,$GR$205^A35,IF(A35='Données projet'!$A$270,'Données projet'!$B$270,GU34+GT35-HC34)))</f>
        <v>139</v>
      </c>
      <c r="GV35" s="17">
        <f>GU35*VLOOKUP('Données projet'!$B$18,Paramètres!$A$1:$I$89,3,0)*VLOOKUP('Données projet'!$B$18,Paramètres!$A$1:$I$89,5,0)</f>
        <v>160.12799999999999</v>
      </c>
      <c r="GW35" s="13">
        <f t="shared" si="51"/>
        <v>40.871384820164067</v>
      </c>
      <c r="GX35" s="20">
        <f t="shared" si="28"/>
        <v>350.07392856178575</v>
      </c>
      <c r="GY35" s="59">
        <f t="shared" si="29"/>
        <v>643.40726189511906</v>
      </c>
      <c r="GZ35" s="59">
        <f ca="1">AVERAGE(OFFSET($GY$3,0,0,'Données projet'!$E$18+1,1))-AVERAGE(OFFSET($H$3,0,0,'Données projet'!$E$18+1,1))</f>
        <v>604.0566904089452</v>
      </c>
      <c r="HA35" s="59">
        <f t="shared" si="52"/>
        <v>369.5187835902687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9.4082772484823529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9.4082772484823529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</v>
      </c>
      <c r="N36" s="13">
        <f>IF('Données projet'!$A$36&gt;35,N35+M36-V35,IF(A36&lt;'Données projet'!$A$36,$K$205^A36,IF(A36='Données projet'!$A$36,'Données projet'!$B$36,N35+M36-V35)))</f>
        <v>132</v>
      </c>
      <c r="O36" s="13">
        <f>N36*VLOOKUP('Données projet'!$B$9,Paramètres!$A$1:$I$89,3,0)*VLOOKUP('Données projet'!$B$9,Paramètres!$A$1:$I$89,5,0)</f>
        <v>119.43359999999998</v>
      </c>
      <c r="P36" s="13">
        <f t="shared" si="33"/>
        <v>31.54285944220668</v>
      </c>
      <c r="Q36" s="20">
        <f t="shared" si="53"/>
        <v>262.95066686184327</v>
      </c>
      <c r="R36" s="59">
        <f t="shared" si="0"/>
        <v>556.28400019517653</v>
      </c>
      <c r="S36" s="59">
        <f ca="1">AVERAGE(OFFSET($R$3,0,0,'Données projet'!$E$9+1,1))-AVERAGE(OFFSET($H$3,0,0,'Données projet'!$E$9+1,1))</f>
        <v>528.20489749461376</v>
      </c>
      <c r="T36" s="59">
        <f t="shared" si="34"/>
        <v>276.26988364830532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</v>
      </c>
      <c r="AI36" s="13">
        <f>IF('Données projet'!$A$62&gt;35,AI35+AH36-AQ35,IF(A36&lt;'Données projet'!$A$62,$AF$205^A36,IF(A36='Données projet'!$A$62,'Données projet'!$B$62,AI35+AH36-AQ35)))</f>
        <v>305.80000000000018</v>
      </c>
      <c r="AJ36" s="13">
        <f>AI36*VLOOKUP('Données projet'!$B$10,Paramètres!$A$1:$I$89,3,0)*VLOOKUP('Données projet'!$B$10,Paramètres!$A$1:$I$89,5,0)</f>
        <v>276.68784000000016</v>
      </c>
      <c r="AK36" s="13">
        <f t="shared" si="35"/>
        <v>66.266570237082931</v>
      </c>
      <c r="AL36" s="20">
        <f t="shared" si="4"/>
        <v>597.31226449625308</v>
      </c>
      <c r="AM36" s="59">
        <f t="shared" si="5"/>
        <v>890.64559782958645</v>
      </c>
      <c r="AN36" s="59">
        <f ca="1">AVERAGE(OFFSET($AM$3,0,0,'Données projet'!$E$10+1,1))-AVERAGE(OFFSET($H$3,0,0,'Données projet'!$E$10+1,1))</f>
        <v>436.23918637269577</v>
      </c>
      <c r="AO36" s="59">
        <f t="shared" si="36"/>
        <v>611.43967996341894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2.3751862586214596</v>
      </c>
      <c r="AV36" s="21">
        <f>EXP(-LN(2)/25)*AV35+(1-EXP(-LN(2)/25))/(LN(2)/25)*Calculateur!AQ36*Calculateur!AS36*VLOOKUP('Données projet'!$B$10,Paramètres!$A$1:$I$89,3,0)*0.475*44/12</f>
        <v>11.425459474630498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13.800645733251958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</v>
      </c>
      <c r="BD36" s="12">
        <f>IF('Données projet'!$A$88&gt;35,BD35+BC36-BL35,IF(A36&lt;'Données projet'!$A$88,$BA$205^A36,IF(A36='Données projet'!$A$88,'Données projet'!$B$88,BD35+BC36-BL35)))</f>
        <v>141.99999999999994</v>
      </c>
      <c r="BE36" s="13">
        <f>BD36*VLOOKUP('Données projet'!$B$11,Paramètres!$A$1:$I$89,3,0)*VLOOKUP('Données projet'!$B$11,Paramètres!$A$1:$I$89,5,0)</f>
        <v>110.75999999999996</v>
      </c>
      <c r="BF36" s="13">
        <f t="shared" si="37"/>
        <v>29.509974682362923</v>
      </c>
      <c r="BG36" s="20">
        <f t="shared" si="7"/>
        <v>244.30353923844871</v>
      </c>
      <c r="BH36" s="59">
        <f t="shared" si="8"/>
        <v>537.63687257178208</v>
      </c>
      <c r="BI36" s="59">
        <f ca="1">AVERAGE(OFFSET($BH$3,0,0,'Données projet'!$E$11+1,1))-AVERAGE(OFFSET($H$3,0,0,'Données projet'!$E$11+1,1))</f>
        <v>288.82868507674738</v>
      </c>
      <c r="BJ36" s="59">
        <f t="shared" si="38"/>
        <v>283.48738729114024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2.4514000000000018</v>
      </c>
      <c r="BY36" s="12">
        <f>IF('Données projet'!$A$114&gt;35,BY35+BX36-CG35,IF(A36&lt;'Données projet'!$A$114,$BV$205^A36,IF(A36='Données projet'!$A$114,'Données projet'!$B$114,BY35+BX36-CG35)))</f>
        <v>29.344700000000003</v>
      </c>
      <c r="BZ36" s="13">
        <f>BY36*VLOOKUP('Données projet'!$B$12,Paramètres!$A$1:$I$89,3,0)*VLOOKUP('Données projet'!$B$12,Paramètres!$A$1:$I$89,5,0)</f>
        <v>25.635529920000007</v>
      </c>
      <c r="CA36" s="13">
        <f t="shared" si="39"/>
        <v>8.098509957927412</v>
      </c>
      <c r="CB36" s="20">
        <f t="shared" si="10"/>
        <v>58.753452787390245</v>
      </c>
      <c r="CC36" s="59">
        <f t="shared" si="11"/>
        <v>352.08678612072356</v>
      </c>
      <c r="CD36" s="59">
        <f ca="1">AVERAGE(OFFSET($CC$3,0,0,'Données projet'!$E$12+1,1))-AVERAGE(OFFSET($H$3,0,0,'Données projet'!$E$12+1,1))</f>
        <v>93.329407403816901</v>
      </c>
      <c r="CE36" s="59">
        <f t="shared" si="40"/>
        <v>90.925148357295313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20.399999999999999</v>
      </c>
      <c r="CT36" s="12">
        <f>IF('Données projet'!$A$140&gt;35,CT35+CS36-DB35,IF(A36&lt;'Données projet'!$A$140,$CQ$205^A36,IF(A36='Données projet'!$A$140,'Données projet'!$B$140,CT35+CS36-DB35)))</f>
        <v>346.19999999999993</v>
      </c>
      <c r="CU36" s="17">
        <f>CT36*VLOOKUP('Données projet'!$B$13,Paramètres!$A$1:$I$89,3,0)*VLOOKUP('Données projet'!$B$13,Paramètres!$A$1:$I$89,5,0)</f>
        <v>329.44391999999993</v>
      </c>
      <c r="CV36" s="13">
        <f t="shared" si="41"/>
        <v>77.315006286529865</v>
      </c>
      <c r="CW36" s="20">
        <f t="shared" si="13"/>
        <v>708.4384632823726</v>
      </c>
      <c r="CX36" s="59">
        <f t="shared" si="14"/>
        <v>1001.7717966157059</v>
      </c>
      <c r="CY36" s="59">
        <f ca="1">AVERAGE(OFFSET($CX$3,0,0,'Données projet'!$E$13+1,1))-AVERAGE(OFFSET($H$3,0,0,'Données projet'!$E$13+1,1))</f>
        <v>805.04572055352492</v>
      </c>
      <c r="CZ36" s="59">
        <f t="shared" si="42"/>
        <v>708.66645042414962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13</v>
      </c>
      <c r="DO36" s="12">
        <f>IF('Données projet'!$A$166&gt;35,DO35+DN36-DW35,IF(A36&lt;'Données projet'!$A$166,$DL$205^A36,IF(A36='Données projet'!$A$166,'Données projet'!$B$166,DO35+DN36-DW35)))</f>
        <v>247.00000000000006</v>
      </c>
      <c r="DP36" s="17">
        <f>DO36*VLOOKUP('Données projet'!$B$14,Paramètres!$A$1:$I$89,3,0)*VLOOKUP('Données projet'!$B$14,Paramètres!$A$1:$I$89,5,0)</f>
        <v>165.68760000000003</v>
      </c>
      <c r="DQ36" s="13">
        <f t="shared" si="43"/>
        <v>42.122749874294207</v>
      </c>
      <c r="DR36" s="20">
        <f t="shared" si="16"/>
        <v>361.93635936439574</v>
      </c>
      <c r="DS36" s="59">
        <f t="shared" si="17"/>
        <v>655.26969269772906</v>
      </c>
      <c r="DT36" s="59">
        <f ca="1">AVERAGE(OFFSET($DS$3,0,0,'Données projet'!$E$14+1,1))-AVERAGE(OFFSET($H$3,0,0,'Données projet'!$E$14+1,1))</f>
        <v>482.69499576870095</v>
      </c>
      <c r="DU36" s="59">
        <f t="shared" si="44"/>
        <v>384.28918352579575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7.05</v>
      </c>
      <c r="EJ36" s="12">
        <f>IF('Données projet'!$A$192&gt;35,EJ35+EI36-ER35,IF(A36&lt;'Données projet'!$A$192,$EG$205^A36,IF(A36='Données projet'!$A$192,'Données projet'!$B$192,EJ35+EI36-ER35)))</f>
        <v>146.40000000000003</v>
      </c>
      <c r="EK36" s="17">
        <f>EJ36*VLOOKUP('Données projet'!$B$15,Paramètres!$A$1:$I$89,3,0)*VLOOKUP('Données projet'!$B$15,Paramètres!$A$1:$I$89,5,0)</f>
        <v>107.34048000000001</v>
      </c>
      <c r="EL36" s="13">
        <f t="shared" si="45"/>
        <v>28.703491169609141</v>
      </c>
      <c r="EM36" s="20">
        <f t="shared" si="19"/>
        <v>236.94324978706928</v>
      </c>
      <c r="EN36" s="59">
        <f t="shared" si="20"/>
        <v>530.27658312040262</v>
      </c>
      <c r="EO36" s="59">
        <f ca="1">AVERAGE(OFFSET($EN$3,0,0,'Données projet'!$E$15+1,1))-AVERAGE(OFFSET($H$3,0,0,'Données projet'!$E$15+1,1))</f>
        <v>197.34725966440715</v>
      </c>
      <c r="EP36" s="59">
        <f t="shared" si="46"/>
        <v>240.16326570529532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15.789602104191312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15.789602104191312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>
        <f>VLOOKUP(A36,'Données projet'!$A$217:$I$237,2,0)</f>
        <v>422</v>
      </c>
      <c r="FC36" s="12">
        <f>VLOOKUP(A36,'Données projet'!$A$217:$I$237,9,0)</f>
        <v>26.5</v>
      </c>
      <c r="FD36" s="12">
        <f t="array" ref="FD36">INDEX(FC:FC,MIN(IF(ISNUMBER(FC36:FC232),ROW(FC36:FC232),"")))</f>
        <v>26.5</v>
      </c>
      <c r="FE36" s="12">
        <f>IF('Données projet'!$A$218&gt;35,FE35+FD36-FM35,IF(A36&lt;'Données projet'!$A$218,$FB$205^A36,IF(A36='Données projet'!$A$218,'Données projet'!$B$218,FE35+FD36-FM35)))</f>
        <v>421.99999999999994</v>
      </c>
      <c r="FF36" s="17">
        <f>FE36*VLOOKUP('Données projet'!$B$16,Paramètres!$A$1:$I$89,3,0)*VLOOKUP('Données projet'!$B$16,Paramètres!$A$1:$I$89,5,0)</f>
        <v>235.89799999999997</v>
      </c>
      <c r="FG36" s="13">
        <f t="shared" si="47"/>
        <v>57.556081646252807</v>
      </c>
      <c r="FH36" s="20">
        <f t="shared" si="22"/>
        <v>511.09919220055696</v>
      </c>
      <c r="FI36" s="59">
        <f t="shared" si="23"/>
        <v>804.43252553389027</v>
      </c>
      <c r="FJ36" s="59">
        <f ca="1">AVERAGE(OFFSET($FI$3,0,0,'Données projet'!$E$16+1,1))-AVERAGE(OFFSET($H$3,0,0,'Données projet'!$E$16+1,1))</f>
        <v>346.42094266871379</v>
      </c>
      <c r="FK36" s="59">
        <f t="shared" si="48"/>
        <v>453.48153556975973</v>
      </c>
      <c r="FL36" s="15">
        <f>IF(ISNA(VLOOKUP(A36,'Données projet'!$A$217:$I$237,3,0)),0,VLOOKUP(A36,'Données projet'!$A$217:$I$237,3,0))</f>
        <v>3</v>
      </c>
      <c r="FM36" s="15">
        <f>IF(ISNA(VLOOKUP(A36,'Données projet'!$A$217:$I$237,4,0)),0,VLOOKUP(A36,'Données projet'!$A$217:$I$237,4,0))</f>
        <v>87</v>
      </c>
      <c r="FN36" s="16">
        <f>IF(ISNA(VLOOKUP(A36,'Données projet'!$A$217:$I$237,5,0)),0%,VLOOKUP(A36,'Données projet'!$A$217:$I$237,5,0)*VLOOKUP('Données projet'!$B$16,Paramètres!$A$1:$I$89,7,0))</f>
        <v>0.16500000000000001</v>
      </c>
      <c r="FO36" s="16">
        <f>IF(ISNA(VLOOKUP(A36,'Données projet'!$A$217:$I$237,6,0)),0%,VLOOKUP(A36,'Données projet'!$A$217:$I$237,6,0)*VLOOKUP('Données projet'!$B$16,Paramètres!$A$1:$I$89,7,0))</f>
        <v>0.27500000000000002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15.347125214546214</v>
      </c>
      <c r="FR36" s="21">
        <f>EXP(-LN(2)/25)*FR35+(1-EXP(-LN(2)/25))/(LN(2)/25)*Calculateur!FM36*Calculateur!FO36*VLOOKUP('Données projet'!$B$16,Paramètres!$A$1:$I$89,3,0)*0.475*44/12</f>
        <v>52.777949060261079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68.125074274807289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</v>
      </c>
      <c r="FZ36" s="12">
        <f>IF('Données projet'!$A$244&gt;35,FZ35+FY36-GH35,IF(A36&lt;'Données projet'!$A$244,$FW$205^A36,IF(A36='Données projet'!$A$244,'Données projet'!$B$244,FZ35+FY36-GH35)))</f>
        <v>176.02499999999992</v>
      </c>
      <c r="GA36" s="17">
        <f>FZ36*VLOOKUP('Données projet'!$B$17,Paramètres!$A$1:$I$89,3,0)*VLOOKUP('Données projet'!$B$17,Paramètres!$A$1:$I$89,5,0)</f>
        <v>82.379699999999971</v>
      </c>
      <c r="GB36" s="13">
        <f t="shared" si="49"/>
        <v>22.718036812754516</v>
      </c>
      <c r="GC36" s="20">
        <f t="shared" si="25"/>
        <v>183.04522494888076</v>
      </c>
      <c r="GD36" s="59">
        <f t="shared" si="26"/>
        <v>476.37855828221404</v>
      </c>
      <c r="GE36" s="59">
        <f ca="1">AVERAGE(OFFSET($GD$3,0,0,'Données projet'!$E$17+1,1))-AVERAGE(OFFSET($H$3,0,0,'Données projet'!$E$17+1,1))</f>
        <v>198.26255998041</v>
      </c>
      <c r="GF36" s="59">
        <f t="shared" si="50"/>
        <v>238.62101708181166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28.350069978191136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28.350069978191136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10</v>
      </c>
      <c r="GU36" s="12">
        <f>IF('Données projet'!$A$270&gt;35,GU35+GT36-HC35,IF(A36&lt;'Données projet'!$A$270,$GR$205^A36,IF(A36='Données projet'!$A$270,'Données projet'!$B$270,GU35+GT36-HC35)))</f>
        <v>149</v>
      </c>
      <c r="GV36" s="17">
        <f>GU36*VLOOKUP('Données projet'!$B$18,Paramètres!$A$1:$I$89,3,0)*VLOOKUP('Données projet'!$B$18,Paramètres!$A$1:$I$89,5,0)</f>
        <v>171.648</v>
      </c>
      <c r="GW36" s="13">
        <f t="shared" si="51"/>
        <v>43.458913267176278</v>
      </c>
      <c r="GX36" s="20">
        <f t="shared" si="28"/>
        <v>374.64454060699865</v>
      </c>
      <c r="GY36" s="59">
        <f t="shared" si="29"/>
        <v>667.97787394033196</v>
      </c>
      <c r="GZ36" s="59">
        <f ca="1">AVERAGE(OFFSET($GY$3,0,0,'Données projet'!$E$18+1,1))-AVERAGE(OFFSET($H$3,0,0,'Données projet'!$E$18+1,1))</f>
        <v>604.0566904089452</v>
      </c>
      <c r="HA36" s="59">
        <f t="shared" si="52"/>
        <v>369.5187835902687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9.1510074123628051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9.1510074123628051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</v>
      </c>
      <c r="N37" s="13">
        <f>IF('Données projet'!$A$36&gt;35,N36+M37-V36,IF(A37&lt;'Données projet'!$A$36,$K$205^A37,IF(A37='Données projet'!$A$36,'Données projet'!$B$36,N36+M37-V36)))</f>
        <v>136</v>
      </c>
      <c r="O37" s="13">
        <f>N37*VLOOKUP('Données projet'!$B$9,Paramètres!$A$1:$I$89,3,0)*VLOOKUP('Données projet'!$B$9,Paramètres!$A$1:$I$89,5,0)</f>
        <v>123.05279999999999</v>
      </c>
      <c r="P37" s="13">
        <f t="shared" si="33"/>
        <v>32.385970393750824</v>
      </c>
      <c r="Q37" s="20">
        <f t="shared" si="53"/>
        <v>270.72252510244931</v>
      </c>
      <c r="R37" s="59">
        <f t="shared" si="0"/>
        <v>564.05585843578262</v>
      </c>
      <c r="S37" s="59">
        <f ca="1">AVERAGE(OFFSET($R$3,0,0,'Données projet'!$E$9+1,1))-AVERAGE(OFFSET($H$3,0,0,'Données projet'!$E$9+1,1))</f>
        <v>528.20489749461376</v>
      </c>
      <c r="T37" s="59">
        <f t="shared" si="34"/>
        <v>276.26988364830532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</v>
      </c>
      <c r="AI37" s="13">
        <f>IF('Données projet'!$A$62&gt;35,AI36+AH37-AQ36,IF(A37&lt;'Données projet'!$A$62,$AF$205^A37,IF(A37='Données projet'!$A$62,'Données projet'!$B$62,AI36+AH37-AQ36)))</f>
        <v>314.4000000000002</v>
      </c>
      <c r="AJ37" s="13">
        <f>AI37*VLOOKUP('Données projet'!$B$10,Paramètres!$A$1:$I$89,3,0)*VLOOKUP('Données projet'!$B$10,Paramètres!$A$1:$I$89,5,0)</f>
        <v>284.4691200000002</v>
      </c>
      <c r="AK37" s="13">
        <f t="shared" si="35"/>
        <v>67.910590237379097</v>
      </c>
      <c r="AL37" s="20">
        <f t="shared" si="4"/>
        <v>613.72799533010232</v>
      </c>
      <c r="AM37" s="59">
        <f t="shared" si="5"/>
        <v>907.06132866343569</v>
      </c>
      <c r="AN37" s="59">
        <f ca="1">AVERAGE(OFFSET($AM$3,0,0,'Données projet'!$E$10+1,1))-AVERAGE(OFFSET($H$3,0,0,'Données projet'!$E$10+1,1))</f>
        <v>436.23918637269577</v>
      </c>
      <c r="AO37" s="59">
        <f t="shared" si="36"/>
        <v>611.43967996341894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2.3286103048104612</v>
      </c>
      <c r="AV37" s="21">
        <f>EXP(-LN(2)/25)*AV36+(1-EXP(-LN(2)/25))/(LN(2)/25)*Calculateur!AQ37*Calculateur!AS37*VLOOKUP('Données projet'!$B$10,Paramètres!$A$1:$I$89,3,0)*0.475*44/12</f>
        <v>11.113029684457928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13.441639989268388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11.5</v>
      </c>
      <c r="BD37" s="12">
        <f>IF('Données projet'!$A$88&gt;35,BD36+BC37-BL36,IF(A37&lt;'Données projet'!$A$88,$BA$205^A37,IF(A37='Données projet'!$A$88,'Données projet'!$B$88,BD36+BC37-BL36)))</f>
        <v>153.49999999999994</v>
      </c>
      <c r="BE37" s="13">
        <f>BD37*VLOOKUP('Données projet'!$B$11,Paramètres!$A$1:$I$89,3,0)*VLOOKUP('Données projet'!$B$11,Paramètres!$A$1:$I$89,5,0)</f>
        <v>119.72999999999996</v>
      </c>
      <c r="BF37" s="13">
        <f t="shared" si="37"/>
        <v>31.612017974790529</v>
      </c>
      <c r="BG37" s="20">
        <f t="shared" si="7"/>
        <v>263.58734797276003</v>
      </c>
      <c r="BH37" s="59">
        <f t="shared" si="8"/>
        <v>556.92068130609334</v>
      </c>
      <c r="BI37" s="59">
        <f ca="1">AVERAGE(OFFSET($BH$3,0,0,'Données projet'!$E$11+1,1))-AVERAGE(OFFSET($H$3,0,0,'Données projet'!$E$11+1,1))</f>
        <v>288.82868507674738</v>
      </c>
      <c r="BJ37" s="59">
        <f t="shared" si="38"/>
        <v>283.48738729114024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2.4514000000000018</v>
      </c>
      <c r="BY37" s="12">
        <f>IF('Données projet'!$A$114&gt;35,BY36+BX37-CG36,IF(A37&lt;'Données projet'!$A$114,$BV$205^A37,IF(A37='Données projet'!$A$114,'Données projet'!$B$114,BY36+BX37-CG36)))</f>
        <v>31.796100000000006</v>
      </c>
      <c r="BZ37" s="13">
        <f>BY37*VLOOKUP('Données projet'!$B$12,Paramètres!$A$1:$I$89,3,0)*VLOOKUP('Données projet'!$B$12,Paramètres!$A$1:$I$89,5,0)</f>
        <v>27.777072960000005</v>
      </c>
      <c r="CA37" s="13">
        <f t="shared" si="39"/>
        <v>8.6934755734471825</v>
      </c>
      <c r="CB37" s="20">
        <f t="shared" si="10"/>
        <v>63.519538695753845</v>
      </c>
      <c r="CC37" s="59">
        <f t="shared" si="11"/>
        <v>356.85287202908717</v>
      </c>
      <c r="CD37" s="59">
        <f ca="1">AVERAGE(OFFSET($CC$3,0,0,'Données projet'!$E$12+1,1))-AVERAGE(OFFSET($H$3,0,0,'Données projet'!$E$12+1,1))</f>
        <v>93.329407403816901</v>
      </c>
      <c r="CE37" s="59">
        <f t="shared" si="40"/>
        <v>90.925148357295313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20.399999999999999</v>
      </c>
      <c r="CT37" s="12">
        <f>IF('Données projet'!$A$140&gt;35,CT36+CS37-DB36,IF(A37&lt;'Données projet'!$A$140,$CQ$205^A37,IF(A37='Données projet'!$A$140,'Données projet'!$B$140,CT36+CS37-DB36)))</f>
        <v>366.59999999999991</v>
      </c>
      <c r="CU37" s="17">
        <f>CT37*VLOOKUP('Données projet'!$B$13,Paramètres!$A$1:$I$89,3,0)*VLOOKUP('Données projet'!$B$13,Paramètres!$A$1:$I$89,5,0)</f>
        <v>348.85655999999994</v>
      </c>
      <c r="CV37" s="13">
        <f t="shared" si="41"/>
        <v>81.327020245120494</v>
      </c>
      <c r="CW37" s="20">
        <f t="shared" si="13"/>
        <v>749.23640226025145</v>
      </c>
      <c r="CX37" s="59">
        <f t="shared" si="14"/>
        <v>1042.5697355935847</v>
      </c>
      <c r="CY37" s="59">
        <f ca="1">AVERAGE(OFFSET($CX$3,0,0,'Données projet'!$E$13+1,1))-AVERAGE(OFFSET($H$3,0,0,'Données projet'!$E$13+1,1))</f>
        <v>805.04572055352492</v>
      </c>
      <c r="CZ37" s="59">
        <f t="shared" si="42"/>
        <v>708.66645042414962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13</v>
      </c>
      <c r="DO37" s="12">
        <f>IF('Données projet'!$A$166&gt;35,DO36+DN37-DW36,IF(A37&lt;'Données projet'!$A$166,$DL$205^A37,IF(A37='Données projet'!$A$166,'Données projet'!$B$166,DO36+DN37-DW36)))</f>
        <v>260.00000000000006</v>
      </c>
      <c r="DP37" s="17">
        <f>DO37*VLOOKUP('Données projet'!$B$14,Paramètres!$A$1:$I$89,3,0)*VLOOKUP('Données projet'!$B$14,Paramètres!$A$1:$I$89,5,0)</f>
        <v>174.40800000000004</v>
      </c>
      <c r="DQ37" s="13">
        <f t="shared" si="43"/>
        <v>44.075793288194824</v>
      </c>
      <c r="DR37" s="20">
        <f t="shared" si="16"/>
        <v>380.52593997693936</v>
      </c>
      <c r="DS37" s="59">
        <f t="shared" si="17"/>
        <v>673.85927331027267</v>
      </c>
      <c r="DT37" s="59">
        <f ca="1">AVERAGE(OFFSET($DS$3,0,0,'Données projet'!$E$14+1,1))-AVERAGE(OFFSET($H$3,0,0,'Données projet'!$E$14+1,1))</f>
        <v>482.69499576870095</v>
      </c>
      <c r="DU37" s="59">
        <f t="shared" si="44"/>
        <v>384.28918352579575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7.05</v>
      </c>
      <c r="EJ37" s="12">
        <f>IF('Données projet'!$A$192&gt;35,EJ36+EI37-ER36,IF(A37&lt;'Données projet'!$A$192,$EG$205^A37,IF(A37='Données projet'!$A$192,'Données projet'!$B$192,EJ36+EI37-ER36)))</f>
        <v>153.45000000000005</v>
      </c>
      <c r="EK37" s="17">
        <f>EJ37*VLOOKUP('Données projet'!$B$15,Paramètres!$A$1:$I$89,3,0)*VLOOKUP('Données projet'!$B$15,Paramètres!$A$1:$I$89,5,0)</f>
        <v>112.50954000000002</v>
      </c>
      <c r="EL37" s="13">
        <f t="shared" si="45"/>
        <v>29.921473286359202</v>
      </c>
      <c r="EM37" s="20">
        <f t="shared" si="19"/>
        <v>248.06734814040897</v>
      </c>
      <c r="EN37" s="59">
        <f t="shared" si="20"/>
        <v>541.40068147374222</v>
      </c>
      <c r="EO37" s="59">
        <f ca="1">AVERAGE(OFFSET($EN$3,0,0,'Données projet'!$E$15+1,1))-AVERAGE(OFFSET($H$3,0,0,'Données projet'!$E$15+1,1))</f>
        <v>197.34725966440715</v>
      </c>
      <c r="EP37" s="59">
        <f t="shared" si="46"/>
        <v>240.16326570529532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15.357834604313114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15.357834604313114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26.5</v>
      </c>
      <c r="FE37" s="12">
        <f>IF('Données projet'!$A$218&gt;35,FE36+FD37-FM36,IF(A37&lt;'Données projet'!$A$218,$FB$205^A37,IF(A37='Données projet'!$A$218,'Données projet'!$B$218,FE36+FD37-FM36)))</f>
        <v>361.49999999999994</v>
      </c>
      <c r="FF37" s="17">
        <f>FE37*VLOOKUP('Données projet'!$B$16,Paramètres!$A$1:$I$89,3,0)*VLOOKUP('Données projet'!$B$16,Paramètres!$A$1:$I$89,5,0)</f>
        <v>202.07849999999996</v>
      </c>
      <c r="FG37" s="13">
        <f t="shared" si="47"/>
        <v>50.200683890817608</v>
      </c>
      <c r="FH37" s="20">
        <f t="shared" si="22"/>
        <v>439.38624527650722</v>
      </c>
      <c r="FI37" s="59">
        <f t="shared" si="23"/>
        <v>732.71957860984048</v>
      </c>
      <c r="FJ37" s="59">
        <f ca="1">AVERAGE(OFFSET($FI$3,0,0,'Données projet'!$E$16+1,1))-AVERAGE(OFFSET($H$3,0,0,'Données projet'!$E$16+1,1))</f>
        <v>346.42094266871379</v>
      </c>
      <c r="FK37" s="59">
        <f t="shared" si="48"/>
        <v>453.48153556975973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15.046177449911038</v>
      </c>
      <c r="FR37" s="21">
        <f>EXP(-LN(2)/25)*FR36+(1-EXP(-LN(2)/25))/(LN(2)/25)*Calculateur!FM37*Calculateur!FO37*VLOOKUP('Données projet'!$B$16,Paramètres!$A$1:$I$89,3,0)*0.475*44/12</f>
        <v>51.334733267736524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66.380910717647566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</v>
      </c>
      <c r="FZ37" s="12">
        <f>IF('Données projet'!$A$244&gt;35,FZ36+FY37-GH36,IF(A37&lt;'Données projet'!$A$244,$FW$205^A37,IF(A37='Données projet'!$A$244,'Données projet'!$B$244,FZ36+FY37-GH36)))</f>
        <v>186.02499999999992</v>
      </c>
      <c r="GA37" s="17">
        <f>FZ37*VLOOKUP('Données projet'!$B$17,Paramètres!$A$1:$I$89,3,0)*VLOOKUP('Données projet'!$B$17,Paramètres!$A$1:$I$89,5,0)</f>
        <v>87.059699999999964</v>
      </c>
      <c r="GB37" s="13">
        <f t="shared" si="49"/>
        <v>23.854730419729592</v>
      </c>
      <c r="GC37" s="20">
        <f t="shared" si="25"/>
        <v>193.17596631436231</v>
      </c>
      <c r="GD37" s="59">
        <f t="shared" si="26"/>
        <v>486.50929964769563</v>
      </c>
      <c r="GE37" s="59">
        <f ca="1">AVERAGE(OFFSET($GD$3,0,0,'Données projet'!$E$17+1,1))-AVERAGE(OFFSET($H$3,0,0,'Données projet'!$E$17+1,1))</f>
        <v>198.26255998041</v>
      </c>
      <c r="GF37" s="59">
        <f t="shared" si="50"/>
        <v>238.62101708181166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27.574835823772116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27.574835823772116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10</v>
      </c>
      <c r="GU37" s="12">
        <f>IF('Données projet'!$A$270&gt;35,GU36+GT37-HC36,IF(A37&lt;'Données projet'!$A$270,$GR$205^A37,IF(A37='Données projet'!$A$270,'Données projet'!$B$270,GU36+GT37-HC36)))</f>
        <v>159</v>
      </c>
      <c r="GV37" s="17">
        <f>GU37*VLOOKUP('Données projet'!$B$18,Paramètres!$A$1:$I$89,3,0)*VLOOKUP('Données projet'!$B$18,Paramètres!$A$1:$I$89,5,0)</f>
        <v>183.16799999999998</v>
      </c>
      <c r="GW37" s="13">
        <f t="shared" si="51"/>
        <v>46.026290521706215</v>
      </c>
      <c r="GX37" s="20">
        <f t="shared" si="28"/>
        <v>399.18005599197159</v>
      </c>
      <c r="GY37" s="59">
        <f t="shared" si="29"/>
        <v>692.51338932530484</v>
      </c>
      <c r="GZ37" s="59">
        <f ca="1">AVERAGE(OFFSET($GY$3,0,0,'Données projet'!$E$18+1,1))-AVERAGE(OFFSET($H$3,0,0,'Données projet'!$E$18+1,1))</f>
        <v>604.0566904089452</v>
      </c>
      <c r="HA37" s="59">
        <f t="shared" si="52"/>
        <v>369.5187835902687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8.9007726334411785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8.9007726334411785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</v>
      </c>
      <c r="N38" s="13">
        <f>IF('Données projet'!$A$36&gt;35,N37+M38-V37,IF(A38&lt;'Données projet'!$A$36,$K$205^A38,IF(A38='Données projet'!$A$36,'Données projet'!$B$36,N37+M38-V37)))</f>
        <v>140</v>
      </c>
      <c r="O38" s="13">
        <f>N38*VLOOKUP('Données projet'!$B$9,Paramètres!$A$1:$I$89,3,0)*VLOOKUP('Données projet'!$B$9,Paramètres!$A$1:$I$89,5,0)</f>
        <v>126.67199999999998</v>
      </c>
      <c r="P38" s="13">
        <f t="shared" si="33"/>
        <v>33.226199426361347</v>
      </c>
      <c r="Q38" s="20">
        <f t="shared" si="53"/>
        <v>278.48936400091264</v>
      </c>
      <c r="R38" s="59">
        <f t="shared" si="0"/>
        <v>571.82269733424596</v>
      </c>
      <c r="S38" s="59">
        <f ca="1">AVERAGE(OFFSET($R$3,0,0,'Données projet'!$E$9+1,1))-AVERAGE(OFFSET($H$3,0,0,'Données projet'!$E$9+1,1))</f>
        <v>528.20489749461376</v>
      </c>
      <c r="T38" s="59">
        <f t="shared" si="34"/>
        <v>276.26988364830532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323</v>
      </c>
      <c r="AG38" s="12">
        <f>VLOOKUP(A38,'Données projet'!$A$61:$I$81,9,0)</f>
        <v>8.6</v>
      </c>
      <c r="AH38" s="12">
        <f t="array" ref="AH38">INDEX(AG:AG,MIN(IF(ISNUMBER(AG38:AG234),ROW(AG38:AG234),"")))</f>
        <v>8.6</v>
      </c>
      <c r="AI38" s="13">
        <f>IF('Données projet'!$A$62&gt;35,AI37+AH38-AQ37,IF(A38&lt;'Données projet'!$A$62,$AF$205^A38,IF(A38='Données projet'!$A$62,'Données projet'!$B$62,AI37+AH38-AQ37)))</f>
        <v>323.00000000000023</v>
      </c>
      <c r="AJ38" s="13">
        <f>AI38*VLOOKUP('Données projet'!$B$10,Paramètres!$A$1:$I$89,3,0)*VLOOKUP('Données projet'!$B$10,Paramètres!$A$1:$I$89,5,0)</f>
        <v>292.25040000000018</v>
      </c>
      <c r="AK38" s="13">
        <f t="shared" si="35"/>
        <v>69.549383363839993</v>
      </c>
      <c r="AL38" s="20">
        <f t="shared" si="4"/>
        <v>630.13462269202159</v>
      </c>
      <c r="AM38" s="59">
        <f t="shared" si="5"/>
        <v>923.46795602535485</v>
      </c>
      <c r="AN38" s="59">
        <f ca="1">AVERAGE(OFFSET($AM$3,0,0,'Données projet'!$E$10+1,1))-AVERAGE(OFFSET($H$3,0,0,'Données projet'!$E$10+1,1))</f>
        <v>436.23918637269577</v>
      </c>
      <c r="AO38" s="59">
        <f t="shared" si="36"/>
        <v>611.43967996341894</v>
      </c>
      <c r="AP38" s="15">
        <f>IF(ISNA(VLOOKUP(A38,'Données projet'!$A$61:$I$81,3,0)),0,VLOOKUP(A38,'Données projet'!$A$61:$I$81,3,0))</f>
        <v>7</v>
      </c>
      <c r="AQ38" s="15">
        <f>IF(ISNA(VLOOKUP(A38,'Données projet'!$A$61:$I$81,4,0)),0,VLOOKUP(A38,'Données projet'!$A$61:$I$81,4,0))</f>
        <v>11</v>
      </c>
      <c r="AR38" s="16">
        <f>IF(ISNA(VLOOKUP(A38,'Données projet'!$A$61:$I$81,5,0)),0%,VLOOKUP(A38,'Données projet'!$A$61:$I$81,5,0)*VLOOKUP('Données projet'!$B$10,Paramètres!$A$1:$I$89,7,0))</f>
        <v>0.18</v>
      </c>
      <c r="AS38" s="16">
        <f>IF(ISNA(VLOOKUP(A38,'Données projet'!$A$61:$I$81,6,0)),0%,VLOOKUP(A38,'Données projet'!$A$61:$I$81,6,0)*VLOOKUP('Données projet'!$B$10,Paramètres!$A$1:$I$89,7,0))</f>
        <v>0.06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4.2634022838599677</v>
      </c>
      <c r="AV38" s="21">
        <f>EXP(-LN(2)/25)*AV37+(1-EXP(-LN(2)/25))/(LN(2)/25)*Calculateur!AQ38*Calculateur!AS38*VLOOKUP('Données projet'!$B$10,Paramètres!$A$1:$I$89,3,0)*0.475*44/12</f>
        <v>11.466695570799393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15.730097854659361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11.5</v>
      </c>
      <c r="BD38" s="12">
        <f>IF('Données projet'!$A$88&gt;35,BD37+BC38-BL37,IF(A38&lt;'Données projet'!$A$88,$BA$205^A38,IF(A38='Données projet'!$A$88,'Données projet'!$B$88,BD37+BC38-BL37)))</f>
        <v>164.99999999999994</v>
      </c>
      <c r="BE38" s="13">
        <f>BD38*VLOOKUP('Données projet'!$B$11,Paramètres!$A$1:$I$89,3,0)*VLOOKUP('Données projet'!$B$11,Paramètres!$A$1:$I$89,5,0)</f>
        <v>128.69999999999996</v>
      </c>
      <c r="BF38" s="13">
        <f t="shared" si="37"/>
        <v>33.695792019186115</v>
      </c>
      <c r="BG38" s="20">
        <f t="shared" si="7"/>
        <v>282.83933776674911</v>
      </c>
      <c r="BH38" s="59">
        <f t="shared" si="8"/>
        <v>576.17267110008243</v>
      </c>
      <c r="BI38" s="59">
        <f ca="1">AVERAGE(OFFSET($BH$3,0,0,'Données projet'!$E$11+1,1))-AVERAGE(OFFSET($H$3,0,0,'Données projet'!$E$11+1,1))</f>
        <v>288.82868507674738</v>
      </c>
      <c r="BJ38" s="59">
        <f t="shared" si="38"/>
        <v>283.48738729114024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34.247500000000002</v>
      </c>
      <c r="BW38" s="12">
        <f>VLOOKUP(A38,'Données projet'!$A$113:$I$133,9,0)</f>
        <v>2.4514000000000018</v>
      </c>
      <c r="BX38" s="12">
        <f t="array" ref="BX38">INDEX(BW:BW,MIN(IF(ISNUMBER(BW38:BW234),ROW(BW38:BW234),"")))</f>
        <v>2.4514000000000018</v>
      </c>
      <c r="BY38" s="12">
        <f>IF('Données projet'!$A$114&gt;35,BY37+BX38-CG37,IF(A38&lt;'Données projet'!$A$114,$BV$205^A38,IF(A38='Données projet'!$A$114,'Données projet'!$B$114,BY37+BX38-CG37)))</f>
        <v>34.247500000000009</v>
      </c>
      <c r="BZ38" s="13">
        <f>BY38*VLOOKUP('Données projet'!$B$12,Paramètres!$A$1:$I$89,3,0)*VLOOKUP('Données projet'!$B$12,Paramètres!$A$1:$I$89,5,0)</f>
        <v>29.918616000000011</v>
      </c>
      <c r="CA38" s="13">
        <f t="shared" si="39"/>
        <v>9.2831202037010101</v>
      </c>
      <c r="CB38" s="20">
        <f t="shared" si="10"/>
        <v>68.276357221445934</v>
      </c>
      <c r="CC38" s="59">
        <f t="shared" si="11"/>
        <v>361.60969055477926</v>
      </c>
      <c r="CD38" s="59">
        <f ca="1">AVERAGE(OFFSET($CC$3,0,0,'Données projet'!$E$12+1,1))-AVERAGE(OFFSET($H$3,0,0,'Données projet'!$E$12+1,1))</f>
        <v>93.329407403816901</v>
      </c>
      <c r="CE38" s="59">
        <f t="shared" si="40"/>
        <v>90.925148357295313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5.0469999999999997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387</v>
      </c>
      <c r="CR38" s="12">
        <f>VLOOKUP(A38,'Données projet'!$A$139:$I$159,9,0)</f>
        <v>20.399999999999999</v>
      </c>
      <c r="CS38" s="12">
        <f t="array" ref="CS38">INDEX(CR:CR,MIN(IF(ISNUMBER(CR38:CR234),ROW(CR38:CR234),"")))</f>
        <v>20.399999999999999</v>
      </c>
      <c r="CT38" s="12">
        <f>IF('Données projet'!$A$140&gt;35,CT37+CS38-DB37,IF(A38&lt;'Données projet'!$A$140,$CQ$205^A38,IF(A38='Données projet'!$A$140,'Données projet'!$B$140,CT37+CS38-DB37)))</f>
        <v>386.99999999999989</v>
      </c>
      <c r="CU38" s="17">
        <f>CT38*VLOOKUP('Données projet'!$B$13,Paramètres!$A$1:$I$89,3,0)*VLOOKUP('Données projet'!$B$13,Paramètres!$A$1:$I$89,5,0)</f>
        <v>368.2691999999999</v>
      </c>
      <c r="CV38" s="13">
        <f t="shared" si="41"/>
        <v>85.313117246096752</v>
      </c>
      <c r="CW38" s="20">
        <f t="shared" si="13"/>
        <v>789.98920253695167</v>
      </c>
      <c r="CX38" s="59">
        <f t="shared" si="14"/>
        <v>1083.322535870285</v>
      </c>
      <c r="CY38" s="59">
        <f ca="1">AVERAGE(OFFSET($CX$3,0,0,'Données projet'!$E$13+1,1))-AVERAGE(OFFSET($H$3,0,0,'Données projet'!$E$13+1,1))</f>
        <v>805.04572055352492</v>
      </c>
      <c r="CZ38" s="59">
        <f t="shared" si="42"/>
        <v>708.66645042414962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49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273</v>
      </c>
      <c r="DM38" s="12">
        <f>VLOOKUP(A38,'Données projet'!$A$165:$I$185,9,0)</f>
        <v>13</v>
      </c>
      <c r="DN38" s="12">
        <f t="array" ref="DN38">INDEX(DM:DM,MIN(IF(ISNUMBER(DM38:DM234),ROW(DM38:DM234),"")))</f>
        <v>13</v>
      </c>
      <c r="DO38" s="12">
        <f>IF('Données projet'!$A$166&gt;35,DO37+DN38-DW37,IF(A38&lt;'Données projet'!$A$166,$DL$205^A38,IF(A38='Données projet'!$A$166,'Données projet'!$B$166,DO37+DN38-DW37)))</f>
        <v>273.00000000000006</v>
      </c>
      <c r="DP38" s="17">
        <f>DO38*VLOOKUP('Données projet'!$B$14,Paramètres!$A$1:$I$89,3,0)*VLOOKUP('Données projet'!$B$14,Paramètres!$A$1:$I$89,5,0)</f>
        <v>183.12840000000006</v>
      </c>
      <c r="DQ38" s="13">
        <f t="shared" si="43"/>
        <v>46.017498014577718</v>
      </c>
      <c r="DR38" s="20">
        <f t="shared" si="16"/>
        <v>399.09577237538957</v>
      </c>
      <c r="DS38" s="59">
        <f t="shared" si="17"/>
        <v>692.42910570872289</v>
      </c>
      <c r="DT38" s="59">
        <f ca="1">AVERAGE(OFFSET($DS$3,0,0,'Données projet'!$E$14+1,1))-AVERAGE(OFFSET($H$3,0,0,'Données projet'!$E$14+1,1))</f>
        <v>482.69499576870095</v>
      </c>
      <c r="DU38" s="59">
        <f t="shared" si="44"/>
        <v>384.28918352579575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29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7.05</v>
      </c>
      <c r="EJ38" s="12">
        <f>IF('Données projet'!$A$192&gt;35,EJ37+EI38-ER37,IF(A38&lt;'Données projet'!$A$192,$EG$205^A38,IF(A38='Données projet'!$A$192,'Données projet'!$B$192,EJ37+EI38-ER37)))</f>
        <v>160.50000000000006</v>
      </c>
      <c r="EK38" s="17">
        <f>EJ38*VLOOKUP('Données projet'!$B$15,Paramètres!$A$1:$I$89,3,0)*VLOOKUP('Données projet'!$B$15,Paramètres!$A$1:$I$89,5,0)</f>
        <v>117.67860000000003</v>
      </c>
      <c r="EL38" s="13">
        <f t="shared" si="45"/>
        <v>31.132956849137852</v>
      </c>
      <c r="EM38" s="20">
        <f t="shared" si="19"/>
        <v>259.18012817891514</v>
      </c>
      <c r="EN38" s="59">
        <f t="shared" si="20"/>
        <v>552.51346151224845</v>
      </c>
      <c r="EO38" s="59">
        <f ca="1">AVERAGE(OFFSET($EN$3,0,0,'Données projet'!$E$15+1,1))-AVERAGE(OFFSET($H$3,0,0,'Données projet'!$E$15+1,1))</f>
        <v>197.34725966440715</v>
      </c>
      <c r="EP38" s="59">
        <f t="shared" si="46"/>
        <v>240.16326570529532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14.937873809424751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14.937873809424751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26.5</v>
      </c>
      <c r="FE38" s="12">
        <f>IF('Données projet'!$A$218&gt;35,FE37+FD38-FM37,IF(A38&lt;'Données projet'!$A$218,$FB$205^A38,IF(A38='Données projet'!$A$218,'Données projet'!$B$218,FE37+FD38-FM37)))</f>
        <v>387.99999999999994</v>
      </c>
      <c r="FF38" s="17">
        <f>FE38*VLOOKUP('Données projet'!$B$16,Paramètres!$A$1:$I$89,3,0)*VLOOKUP('Données projet'!$B$16,Paramètres!$A$1:$I$89,5,0)</f>
        <v>216.89199999999997</v>
      </c>
      <c r="FG38" s="13">
        <f t="shared" si="47"/>
        <v>53.438818926738605</v>
      </c>
      <c r="FH38" s="20">
        <f t="shared" si="22"/>
        <v>470.82617629740298</v>
      </c>
      <c r="FI38" s="59">
        <f t="shared" si="23"/>
        <v>764.15950963073624</v>
      </c>
      <c r="FJ38" s="59">
        <f ca="1">AVERAGE(OFFSET($FI$3,0,0,'Données projet'!$E$16+1,1))-AVERAGE(OFFSET($H$3,0,0,'Données projet'!$E$16+1,1))</f>
        <v>346.42094266871379</v>
      </c>
      <c r="FK38" s="59">
        <f t="shared" si="48"/>
        <v>453.48153556975973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14.751131087380347</v>
      </c>
      <c r="FR38" s="21">
        <f>EXP(-LN(2)/25)*FR37+(1-EXP(-LN(2)/25))/(LN(2)/25)*Calculateur!FM38*Calculateur!FO38*VLOOKUP('Données projet'!$B$16,Paramètres!$A$1:$I$89,3,0)*0.475*44/12</f>
        <v>49.930982286953977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64.682113374334321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10</v>
      </c>
      <c r="FZ38" s="12">
        <f>IF('Données projet'!$A$244&gt;35,FZ37+FY38-GH37,IF(A38&lt;'Données projet'!$A$244,$FW$205^A38,IF(A38='Données projet'!$A$244,'Données projet'!$B$244,FZ37+FY38-GH37)))</f>
        <v>196.02499999999992</v>
      </c>
      <c r="GA38" s="17">
        <f>FZ38*VLOOKUP('Données projet'!$B$17,Paramètres!$A$1:$I$89,3,0)*VLOOKUP('Données projet'!$B$17,Paramètres!$A$1:$I$89,5,0)</f>
        <v>91.739699999999971</v>
      </c>
      <c r="GB38" s="13">
        <f t="shared" si="49"/>
        <v>24.98433008014544</v>
      </c>
      <c r="GC38" s="20">
        <f t="shared" si="25"/>
        <v>203.29435238958658</v>
      </c>
      <c r="GD38" s="59">
        <f t="shared" si="26"/>
        <v>496.62768572291986</v>
      </c>
      <c r="GE38" s="59">
        <f ca="1">AVERAGE(OFFSET($GD$3,0,0,'Données projet'!$E$17+1,1))-AVERAGE(OFFSET($H$3,0,0,'Données projet'!$E$17+1,1))</f>
        <v>198.26255998041</v>
      </c>
      <c r="GF38" s="59">
        <f t="shared" si="50"/>
        <v>238.62101708181166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26.820800488073473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26.820800488073473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169</v>
      </c>
      <c r="GS38" s="12">
        <f>VLOOKUP(A38,'Données projet'!$A$269:$I$289,9,0)</f>
        <v>10</v>
      </c>
      <c r="GT38" s="12">
        <f t="array" ref="GT38">INDEX(GS:GS,MIN(IF(ISNUMBER(GS38:GS234),ROW(GS38:GS234),"")))</f>
        <v>10</v>
      </c>
      <c r="GU38" s="12">
        <f>IF('Données projet'!$A$270&gt;35,GU37+GT38-HC37,IF(A38&lt;'Données projet'!$A$270,$GR$205^A38,IF(A38='Données projet'!$A$270,'Données projet'!$B$270,GU37+GT38-HC37)))</f>
        <v>169</v>
      </c>
      <c r="GV38" s="17">
        <f>GU38*VLOOKUP('Données projet'!$B$18,Paramètres!$A$1:$I$89,3,0)*VLOOKUP('Données projet'!$B$18,Paramètres!$A$1:$I$89,5,0)</f>
        <v>194.68799999999996</v>
      </c>
      <c r="GW38" s="13">
        <f t="shared" si="51"/>
        <v>48.574928228914978</v>
      </c>
      <c r="GX38" s="20">
        <f t="shared" si="28"/>
        <v>423.68293333202683</v>
      </c>
      <c r="GY38" s="59">
        <f t="shared" si="29"/>
        <v>717.01626666536015</v>
      </c>
      <c r="GZ38" s="59">
        <f ca="1">AVERAGE(OFFSET($GY$3,0,0,'Données projet'!$E$18+1,1))-AVERAGE(OFFSET($H$3,0,0,'Données projet'!$E$18+1,1))</f>
        <v>604.0566904089452</v>
      </c>
      <c r="HA38" s="59">
        <f t="shared" si="52"/>
        <v>369.5187835902687</v>
      </c>
      <c r="HB38" s="15">
        <f>IF(ISNA(VLOOKUP(A38,'Données projet'!$A$269:$I$289,3,0)),0,VLOOKUP(A38,'Données projet'!$A$269:$I$289,3,0))</f>
        <v>3</v>
      </c>
      <c r="HC38" s="15">
        <f>IF(ISNA(VLOOKUP(A38,'Données projet'!$A$269:$I$289,4,0)),0,VLOOKUP(A38,'Données projet'!$A$269:$I$289,4,0))</f>
        <v>23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0.45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17.191130968220214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17.191130968220214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144</v>
      </c>
      <c r="L39" s="12">
        <f>VLOOKUP(A39,'Données projet'!$A$35:$I$55,9,0)</f>
        <v>4</v>
      </c>
      <c r="M39" s="12">
        <f t="array" ref="M39">INDEX(L:L,MIN(IF(ISNUMBER(L39:L235),ROW(L39:L235),"")))</f>
        <v>4</v>
      </c>
      <c r="N39" s="13">
        <f>IF('Données projet'!$A$36&gt;35,N38+M39-V38,IF(A39&lt;'Données projet'!$A$36,$K$205^A39,IF(A39='Données projet'!$A$36,'Données projet'!$B$36,N38+M39-V38)))</f>
        <v>144</v>
      </c>
      <c r="O39" s="13">
        <f>N39*VLOOKUP('Données projet'!$B$9,Paramètres!$A$1:$I$89,3,0)*VLOOKUP('Données projet'!$B$9,Paramètres!$A$1:$I$89,5,0)</f>
        <v>130.2912</v>
      </c>
      <c r="P39" s="13">
        <f t="shared" si="33"/>
        <v>34.063638337638949</v>
      </c>
      <c r="Q39" s="20">
        <f t="shared" si="53"/>
        <v>286.25134343805456</v>
      </c>
      <c r="R39" s="59">
        <f t="shared" si="0"/>
        <v>579.58467677138788</v>
      </c>
      <c r="S39" s="59">
        <f ca="1">AVERAGE(OFFSET($R$3,0,0,'Données projet'!$E$9+1,1))-AVERAGE(OFFSET($H$3,0,0,'Données projet'!$E$9+1,1))</f>
        <v>528.20489749461376</v>
      </c>
      <c r="T39" s="59">
        <f t="shared" si="34"/>
        <v>276.26988364830532</v>
      </c>
      <c r="U39" s="15">
        <f>IF(ISNA(VLOOKUP(A39,'Données projet'!$A$35:$I$55,3,0)),0,VLOOKUP(A39,'Données projet'!$A$35:$I$55,3,0))</f>
        <v>1</v>
      </c>
      <c r="V39" s="15">
        <f>IF(ISNA(VLOOKUP(A39,'Données projet'!$A$35:$I$55,4,0)),0,VLOOKUP(A39,'Données projet'!$A$35:$I$55,4,0))</f>
        <v>34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7.6</v>
      </c>
      <c r="AI39" s="13">
        <f>IF('Données projet'!$A$62&gt;35,AI38+AH39-AQ38,IF(A39&lt;'Données projet'!$A$62,$AF$205^A39,IF(A39='Données projet'!$A$62,'Données projet'!$B$62,AI38+AH39-AQ38)))</f>
        <v>319.60000000000025</v>
      </c>
      <c r="AJ39" s="13">
        <f>AI39*VLOOKUP('Données projet'!$B$10,Paramètres!$A$1:$I$89,3,0)*VLOOKUP('Données projet'!$B$10,Paramètres!$A$1:$I$89,5,0)</f>
        <v>289.17408000000023</v>
      </c>
      <c r="AK39" s="13">
        <f t="shared" si="35"/>
        <v>68.902103026957732</v>
      </c>
      <c r="AL39" s="20">
        <f t="shared" si="4"/>
        <v>623.64935210528506</v>
      </c>
      <c r="AM39" s="59">
        <f t="shared" si="5"/>
        <v>916.98268543861832</v>
      </c>
      <c r="AN39" s="59">
        <f ca="1">AVERAGE(OFFSET($AM$3,0,0,'Données projet'!$E$10+1,1))-AVERAGE(OFFSET($H$3,0,0,'Données projet'!$E$10+1,1))</f>
        <v>436.23918637269577</v>
      </c>
      <c r="AO39" s="59">
        <f t="shared" si="36"/>
        <v>611.43967996341894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4.1797995654920967</v>
      </c>
      <c r="AV39" s="21">
        <f>EXP(-LN(2)/25)*AV38+(1-EXP(-LN(2)/25))/(LN(2)/25)*Calculateur!AQ39*Calculateur!AS39*VLOOKUP('Données projet'!$B$10,Paramètres!$A$1:$I$89,3,0)*0.475*44/12</f>
        <v>11.153138177408572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15.332937742900668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11.5</v>
      </c>
      <c r="BD39" s="12">
        <f>IF('Données projet'!$A$88&gt;35,BD38+BC39-BL38,IF(A39&lt;'Données projet'!$A$88,$BA$205^A39,IF(A39='Données projet'!$A$88,'Données projet'!$B$88,BD38+BC39-BL38)))</f>
        <v>176.49999999999994</v>
      </c>
      <c r="BE39" s="13">
        <f>BD39*VLOOKUP('Données projet'!$B$11,Paramètres!$A$1:$I$89,3,0)*VLOOKUP('Données projet'!$B$11,Paramètres!$A$1:$I$89,5,0)</f>
        <v>137.66999999999996</v>
      </c>
      <c r="BF39" s="13">
        <f t="shared" si="37"/>
        <v>35.762714965854656</v>
      </c>
      <c r="BG39" s="20">
        <f t="shared" si="7"/>
        <v>302.06197856553007</v>
      </c>
      <c r="BH39" s="59">
        <f t="shared" si="8"/>
        <v>595.39531189886338</v>
      </c>
      <c r="BI39" s="59">
        <f ca="1">AVERAGE(OFFSET($BH$3,0,0,'Données projet'!$E$11+1,1))-AVERAGE(OFFSET($H$3,0,0,'Données projet'!$E$11+1,1))</f>
        <v>288.82868507674738</v>
      </c>
      <c r="BJ39" s="59">
        <f t="shared" si="38"/>
        <v>283.48738729114024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2.1629999999999989</v>
      </c>
      <c r="BY39" s="12">
        <f>IF('Données projet'!$A$114&gt;35,BY38+BX39-CG38,IF(A39&lt;'Données projet'!$A$114,$BV$205^A39,IF(A39='Données projet'!$A$114,'Données projet'!$B$114,BY38+BX39-CG38)))</f>
        <v>31.363500000000005</v>
      </c>
      <c r="BZ39" s="13">
        <f>BY39*VLOOKUP('Données projet'!$B$12,Paramètres!$A$1:$I$89,3,0)*VLOOKUP('Données projet'!$B$12,Paramètres!$A$1:$I$89,5,0)</f>
        <v>27.399153600000009</v>
      </c>
      <c r="CA39" s="13">
        <f t="shared" si="39"/>
        <v>8.5888814431907328</v>
      </c>
      <c r="CB39" s="20">
        <f t="shared" si="10"/>
        <v>62.6791610335572</v>
      </c>
      <c r="CC39" s="59">
        <f t="shared" si="11"/>
        <v>356.01249436689051</v>
      </c>
      <c r="CD39" s="59">
        <f ca="1">AVERAGE(OFFSET($CC$3,0,0,'Données projet'!$E$12+1,1))-AVERAGE(OFFSET($H$3,0,0,'Données projet'!$E$12+1,1))</f>
        <v>93.329407403816901</v>
      </c>
      <c r="CE39" s="59">
        <f t="shared" si="40"/>
        <v>90.925148357295313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18.2</v>
      </c>
      <c r="CT39" s="12">
        <f>IF('Données projet'!$A$140&gt;35,CT38+CS39-DB38,IF(A39&lt;'Données projet'!$A$140,$CQ$205^A39,IF(A39='Données projet'!$A$140,'Données projet'!$B$140,CT38+CS39-DB38)))</f>
        <v>356.19999999999987</v>
      </c>
      <c r="CU39" s="17">
        <f>CT39*VLOOKUP('Données projet'!$B$13,Paramètres!$A$1:$I$89,3,0)*VLOOKUP('Données projet'!$B$13,Paramètres!$A$1:$I$89,5,0)</f>
        <v>338.9599199999999</v>
      </c>
      <c r="CV39" s="13">
        <f t="shared" si="41"/>
        <v>79.285021007159486</v>
      </c>
      <c r="CW39" s="20">
        <f t="shared" si="13"/>
        <v>728.44327225413588</v>
      </c>
      <c r="CX39" s="59">
        <f t="shared" si="14"/>
        <v>1021.7766055874692</v>
      </c>
      <c r="CY39" s="59">
        <f ca="1">AVERAGE(OFFSET($CX$3,0,0,'Données projet'!$E$13+1,1))-AVERAGE(OFFSET($H$3,0,0,'Données projet'!$E$13+1,1))</f>
        <v>805.04572055352492</v>
      </c>
      <c r="CZ39" s="59">
        <f t="shared" si="42"/>
        <v>708.66645042414962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11.8</v>
      </c>
      <c r="DO39" s="12">
        <f>IF('Données projet'!$A$166&gt;35,DO38+DN39-DW38,IF(A39&lt;'Données projet'!$A$166,$DL$205^A39,IF(A39='Données projet'!$A$166,'Données projet'!$B$166,DO38+DN39-DW38)))</f>
        <v>255.80000000000007</v>
      </c>
      <c r="DP39" s="17">
        <f>DO39*VLOOKUP('Données projet'!$B$14,Paramètres!$A$1:$I$89,3,0)*VLOOKUP('Données projet'!$B$14,Paramètres!$A$1:$I$89,5,0)</f>
        <v>171.59064000000004</v>
      </c>
      <c r="DQ39" s="13">
        <f t="shared" si="43"/>
        <v>43.446080703970978</v>
      </c>
      <c r="DR39" s="20">
        <f t="shared" si="16"/>
        <v>374.52228855941621</v>
      </c>
      <c r="DS39" s="59">
        <f t="shared" si="17"/>
        <v>667.85562189274947</v>
      </c>
      <c r="DT39" s="59">
        <f ca="1">AVERAGE(OFFSET($DS$3,0,0,'Données projet'!$E$14+1,1))-AVERAGE(OFFSET($H$3,0,0,'Données projet'!$E$14+1,1))</f>
        <v>482.69499576870095</v>
      </c>
      <c r="DU39" s="59">
        <f t="shared" si="44"/>
        <v>384.28918352579575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7.05</v>
      </c>
      <c r="EJ39" s="12">
        <f>IF('Données projet'!$A$192&gt;35,EJ38+EI39-ER38,IF(A39&lt;'Données projet'!$A$192,$EG$205^A39,IF(A39='Données projet'!$A$192,'Données projet'!$B$192,EJ38+EI39-ER38)))</f>
        <v>167.55000000000007</v>
      </c>
      <c r="EK39" s="17">
        <f>EJ39*VLOOKUP('Données projet'!$B$15,Paramètres!$A$1:$I$89,3,0)*VLOOKUP('Données projet'!$B$15,Paramètres!$A$1:$I$89,5,0)</f>
        <v>122.84766000000003</v>
      </c>
      <c r="EL39" s="13">
        <f t="shared" si="45"/>
        <v>32.338259930438234</v>
      </c>
      <c r="EM39" s="20">
        <f t="shared" si="19"/>
        <v>270.28214387884663</v>
      </c>
      <c r="EN39" s="59">
        <f t="shared" si="20"/>
        <v>563.61547721217994</v>
      </c>
      <c r="EO39" s="59">
        <f ca="1">AVERAGE(OFFSET($EN$3,0,0,'Données projet'!$E$15+1,1))-AVERAGE(OFFSET($H$3,0,0,'Données projet'!$E$15+1,1))</f>
        <v>197.34725966440715</v>
      </c>
      <c r="EP39" s="59">
        <f t="shared" si="46"/>
        <v>240.16326570529532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14.529396864557388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14.529396864557388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26.5</v>
      </c>
      <c r="FE39" s="12">
        <f>IF('Données projet'!$A$218&gt;35,FE38+FD39-FM38,IF(A39&lt;'Données projet'!$A$218,$FB$205^A39,IF(A39='Données projet'!$A$218,'Données projet'!$B$218,FE38+FD39-FM38)))</f>
        <v>414.49999999999994</v>
      </c>
      <c r="FF39" s="17">
        <f>FE39*VLOOKUP('Données projet'!$B$16,Paramètres!$A$1:$I$89,3,0)*VLOOKUP('Données projet'!$B$16,Paramètres!$A$1:$I$89,5,0)</f>
        <v>231.7055</v>
      </c>
      <c r="FG39" s="13">
        <f t="shared" si="47"/>
        <v>56.651291795160652</v>
      </c>
      <c r="FH39" s="20">
        <f t="shared" si="22"/>
        <v>502.22141237657138</v>
      </c>
      <c r="FI39" s="59">
        <f t="shared" si="23"/>
        <v>795.55474570990464</v>
      </c>
      <c r="FJ39" s="59">
        <f ca="1">AVERAGE(OFFSET($FI$3,0,0,'Données projet'!$E$16+1,1))-AVERAGE(OFFSET($H$3,0,0,'Données projet'!$E$16+1,1))</f>
        <v>346.42094266871379</v>
      </c>
      <c r="FK39" s="59">
        <f t="shared" si="48"/>
        <v>453.48153556975973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14.461870404058372</v>
      </c>
      <c r="FR39" s="21">
        <f>EXP(-LN(2)/25)*FR38+(1-EXP(-LN(2)/25))/(LN(2)/25)*Calculateur!FM39*Calculateur!FO39*VLOOKUP('Données projet'!$B$16,Paramètres!$A$1:$I$89,3,0)*0.475*44/12</f>
        <v>48.56561695056098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63.027487354619353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10</v>
      </c>
      <c r="FZ39" s="12">
        <f>IF('Données projet'!$A$244&gt;35,FZ38+FY39-GH38,IF(A39&lt;'Données projet'!$A$244,$FW$205^A39,IF(A39='Données projet'!$A$244,'Données projet'!$B$244,FZ38+FY39-GH38)))</f>
        <v>206.02499999999992</v>
      </c>
      <c r="GA39" s="17">
        <f>FZ39*VLOOKUP('Données projet'!$B$17,Paramètres!$A$1:$I$89,3,0)*VLOOKUP('Données projet'!$B$17,Paramètres!$A$1:$I$89,5,0)</f>
        <v>96.419699999999963</v>
      </c>
      <c r="GB39" s="13">
        <f t="shared" si="49"/>
        <v>26.107238969082097</v>
      </c>
      <c r="GC39" s="20">
        <f t="shared" si="25"/>
        <v>213.40108537115125</v>
      </c>
      <c r="GD39" s="59">
        <f t="shared" si="26"/>
        <v>506.7344187044846</v>
      </c>
      <c r="GE39" s="59">
        <f ca="1">AVERAGE(OFFSET($GD$3,0,0,'Données projet'!$E$17+1,1))-AVERAGE(OFFSET($H$3,0,0,'Données projet'!$E$17+1,1))</f>
        <v>198.26255998041</v>
      </c>
      <c r="GF39" s="59">
        <f t="shared" si="50"/>
        <v>238.62101708181166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26.087384288282507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26.087384288282507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12.4</v>
      </c>
      <c r="GU39" s="12">
        <f>IF('Données projet'!$A$270&gt;35,GU38+GT39-HC38,IF(A39&lt;'Données projet'!$A$270,$GR$205^A39,IF(A39='Données projet'!$A$270,'Données projet'!$B$270,GU38+GT39-HC38)))</f>
        <v>158.4</v>
      </c>
      <c r="GV39" s="17">
        <f>GU39*VLOOKUP('Données projet'!$B$18,Paramètres!$A$1:$I$89,3,0)*VLOOKUP('Données projet'!$B$18,Paramètres!$A$1:$I$89,5,0)</f>
        <v>182.4768</v>
      </c>
      <c r="GW39" s="13">
        <f t="shared" si="51"/>
        <v>45.87278948522043</v>
      </c>
      <c r="GX39" s="20">
        <f t="shared" si="28"/>
        <v>397.70886835342554</v>
      </c>
      <c r="GY39" s="59">
        <f t="shared" si="29"/>
        <v>691.04220168675886</v>
      </c>
      <c r="GZ39" s="59">
        <f ca="1">AVERAGE(OFFSET($GY$3,0,0,'Données projet'!$E$18+1,1))-AVERAGE(OFFSET($H$3,0,0,'Données projet'!$E$18+1,1))</f>
        <v>604.0566904089452</v>
      </c>
      <c r="HA39" s="59">
        <f t="shared" si="52"/>
        <v>369.5187835902687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16.721038587851947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16.721038587851947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9.75</v>
      </c>
      <c r="N40" s="13">
        <f>IF('Données projet'!$A$36&gt;35,N39+M40-V39,IF(A40&lt;'Données projet'!$A$36,$K$205^A40,IF(A40='Données projet'!$A$36,'Données projet'!$B$36,N39+M40-V39)))</f>
        <v>119.75</v>
      </c>
      <c r="O40" s="13">
        <f>N40*VLOOKUP('Données projet'!$B$9,Paramètres!$A$1:$I$89,3,0)*VLOOKUP('Données projet'!$B$9,Paramètres!$A$1:$I$89,5,0)</f>
        <v>108.3498</v>
      </c>
      <c r="P40" s="13">
        <f t="shared" si="33"/>
        <v>28.941843207640417</v>
      </c>
      <c r="Q40" s="20">
        <f t="shared" si="53"/>
        <v>239.11627858664042</v>
      </c>
      <c r="R40" s="59">
        <f t="shared" si="0"/>
        <v>532.44961191997368</v>
      </c>
      <c r="S40" s="59">
        <f ca="1">AVERAGE(OFFSET($R$3,0,0,'Données projet'!$E$9+1,1))-AVERAGE(OFFSET($H$3,0,0,'Données projet'!$E$9+1,1))</f>
        <v>528.20489749461376</v>
      </c>
      <c r="T40" s="59">
        <f t="shared" si="34"/>
        <v>276.26988364830532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7.6</v>
      </c>
      <c r="AI40" s="13">
        <f>IF('Données projet'!$A$62&gt;35,AI39+AH40-AQ39,IF(A40&lt;'Données projet'!$A$62,$AF$205^A40,IF(A40='Données projet'!$A$62,'Données projet'!$B$62,AI39+AH40-AQ39)))</f>
        <v>327.20000000000027</v>
      </c>
      <c r="AJ40" s="13">
        <f>AI40*VLOOKUP('Données projet'!$B$10,Paramètres!$A$1:$I$89,3,0)*VLOOKUP('Données projet'!$B$10,Paramètres!$A$1:$I$89,5,0)</f>
        <v>296.05056000000025</v>
      </c>
      <c r="AK40" s="13">
        <f t="shared" si="35"/>
        <v>70.347871650924077</v>
      </c>
      <c r="AL40" s="20">
        <f t="shared" si="4"/>
        <v>638.1439351253598</v>
      </c>
      <c r="AM40" s="59">
        <f t="shared" si="5"/>
        <v>931.47726845869306</v>
      </c>
      <c r="AN40" s="59">
        <f ca="1">AVERAGE(OFFSET($AM$3,0,0,'Données projet'!$E$10+1,1))-AVERAGE(OFFSET($H$3,0,0,'Données projet'!$E$10+1,1))</f>
        <v>436.23918637269577</v>
      </c>
      <c r="AO40" s="59">
        <f t="shared" si="36"/>
        <v>611.43967996341894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4.0978362454387964</v>
      </c>
      <c r="AV40" s="21">
        <f>EXP(-LN(2)/25)*AV39+(1-EXP(-LN(2)/25))/(LN(2)/25)*Calculateur!AQ40*Calculateur!AS40*VLOOKUP('Données projet'!$B$10,Paramètres!$A$1:$I$89,3,0)*0.475*44/12</f>
        <v>10.848155027429288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14.945991272868085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188</v>
      </c>
      <c r="BB40" s="12">
        <f>VLOOKUP(A40,'Données projet'!$A$87:$I$107,9,0)</f>
        <v>11.5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187.99999999999994</v>
      </c>
      <c r="BE40" s="13">
        <f>BD40*VLOOKUP('Données projet'!$B$11,Paramètres!$A$1:$I$89,3,0)*VLOOKUP('Données projet'!$B$11,Paramètres!$A$1:$I$89,5,0)</f>
        <v>146.63999999999996</v>
      </c>
      <c r="BF40" s="13">
        <f t="shared" si="37"/>
        <v>37.814009712703026</v>
      </c>
      <c r="BG40" s="20">
        <f t="shared" si="7"/>
        <v>321.25740024962437</v>
      </c>
      <c r="BH40" s="59">
        <f t="shared" si="8"/>
        <v>614.59073358295768</v>
      </c>
      <c r="BI40" s="59">
        <f ca="1">AVERAGE(OFFSET($BH$3,0,0,'Données projet'!$E$11+1,1))-AVERAGE(OFFSET($H$3,0,0,'Données projet'!$E$11+1,1))</f>
        <v>288.82868507674738</v>
      </c>
      <c r="BJ40" s="59">
        <f t="shared" si="38"/>
        <v>283.48738729114024</v>
      </c>
      <c r="BK40" s="15">
        <f>IF(ISNA(VLOOKUP(A40,'Données projet'!$A$87:$I$107,3,0)),0,VLOOKUP(A40,'Données projet'!$A$87:$I$107,3,0))</f>
        <v>5</v>
      </c>
      <c r="BL40" s="15">
        <f>IF(ISNA(VLOOKUP(A40,'Données projet'!$A$87:$I$107,4,0)),0,VLOOKUP(A40,'Données projet'!$A$87:$I$107,4,0))</f>
        <v>36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2.1629999999999989</v>
      </c>
      <c r="BY40" s="12">
        <f>IF('Données projet'!$A$114&gt;35,BY39+BX40-CG39,IF(A40&lt;'Données projet'!$A$114,$BV$205^A40,IF(A40='Données projet'!$A$114,'Données projet'!$B$114,BY39+BX40-CG39)))</f>
        <v>33.526500000000006</v>
      </c>
      <c r="BZ40" s="13">
        <f>BY40*VLOOKUP('Données projet'!$B$12,Paramètres!$A$1:$I$89,3,0)*VLOOKUP('Données projet'!$B$12,Paramètres!$A$1:$I$89,5,0)</f>
        <v>29.288750400000009</v>
      </c>
      <c r="CA40" s="13">
        <f t="shared" si="39"/>
        <v>9.1102213628721795</v>
      </c>
      <c r="CB40" s="20">
        <f t="shared" si="10"/>
        <v>66.878209153669061</v>
      </c>
      <c r="CC40" s="59">
        <f t="shared" si="11"/>
        <v>360.21154248700236</v>
      </c>
      <c r="CD40" s="59">
        <f ca="1">AVERAGE(OFFSET($CC$3,0,0,'Données projet'!$E$12+1,1))-AVERAGE(OFFSET($H$3,0,0,'Données projet'!$E$12+1,1))</f>
        <v>93.329407403816901</v>
      </c>
      <c r="CE40" s="59">
        <f t="shared" si="40"/>
        <v>90.925148357295313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18.2</v>
      </c>
      <c r="CT40" s="12">
        <f>IF('Données projet'!$A$140&gt;35,CT39+CS40-DB39,IF(A40&lt;'Données projet'!$A$140,$CQ$205^A40,IF(A40='Données projet'!$A$140,'Données projet'!$B$140,CT39+CS40-DB39)))</f>
        <v>374.39999999999986</v>
      </c>
      <c r="CU40" s="17">
        <f>CT40*VLOOKUP('Données projet'!$B$13,Paramètres!$A$1:$I$89,3,0)*VLOOKUP('Données projet'!$B$13,Paramètres!$A$1:$I$89,5,0)</f>
        <v>356.27903999999984</v>
      </c>
      <c r="CV40" s="13">
        <f t="shared" si="41"/>
        <v>82.854089756731454</v>
      </c>
      <c r="CW40" s="20">
        <f t="shared" si="13"/>
        <v>764.82353432630691</v>
      </c>
      <c r="CX40" s="59">
        <f t="shared" si="14"/>
        <v>1058.1568676596403</v>
      </c>
      <c r="CY40" s="59">
        <f ca="1">AVERAGE(OFFSET($CX$3,0,0,'Données projet'!$E$13+1,1))-AVERAGE(OFFSET($H$3,0,0,'Données projet'!$E$13+1,1))</f>
        <v>805.04572055352492</v>
      </c>
      <c r="CZ40" s="59">
        <f t="shared" si="42"/>
        <v>708.66645042414962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11.8</v>
      </c>
      <c r="DO40" s="12">
        <f>IF('Données projet'!$A$166&gt;35,DO39+DN40-DW39,IF(A40&lt;'Données projet'!$A$166,$DL$205^A40,IF(A40='Données projet'!$A$166,'Données projet'!$B$166,DO39+DN40-DW39)))</f>
        <v>267.60000000000008</v>
      </c>
      <c r="DP40" s="17">
        <f>DO40*VLOOKUP('Données projet'!$B$14,Paramètres!$A$1:$I$89,3,0)*VLOOKUP('Données projet'!$B$14,Paramètres!$A$1:$I$89,5,0)</f>
        <v>179.50608000000005</v>
      </c>
      <c r="DQ40" s="13">
        <f t="shared" si="43"/>
        <v>45.212280499336408</v>
      </c>
      <c r="DR40" s="20">
        <f t="shared" si="16"/>
        <v>391.38447786967771</v>
      </c>
      <c r="DS40" s="59">
        <f t="shared" si="17"/>
        <v>684.71781120301102</v>
      </c>
      <c r="DT40" s="59">
        <f ca="1">AVERAGE(OFFSET($DS$3,0,0,'Données projet'!$E$14+1,1))-AVERAGE(OFFSET($H$3,0,0,'Données projet'!$E$14+1,1))</f>
        <v>482.69499576870095</v>
      </c>
      <c r="DU40" s="59">
        <f t="shared" si="44"/>
        <v>384.28918352579575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7.05</v>
      </c>
      <c r="EJ40" s="12">
        <f>IF('Données projet'!$A$192&gt;35,EJ39+EI40-ER39,IF(A40&lt;'Données projet'!$A$192,$EG$205^A40,IF(A40='Données projet'!$A$192,'Données projet'!$B$192,EJ39+EI40-ER39)))</f>
        <v>174.60000000000008</v>
      </c>
      <c r="EK40" s="17">
        <f>EJ40*VLOOKUP('Données projet'!$B$15,Paramètres!$A$1:$I$89,3,0)*VLOOKUP('Données projet'!$B$15,Paramètres!$A$1:$I$89,5,0)</f>
        <v>128.01672000000005</v>
      </c>
      <c r="EL40" s="13">
        <f t="shared" si="45"/>
        <v>33.537672321480457</v>
      </c>
      <c r="EM40" s="20">
        <f t="shared" si="19"/>
        <v>281.37389995991185</v>
      </c>
      <c r="EN40" s="59">
        <f t="shared" si="20"/>
        <v>574.70723329324517</v>
      </c>
      <c r="EO40" s="59">
        <f ca="1">AVERAGE(OFFSET($EN$3,0,0,'Données projet'!$E$15+1,1))-AVERAGE(OFFSET($H$3,0,0,'Données projet'!$E$15+1,1))</f>
        <v>197.34725966440715</v>
      </c>
      <c r="EP40" s="59">
        <f t="shared" si="46"/>
        <v>240.16326570529532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14.132089743228292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14.132089743228292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26.5</v>
      </c>
      <c r="FE40" s="12">
        <f>IF('Données projet'!$A$218&gt;35,FE39+FD40-FM39,IF(A40&lt;'Données projet'!$A$218,$FB$205^A40,IF(A40='Données projet'!$A$218,'Données projet'!$B$218,FE39+FD40-FM39)))</f>
        <v>440.99999999999994</v>
      </c>
      <c r="FF40" s="17">
        <f>FE40*VLOOKUP('Données projet'!$B$16,Paramètres!$A$1:$I$89,3,0)*VLOOKUP('Données projet'!$B$16,Paramètres!$A$1:$I$89,5,0)</f>
        <v>246.51899999999998</v>
      </c>
      <c r="FG40" s="13">
        <f t="shared" si="47"/>
        <v>59.839929882511569</v>
      </c>
      <c r="FH40" s="20">
        <f t="shared" si="22"/>
        <v>533.575136212041</v>
      </c>
      <c r="FI40" s="59">
        <f t="shared" si="23"/>
        <v>826.90846954537437</v>
      </c>
      <c r="FJ40" s="59">
        <f ca="1">AVERAGE(OFFSET($FI$3,0,0,'Données projet'!$E$16+1,1))-AVERAGE(OFFSET($H$3,0,0,'Données projet'!$E$16+1,1))</f>
        <v>346.42094266871379</v>
      </c>
      <c r="FK40" s="59">
        <f t="shared" si="48"/>
        <v>453.48153556975973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14.178281946304745</v>
      </c>
      <c r="FR40" s="21">
        <f>EXP(-LN(2)/25)*FR39+(1-EXP(-LN(2)/25))/(LN(2)/25)*Calculateur!FM40*Calculateur!FO40*VLOOKUP('Données projet'!$B$16,Paramètres!$A$1:$I$89,3,0)*0.475*44/12</f>
        <v>47.23758760109309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61.415869547397833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10</v>
      </c>
      <c r="FZ40" s="12">
        <f>IF('Données projet'!$A$244&gt;35,FZ39+FY40-GH39,IF(A40&lt;'Données projet'!$A$244,$FW$205^A40,IF(A40='Données projet'!$A$244,'Données projet'!$B$244,FZ39+FY40-GH39)))</f>
        <v>216.02499999999992</v>
      </c>
      <c r="GA40" s="17">
        <f>FZ40*VLOOKUP('Données projet'!$B$17,Paramètres!$A$1:$I$89,3,0)*VLOOKUP('Données projet'!$B$17,Paramètres!$A$1:$I$89,5,0)</f>
        <v>101.09969999999996</v>
      </c>
      <c r="GB40" s="13">
        <f t="shared" si="49"/>
        <v>27.223818911890113</v>
      </c>
      <c r="GC40" s="20">
        <f t="shared" si="25"/>
        <v>223.49679543820852</v>
      </c>
      <c r="GD40" s="59">
        <f t="shared" si="26"/>
        <v>516.83012877154181</v>
      </c>
      <c r="GE40" s="59">
        <f ca="1">AVERAGE(OFFSET($GD$3,0,0,'Données projet'!$E$17+1,1))-AVERAGE(OFFSET($H$3,0,0,'Données projet'!$E$17+1,1))</f>
        <v>198.26255998041</v>
      </c>
      <c r="GF40" s="59">
        <f t="shared" si="50"/>
        <v>238.62101708181166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25.374023393043505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25.374023393043505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12.4</v>
      </c>
      <c r="GU40" s="12">
        <f>IF('Données projet'!$A$270&gt;35,GU39+GT40-HC39,IF(A40&lt;'Données projet'!$A$270,$GR$205^A40,IF(A40='Données projet'!$A$270,'Données projet'!$B$270,GU39+GT40-HC39)))</f>
        <v>170.8</v>
      </c>
      <c r="GV40" s="17">
        <f>GU40*VLOOKUP('Données projet'!$B$18,Paramètres!$A$1:$I$89,3,0)*VLOOKUP('Données projet'!$B$18,Paramètres!$A$1:$I$89,5,0)</f>
        <v>196.76160000000002</v>
      </c>
      <c r="GW40" s="13">
        <f t="shared" si="51"/>
        <v>49.031790655695765</v>
      </c>
      <c r="GX40" s="20">
        <f t="shared" si="28"/>
        <v>428.09015539200345</v>
      </c>
      <c r="GY40" s="59">
        <f t="shared" si="29"/>
        <v>721.42348872533671</v>
      </c>
      <c r="GZ40" s="59">
        <f ca="1">AVERAGE(OFFSET($GY$3,0,0,'Données projet'!$E$18+1,1))-AVERAGE(OFFSET($H$3,0,0,'Données projet'!$E$18+1,1))</f>
        <v>604.0566904089452</v>
      </c>
      <c r="HA40" s="59">
        <f t="shared" si="52"/>
        <v>369.5187835902687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16.263800908345932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16.263800908345932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9.75</v>
      </c>
      <c r="N41" s="13">
        <f>IF('Données projet'!$A$36&gt;35,N40+M41-V40,IF(A41&lt;'Données projet'!$A$36,$K$205^A41,IF(A41='Données projet'!$A$36,'Données projet'!$B$36,N40+M41-V40)))</f>
        <v>129.5</v>
      </c>
      <c r="O41" s="13">
        <f>N41*VLOOKUP('Données projet'!$B$9,Paramètres!$A$1:$I$89,3,0)*VLOOKUP('Données projet'!$B$9,Paramètres!$A$1:$I$89,5,0)</f>
        <v>117.1716</v>
      </c>
      <c r="P41" s="13">
        <f t="shared" si="33"/>
        <v>31.014408475037548</v>
      </c>
      <c r="Q41" s="20">
        <f t="shared" si="53"/>
        <v>258.09063142735704</v>
      </c>
      <c r="R41" s="59">
        <f t="shared" si="0"/>
        <v>551.4239647606903</v>
      </c>
      <c r="S41" s="59">
        <f ca="1">AVERAGE(OFFSET($R$3,0,0,'Données projet'!$E$9+1,1))-AVERAGE(OFFSET($H$3,0,0,'Données projet'!$E$9+1,1))</f>
        <v>528.20489749461376</v>
      </c>
      <c r="T41" s="59">
        <f t="shared" si="34"/>
        <v>276.26988364830532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7.6</v>
      </c>
      <c r="AI41" s="13">
        <f>IF('Données projet'!$A$62&gt;35,AI40+AH41-AQ40,IF(A41&lt;'Données projet'!$A$62,$AF$205^A41,IF(A41='Données projet'!$A$62,'Données projet'!$B$62,AI40+AH41-AQ40)))</f>
        <v>334.8000000000003</v>
      </c>
      <c r="AJ41" s="13">
        <f>AI41*VLOOKUP('Données projet'!$B$10,Paramètres!$A$1:$I$89,3,0)*VLOOKUP('Données projet'!$B$10,Paramètres!$A$1:$I$89,5,0)</f>
        <v>302.92704000000026</v>
      </c>
      <c r="AK41" s="13">
        <f t="shared" si="35"/>
        <v>71.789736305653022</v>
      </c>
      <c r="AL41" s="20">
        <f t="shared" si="4"/>
        <v>652.63171873234603</v>
      </c>
      <c r="AM41" s="59">
        <f t="shared" si="5"/>
        <v>945.9650520656794</v>
      </c>
      <c r="AN41" s="59">
        <f ca="1">AVERAGE(OFFSET($AM$3,0,0,'Données projet'!$E$10+1,1))-AVERAGE(OFFSET($H$3,0,0,'Données projet'!$E$10+1,1))</f>
        <v>436.23918637269577</v>
      </c>
      <c r="AO41" s="59">
        <f t="shared" si="36"/>
        <v>611.43967996341894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4.0174801760990526</v>
      </c>
      <c r="AV41" s="21">
        <f>EXP(-LN(2)/25)*AV40+(1-EXP(-LN(2)/25))/(LN(2)/25)*Calculateur!AQ41*Calculateur!AS41*VLOOKUP('Données projet'!$B$10,Paramètres!$A$1:$I$89,3,0)*0.475*44/12</f>
        <v>10.551511657724555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14.568991833823608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11.142857142857142</v>
      </c>
      <c r="BD41" s="12">
        <f>IF('Données projet'!$A$88&gt;35,BD40+BC41-BL40,IF(A41&lt;'Données projet'!$A$88,$BA$205^A41,IF(A41='Données projet'!$A$88,'Données projet'!$B$88,BD40+BC41-BL40)))</f>
        <v>163.14285714285708</v>
      </c>
      <c r="BE41" s="13">
        <f>BD41*VLOOKUP('Données projet'!$B$11,Paramètres!$A$1:$I$89,3,0)*VLOOKUP('Données projet'!$B$11,Paramètres!$A$1:$I$89,5,0)</f>
        <v>127.25142857142853</v>
      </c>
      <c r="BF41" s="13">
        <f t="shared" si="37"/>
        <v>33.360457439554281</v>
      </c>
      <c r="BG41" s="20">
        <f t="shared" si="7"/>
        <v>279.73236813579501</v>
      </c>
      <c r="BH41" s="59">
        <f t="shared" si="8"/>
        <v>573.06570146912827</v>
      </c>
      <c r="BI41" s="59">
        <f ca="1">AVERAGE(OFFSET($BH$3,0,0,'Données projet'!$E$11+1,1))-AVERAGE(OFFSET($H$3,0,0,'Données projet'!$E$11+1,1))</f>
        <v>288.82868507674738</v>
      </c>
      <c r="BJ41" s="59">
        <f t="shared" si="38"/>
        <v>283.48738729114024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2.1629999999999989</v>
      </c>
      <c r="BY41" s="12">
        <f>IF('Données projet'!$A$114&gt;35,BY40+BX41-CG40,IF(A41&lt;'Données projet'!$A$114,$BV$205^A41,IF(A41='Données projet'!$A$114,'Données projet'!$B$114,BY40+BX41-CG40)))</f>
        <v>35.689500000000002</v>
      </c>
      <c r="BZ41" s="13">
        <f>BY41*VLOOKUP('Données projet'!$B$12,Paramètres!$A$1:$I$89,3,0)*VLOOKUP('Données projet'!$B$12,Paramètres!$A$1:$I$89,5,0)</f>
        <v>31.178347200000005</v>
      </c>
      <c r="CA41" s="13">
        <f t="shared" si="39"/>
        <v>9.6276579942199145</v>
      </c>
      <c r="CB41" s="20">
        <f t="shared" si="10"/>
        <v>71.070459046599694</v>
      </c>
      <c r="CC41" s="59">
        <f t="shared" si="11"/>
        <v>364.40379237993301</v>
      </c>
      <c r="CD41" s="59">
        <f ca="1">AVERAGE(OFFSET($CC$3,0,0,'Données projet'!$E$12+1,1))-AVERAGE(OFFSET($H$3,0,0,'Données projet'!$E$12+1,1))</f>
        <v>93.329407403816901</v>
      </c>
      <c r="CE41" s="59">
        <f t="shared" si="40"/>
        <v>90.925148357295313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18.2</v>
      </c>
      <c r="CT41" s="12">
        <f>IF('Données projet'!$A$140&gt;35,CT40+CS41-DB40,IF(A41&lt;'Données projet'!$A$140,$CQ$205^A41,IF(A41='Données projet'!$A$140,'Données projet'!$B$140,CT40+CS41-DB40)))</f>
        <v>392.59999999999985</v>
      </c>
      <c r="CU41" s="17">
        <f>CT41*VLOOKUP('Données projet'!$B$13,Paramètres!$A$1:$I$89,3,0)*VLOOKUP('Données projet'!$B$13,Paramètres!$A$1:$I$89,5,0)</f>
        <v>373.59815999999984</v>
      </c>
      <c r="CV41" s="13">
        <f t="shared" si="41"/>
        <v>86.403012175700212</v>
      </c>
      <c r="CW41" s="20">
        <f t="shared" si="13"/>
        <v>801.16870820601082</v>
      </c>
      <c r="CX41" s="59">
        <f t="shared" si="14"/>
        <v>1094.5020415393442</v>
      </c>
      <c r="CY41" s="59">
        <f ca="1">AVERAGE(OFFSET($CX$3,0,0,'Données projet'!$E$13+1,1))-AVERAGE(OFFSET($H$3,0,0,'Données projet'!$E$13+1,1))</f>
        <v>805.04572055352492</v>
      </c>
      <c r="CZ41" s="59">
        <f t="shared" si="42"/>
        <v>708.66645042414962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11.8</v>
      </c>
      <c r="DO41" s="12">
        <f>IF('Données projet'!$A$166&gt;35,DO40+DN41-DW40,IF(A41&lt;'Données projet'!$A$166,$DL$205^A41,IF(A41='Données projet'!$A$166,'Données projet'!$B$166,DO40+DN41-DW40)))</f>
        <v>279.40000000000009</v>
      </c>
      <c r="DP41" s="17">
        <f>DO41*VLOOKUP('Données projet'!$B$14,Paramètres!$A$1:$I$89,3,0)*VLOOKUP('Données projet'!$B$14,Paramètres!$A$1:$I$89,5,0)</f>
        <v>187.42152000000007</v>
      </c>
      <c r="DQ41" s="13">
        <f t="shared" si="43"/>
        <v>46.969434988499309</v>
      </c>
      <c r="DR41" s="20">
        <f t="shared" si="16"/>
        <v>408.23091327163638</v>
      </c>
      <c r="DS41" s="59">
        <f t="shared" si="17"/>
        <v>701.56424660496964</v>
      </c>
      <c r="DT41" s="59">
        <f ca="1">AVERAGE(OFFSET($DS$3,0,0,'Données projet'!$E$14+1,1))-AVERAGE(OFFSET($H$3,0,0,'Données projet'!$E$14+1,1))</f>
        <v>482.69499576870095</v>
      </c>
      <c r="DU41" s="59">
        <f t="shared" si="44"/>
        <v>384.28918352579575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7.05</v>
      </c>
      <c r="EJ41" s="12">
        <f>IF('Données projet'!$A$192&gt;35,EJ40+EI41-ER40,IF(A41&lt;'Données projet'!$A$192,$EG$205^A41,IF(A41='Données projet'!$A$192,'Données projet'!$B$192,EJ40+EI41-ER40)))</f>
        <v>181.65000000000009</v>
      </c>
      <c r="EK41" s="17">
        <f>EJ41*VLOOKUP('Données projet'!$B$15,Paramètres!$A$1:$I$89,3,0)*VLOOKUP('Données projet'!$B$15,Paramètres!$A$1:$I$89,5,0)</f>
        <v>133.18578000000005</v>
      </c>
      <c r="EL41" s="13">
        <f t="shared" si="45"/>
        <v>34.731459086602484</v>
      </c>
      <c r="EM41" s="20">
        <f t="shared" si="19"/>
        <v>292.45585807583274</v>
      </c>
      <c r="EN41" s="59">
        <f t="shared" si="20"/>
        <v>585.78919140916605</v>
      </c>
      <c r="EO41" s="59">
        <f ca="1">AVERAGE(OFFSET($EN$3,0,0,'Données projet'!$E$15+1,1))-AVERAGE(OFFSET($H$3,0,0,'Données projet'!$E$15+1,1))</f>
        <v>197.34725966440715</v>
      </c>
      <c r="EP41" s="59">
        <f t="shared" si="46"/>
        <v>240.16326570529532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13.745647006025415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13.745647006025415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26.5</v>
      </c>
      <c r="FE41" s="12">
        <f>IF('Données projet'!$A$218&gt;35,FE40+FD41-FM40,IF(A41&lt;'Données projet'!$A$218,$FB$205^A41,IF(A41='Données projet'!$A$218,'Données projet'!$B$218,FE40+FD41-FM40)))</f>
        <v>467.49999999999994</v>
      </c>
      <c r="FF41" s="17">
        <f>FE41*VLOOKUP('Données projet'!$B$16,Paramètres!$A$1:$I$89,3,0)*VLOOKUP('Données projet'!$B$16,Paramètres!$A$1:$I$89,5,0)</f>
        <v>261.33249999999998</v>
      </c>
      <c r="FG41" s="13">
        <f t="shared" si="47"/>
        <v>63.006328549174114</v>
      </c>
      <c r="FH41" s="20">
        <f t="shared" si="22"/>
        <v>564.89012638981148</v>
      </c>
      <c r="FI41" s="59">
        <f t="shared" si="23"/>
        <v>858.22345972314474</v>
      </c>
      <c r="FJ41" s="59">
        <f ca="1">AVERAGE(OFFSET($FI$3,0,0,'Données projet'!$E$16+1,1))-AVERAGE(OFFSET($H$3,0,0,'Données projet'!$E$16+1,1))</f>
        <v>346.42094266871379</v>
      </c>
      <c r="FK41" s="59">
        <f t="shared" si="48"/>
        <v>453.48153556975973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13.900254485235788</v>
      </c>
      <c r="FR41" s="21">
        <f>EXP(-LN(2)/25)*FR40+(1-EXP(-LN(2)/25))/(LN(2)/25)*Calculateur!FM41*Calculateur!FO41*VLOOKUP('Données projet'!$B$16,Paramètres!$A$1:$I$89,3,0)*0.475*44/12</f>
        <v>45.945873284024429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59.846127769260221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10</v>
      </c>
      <c r="FZ41" s="12">
        <f>IF('Données projet'!$A$244&gt;35,FZ40+FY41-GH40,IF(A41&lt;'Données projet'!$A$244,$FW$205^A41,IF(A41='Données projet'!$A$244,'Données projet'!$B$244,FZ40+FY41-GH40)))</f>
        <v>226.02499999999992</v>
      </c>
      <c r="GA41" s="17">
        <f>FZ41*VLOOKUP('Données projet'!$B$17,Paramètres!$A$1:$I$89,3,0)*VLOOKUP('Données projet'!$B$17,Paramètres!$A$1:$I$89,5,0)</f>
        <v>105.77969999999996</v>
      </c>
      <c r="GB41" s="13">
        <f t="shared" si="49"/>
        <v>28.334396342195824</v>
      </c>
      <c r="GC41" s="20">
        <f t="shared" si="25"/>
        <v>233.58205112932433</v>
      </c>
      <c r="GD41" s="59">
        <f t="shared" si="26"/>
        <v>526.91538446265758</v>
      </c>
      <c r="GE41" s="59">
        <f ca="1">AVERAGE(OFFSET($GD$3,0,0,'Données projet'!$E$17+1,1))-AVERAGE(OFFSET($H$3,0,0,'Données projet'!$E$17+1,1))</f>
        <v>198.26255998041</v>
      </c>
      <c r="GF41" s="59">
        <f t="shared" si="50"/>
        <v>238.62101708181166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24.680169388998834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24.680169388998834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12.4</v>
      </c>
      <c r="GU41" s="12">
        <f>IF('Données projet'!$A$270&gt;35,GU40+GT41-HC40,IF(A41&lt;'Données projet'!$A$270,$GR$205^A41,IF(A41='Données projet'!$A$270,'Données projet'!$B$270,GU40+GT41-HC40)))</f>
        <v>183.20000000000002</v>
      </c>
      <c r="GV41" s="17">
        <f>GU41*VLOOKUP('Données projet'!$B$18,Paramètres!$A$1:$I$89,3,0)*VLOOKUP('Données projet'!$B$18,Paramètres!$A$1:$I$89,5,0)</f>
        <v>211.04640000000001</v>
      </c>
      <c r="GW41" s="13">
        <f t="shared" si="51"/>
        <v>52.164184234688555</v>
      </c>
      <c r="GX41" s="20">
        <f t="shared" si="28"/>
        <v>458.42510087541586</v>
      </c>
      <c r="GY41" s="59">
        <f t="shared" si="29"/>
        <v>751.75843420874912</v>
      </c>
      <c r="GZ41" s="59">
        <f ca="1">AVERAGE(OFFSET($GY$3,0,0,'Données projet'!$E$18+1,1))-AVERAGE(OFFSET($H$3,0,0,'Données projet'!$E$18+1,1))</f>
        <v>604.0566904089452</v>
      </c>
      <c r="HA41" s="59">
        <f t="shared" si="52"/>
        <v>369.5187835902687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15.819066417231094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15.819066417231094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9.75</v>
      </c>
      <c r="N42" s="13">
        <f>IF('Données projet'!$A$36&gt;35,N41+M42-V41,IF(A42&lt;'Données projet'!$A$36,$K$205^A42,IF(A42='Données projet'!$A$36,'Données projet'!$B$36,N41+M42-V41)))</f>
        <v>139.25</v>
      </c>
      <c r="O42" s="13">
        <f>N42*VLOOKUP('Données projet'!$B$9,Paramètres!$A$1:$I$89,3,0)*VLOOKUP('Données projet'!$B$9,Paramètres!$A$1:$I$89,5,0)</f>
        <v>125.99340000000001</v>
      </c>
      <c r="P42" s="13">
        <f t="shared" si="33"/>
        <v>33.06887170282247</v>
      </c>
      <c r="Q42" s="20">
        <f t="shared" si="53"/>
        <v>277.03345654908247</v>
      </c>
      <c r="R42" s="59">
        <f t="shared" si="0"/>
        <v>570.36678988241579</v>
      </c>
      <c r="S42" s="59">
        <f ca="1">AVERAGE(OFFSET($R$3,0,0,'Données projet'!$E$9+1,1))-AVERAGE(OFFSET($H$3,0,0,'Données projet'!$E$9+1,1))</f>
        <v>528.20489749461376</v>
      </c>
      <c r="T42" s="59">
        <f t="shared" si="34"/>
        <v>276.26988364830532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7.6</v>
      </c>
      <c r="AI42" s="13">
        <f>IF('Données projet'!$A$62&gt;35,AI41+AH42-AQ41,IF(A42&lt;'Données projet'!$A$62,$AF$205^A42,IF(A42='Données projet'!$A$62,'Données projet'!$B$62,AI41+AH42-AQ41)))</f>
        <v>342.40000000000032</v>
      </c>
      <c r="AJ42" s="13">
        <f>AI42*VLOOKUP('Données projet'!$B$10,Paramètres!$A$1:$I$89,3,0)*VLOOKUP('Données projet'!$B$10,Paramètres!$A$1:$I$89,5,0)</f>
        <v>309.80352000000028</v>
      </c>
      <c r="AK42" s="13">
        <f t="shared" si="35"/>
        <v>73.227795813703821</v>
      </c>
      <c r="AL42" s="20">
        <f t="shared" si="4"/>
        <v>667.11287504220138</v>
      </c>
      <c r="AM42" s="59">
        <f t="shared" si="5"/>
        <v>960.44620837553475</v>
      </c>
      <c r="AN42" s="59">
        <f ca="1">AVERAGE(OFFSET($AM$3,0,0,'Données projet'!$E$10+1,1))-AVERAGE(OFFSET($H$3,0,0,'Données projet'!$E$10+1,1))</f>
        <v>436.23918637269577</v>
      </c>
      <c r="AO42" s="59">
        <f t="shared" si="36"/>
        <v>611.43967996341894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3.9386998402666986</v>
      </c>
      <c r="AV42" s="21">
        <f>EXP(-LN(2)/25)*AV41+(1-EXP(-LN(2)/25))/(LN(2)/25)*Calculateur!AQ42*Calculateur!AS42*VLOOKUP('Données projet'!$B$10,Paramètres!$A$1:$I$89,3,0)*0.475*44/12</f>
        <v>10.262980016564194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14.201679856830893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11.142857142857142</v>
      </c>
      <c r="BD42" s="12">
        <f>IF('Données projet'!$A$88&gt;35,BD41+BC42-BL41,IF(A42&lt;'Données projet'!$A$88,$BA$205^A42,IF(A42='Données projet'!$A$88,'Données projet'!$B$88,BD41+BC42-BL41)))</f>
        <v>174.28571428571422</v>
      </c>
      <c r="BE42" s="13">
        <f>BD42*VLOOKUP('Données projet'!$B$11,Paramètres!$A$1:$I$89,3,0)*VLOOKUP('Données projet'!$B$11,Paramètres!$A$1:$I$89,5,0)</f>
        <v>135.94285714285709</v>
      </c>
      <c r="BF42" s="13">
        <f t="shared" si="37"/>
        <v>35.365986273808367</v>
      </c>
      <c r="BG42" s="20">
        <f t="shared" si="7"/>
        <v>298.36290228402567</v>
      </c>
      <c r="BH42" s="59">
        <f t="shared" si="8"/>
        <v>591.69623561735898</v>
      </c>
      <c r="BI42" s="59">
        <f ca="1">AVERAGE(OFFSET($BH$3,0,0,'Données projet'!$E$11+1,1))-AVERAGE(OFFSET($H$3,0,0,'Données projet'!$E$11+1,1))</f>
        <v>288.82868507674738</v>
      </c>
      <c r="BJ42" s="59">
        <f t="shared" si="38"/>
        <v>283.48738729114024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2.1629999999999989</v>
      </c>
      <c r="BY42" s="12">
        <f>IF('Données projet'!$A$114&gt;35,BY41+BX42-CG41,IF(A42&lt;'Données projet'!$A$114,$BV$205^A42,IF(A42='Données projet'!$A$114,'Données projet'!$B$114,BY41+BX42-CG41)))</f>
        <v>37.852499999999999</v>
      </c>
      <c r="BZ42" s="13">
        <f>BY42*VLOOKUP('Données projet'!$B$12,Paramètres!$A$1:$I$89,3,0)*VLOOKUP('Données projet'!$B$12,Paramètres!$A$1:$I$89,5,0)</f>
        <v>33.067944000000004</v>
      </c>
      <c r="CA42" s="13">
        <f t="shared" si="39"/>
        <v>10.141454838958438</v>
      </c>
      <c r="CB42" s="20">
        <f t="shared" si="10"/>
        <v>75.256369644519282</v>
      </c>
      <c r="CC42" s="59">
        <f t="shared" si="11"/>
        <v>368.5897029778526</v>
      </c>
      <c r="CD42" s="59">
        <f ca="1">AVERAGE(OFFSET($CC$3,0,0,'Données projet'!$E$12+1,1))-AVERAGE(OFFSET($H$3,0,0,'Données projet'!$E$12+1,1))</f>
        <v>93.329407403816901</v>
      </c>
      <c r="CE42" s="59">
        <f t="shared" si="40"/>
        <v>90.925148357295313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18.2</v>
      </c>
      <c r="CT42" s="12">
        <f>IF('Données projet'!$A$140&gt;35,CT41+CS42-DB41,IF(A42&lt;'Données projet'!$A$140,$CQ$205^A42,IF(A42='Données projet'!$A$140,'Données projet'!$B$140,CT41+CS42-DB41)))</f>
        <v>410.79999999999984</v>
      </c>
      <c r="CU42" s="17">
        <f>CT42*VLOOKUP('Données projet'!$B$13,Paramètres!$A$1:$I$89,3,0)*VLOOKUP('Données projet'!$B$13,Paramètres!$A$1:$I$89,5,0)</f>
        <v>390.91727999999989</v>
      </c>
      <c r="CV42" s="13">
        <f t="shared" si="41"/>
        <v>89.932828864003085</v>
      </c>
      <c r="CW42" s="20">
        <f t="shared" si="13"/>
        <v>837.48060627147186</v>
      </c>
      <c r="CX42" s="59">
        <f t="shared" si="14"/>
        <v>1130.8139396048052</v>
      </c>
      <c r="CY42" s="59">
        <f ca="1">AVERAGE(OFFSET($CX$3,0,0,'Données projet'!$E$13+1,1))-AVERAGE(OFFSET($H$3,0,0,'Données projet'!$E$13+1,1))</f>
        <v>805.04572055352492</v>
      </c>
      <c r="CZ42" s="59">
        <f t="shared" si="42"/>
        <v>708.66645042414962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11.8</v>
      </c>
      <c r="DO42" s="12">
        <f>IF('Données projet'!$A$166&gt;35,DO41+DN42-DW41,IF(A42&lt;'Données projet'!$A$166,$DL$205^A42,IF(A42='Données projet'!$A$166,'Données projet'!$B$166,DO41+DN42-DW41)))</f>
        <v>291.2000000000001</v>
      </c>
      <c r="DP42" s="17">
        <f>DO42*VLOOKUP('Données projet'!$B$14,Paramètres!$A$1:$I$89,3,0)*VLOOKUP('Données projet'!$B$14,Paramètres!$A$1:$I$89,5,0)</f>
        <v>195.33696000000006</v>
      </c>
      <c r="DQ42" s="13">
        <f t="shared" si="43"/>
        <v>48.717969863105488</v>
      </c>
      <c r="DR42" s="20">
        <f t="shared" si="16"/>
        <v>425.06233617824211</v>
      </c>
      <c r="DS42" s="59">
        <f t="shared" si="17"/>
        <v>718.39566951157542</v>
      </c>
      <c r="DT42" s="59">
        <f ca="1">AVERAGE(OFFSET($DS$3,0,0,'Données projet'!$E$14+1,1))-AVERAGE(OFFSET($H$3,0,0,'Données projet'!$E$14+1,1))</f>
        <v>482.69499576870095</v>
      </c>
      <c r="DU42" s="59">
        <f t="shared" si="44"/>
        <v>384.28918352579575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7.05</v>
      </c>
      <c r="EJ42" s="12">
        <f>IF('Données projet'!$A$192&gt;35,EJ41+EI42-ER41,IF(A42&lt;'Données projet'!$A$192,$EG$205^A42,IF(A42='Données projet'!$A$192,'Données projet'!$B$192,EJ41+EI42-ER41)))</f>
        <v>188.7000000000001</v>
      </c>
      <c r="EK42" s="17">
        <f>EJ42*VLOOKUP('Données projet'!$B$15,Paramètres!$A$1:$I$89,3,0)*VLOOKUP('Données projet'!$B$15,Paramètres!$A$1:$I$89,5,0)</f>
        <v>138.35484000000008</v>
      </c>
      <c r="EL42" s="13">
        <f t="shared" si="45"/>
        <v>35.919863550332231</v>
      </c>
      <c r="EM42" s="20">
        <f t="shared" si="19"/>
        <v>303.52844201682876</v>
      </c>
      <c r="EN42" s="59">
        <f t="shared" si="20"/>
        <v>596.86177535016213</v>
      </c>
      <c r="EO42" s="59">
        <f ca="1">AVERAGE(OFFSET($EN$3,0,0,'Données projet'!$E$15+1,1))-AVERAGE(OFFSET($H$3,0,0,'Données projet'!$E$15+1,1))</f>
        <v>197.34725966440715</v>
      </c>
      <c r="EP42" s="59">
        <f t="shared" si="46"/>
        <v>240.16326570529532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13.36977156579349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13.36977156579349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>
        <f>VLOOKUP(A42,'Données projet'!$A$217:$I$237,2,0)</f>
        <v>494</v>
      </c>
      <c r="FC42" s="12">
        <f>VLOOKUP(A42,'Données projet'!$A$217:$I$237,9,0)</f>
        <v>26.5</v>
      </c>
      <c r="FD42" s="12">
        <f t="array" ref="FD42">INDEX(FC:FC,MIN(IF(ISNUMBER(FC42:FC238),ROW(FC42:FC238),"")))</f>
        <v>26.5</v>
      </c>
      <c r="FE42" s="12">
        <f>IF('Données projet'!$A$218&gt;35,FE41+FD42-FM41,IF(A42&lt;'Données projet'!$A$218,$FB$205^A42,IF(A42='Données projet'!$A$218,'Données projet'!$B$218,FE41+FD42-FM41)))</f>
        <v>493.99999999999994</v>
      </c>
      <c r="FF42" s="17">
        <f>FE42*VLOOKUP('Données projet'!$B$16,Paramètres!$A$1:$I$89,3,0)*VLOOKUP('Données projet'!$B$16,Paramètres!$A$1:$I$89,5,0)</f>
        <v>276.14599999999996</v>
      </c>
      <c r="FG42" s="13">
        <f t="shared" si="47"/>
        <v>66.151892075654288</v>
      </c>
      <c r="FH42" s="20">
        <f t="shared" si="22"/>
        <v>596.16882869843118</v>
      </c>
      <c r="FI42" s="59">
        <f t="shared" si="23"/>
        <v>889.50216203176456</v>
      </c>
      <c r="FJ42" s="59">
        <f ca="1">AVERAGE(OFFSET($FI$3,0,0,'Données projet'!$E$16+1,1))-AVERAGE(OFFSET($H$3,0,0,'Données projet'!$E$16+1,1))</f>
        <v>346.42094266871379</v>
      </c>
      <c r="FK42" s="59">
        <f t="shared" si="48"/>
        <v>453.48153556975973</v>
      </c>
      <c r="FL42" s="15">
        <f>IF(ISNA(VLOOKUP(A42,'Données projet'!$A$217:$I$237,3,0)),0,VLOOKUP(A42,'Données projet'!$A$217:$I$237,3,0))</f>
        <v>4</v>
      </c>
      <c r="FM42" s="15">
        <f>IF(ISNA(VLOOKUP(A42,'Données projet'!$A$217:$I$237,4,0)),0,VLOOKUP(A42,'Données projet'!$A$217:$I$237,4,0))</f>
        <v>90</v>
      </c>
      <c r="FN42" s="16">
        <f>IF(ISNA(VLOOKUP(A42,'Données projet'!$A$217:$I$237,5,0)),0%,VLOOKUP(A42,'Données projet'!$A$217:$I$237,5,0)*VLOOKUP('Données projet'!$B$16,Paramètres!$A$1:$I$89,7,0))</f>
        <v>0.16500000000000001</v>
      </c>
      <c r="FO42" s="16">
        <f>IF(ISNA(VLOOKUP(A42,'Données projet'!$A$217:$I$237,6,0)),0%,VLOOKUP(A42,'Données projet'!$A$217:$I$237,6,0)*VLOOKUP('Données projet'!$B$16,Paramètres!$A$1:$I$89,7,0))</f>
        <v>0.27500000000000002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24.639689502370324</v>
      </c>
      <c r="FR42" s="21">
        <f>EXP(-LN(2)/25)*FR41+(1-EXP(-LN(2)/25))/(LN(2)/25)*Calculateur!FM42*Calculateur!FO42*VLOOKUP('Données projet'!$B$16,Paramètres!$A$1:$I$89,3,0)*0.475*44/12</f>
        <v>62.970567709406367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87.610257211776684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10</v>
      </c>
      <c r="FZ42" s="12">
        <f>IF('Données projet'!$A$244&gt;35,FZ41+FY42-GH41,IF(A42&lt;'Données projet'!$A$244,$FW$205^A42,IF(A42='Données projet'!$A$244,'Données projet'!$B$244,FZ41+FY42-GH41)))</f>
        <v>236.02499999999992</v>
      </c>
      <c r="GA42" s="17">
        <f>FZ42*VLOOKUP('Données projet'!$B$17,Paramètres!$A$1:$I$89,3,0)*VLOOKUP('Données projet'!$B$17,Paramètres!$A$1:$I$89,5,0)</f>
        <v>110.45969999999996</v>
      </c>
      <c r="GB42" s="13">
        <f t="shared" si="49"/>
        <v>29.439267175737907</v>
      </c>
      <c r="GC42" s="20">
        <f t="shared" si="25"/>
        <v>243.65736783107673</v>
      </c>
      <c r="GD42" s="59">
        <f t="shared" si="26"/>
        <v>536.99070116440998</v>
      </c>
      <c r="GE42" s="59">
        <f ca="1">AVERAGE(OFFSET($GD$3,0,0,'Données projet'!$E$17+1,1))-AVERAGE(OFFSET($H$3,0,0,'Données projet'!$E$17+1,1))</f>
        <v>198.26255998041</v>
      </c>
      <c r="GF42" s="59">
        <f t="shared" si="50"/>
        <v>238.62101708181166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24.005288859182961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24.005288859182961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12.4</v>
      </c>
      <c r="GU42" s="12">
        <f>IF('Données projet'!$A$270&gt;35,GU41+GT42-HC41,IF(A42&lt;'Données projet'!$A$270,$GR$205^A42,IF(A42='Données projet'!$A$270,'Données projet'!$B$270,GU41+GT42-HC41)))</f>
        <v>195.60000000000002</v>
      </c>
      <c r="GV42" s="17">
        <f>GU42*VLOOKUP('Données projet'!$B$18,Paramètres!$A$1:$I$89,3,0)*VLOOKUP('Données projet'!$B$18,Paramètres!$A$1:$I$89,5,0)</f>
        <v>225.3312</v>
      </c>
      <c r="GW42" s="13">
        <f t="shared" si="51"/>
        <v>55.271976070243774</v>
      </c>
      <c r="GX42" s="20">
        <f t="shared" si="28"/>
        <v>488.71719832234112</v>
      </c>
      <c r="GY42" s="59">
        <f t="shared" si="29"/>
        <v>782.05053165567438</v>
      </c>
      <c r="GZ42" s="59">
        <f ca="1">AVERAGE(OFFSET($GY$3,0,0,'Données projet'!$E$18+1,1))-AVERAGE(OFFSET($H$3,0,0,'Données projet'!$E$18+1,1))</f>
        <v>604.0566904089452</v>
      </c>
      <c r="HA42" s="59">
        <f t="shared" si="52"/>
        <v>369.5187835902687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15.386493214163361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15.386493214163361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9.75</v>
      </c>
      <c r="N43" s="13">
        <f>IF('Données projet'!$A$36&gt;35,N42+M43-V42,IF(A43&lt;'Données projet'!$A$36,$K$205^A43,IF(A43='Données projet'!$A$36,'Données projet'!$B$36,N42+M43-V42)))</f>
        <v>149</v>
      </c>
      <c r="O43" s="13">
        <f>N43*VLOOKUP('Données projet'!$B$9,Paramètres!$A$1:$I$89,3,0)*VLOOKUP('Données projet'!$B$9,Paramètres!$A$1:$I$89,5,0)</f>
        <v>134.81519999999998</v>
      </c>
      <c r="P43" s="13">
        <f t="shared" si="33"/>
        <v>35.106644529103392</v>
      </c>
      <c r="Q43" s="20">
        <f t="shared" si="53"/>
        <v>295.94721255485501</v>
      </c>
      <c r="R43" s="59">
        <f t="shared" si="0"/>
        <v>589.28054588818827</v>
      </c>
      <c r="S43" s="59">
        <f ca="1">AVERAGE(OFFSET($R$3,0,0,'Données projet'!$E$9+1,1))-AVERAGE(OFFSET($H$3,0,0,'Données projet'!$E$9+1,1))</f>
        <v>528.20489749461376</v>
      </c>
      <c r="T43" s="59">
        <f t="shared" si="34"/>
        <v>276.26988364830532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350</v>
      </c>
      <c r="AG43" s="12">
        <f>VLOOKUP(A43,'Données projet'!$A$61:$I$81,9,0)</f>
        <v>7.6</v>
      </c>
      <c r="AH43" s="12">
        <f t="array" ref="AH43">INDEX(AG:AG,MIN(IF(ISNUMBER(AG43:AG239),ROW(AG43:AG239),"")))</f>
        <v>7.6</v>
      </c>
      <c r="AI43" s="13">
        <f>IF('Données projet'!$A$62&gt;35,AI42+AH43-AQ42,IF(A43&lt;'Données projet'!$A$62,$AF$205^A43,IF(A43='Données projet'!$A$62,'Données projet'!$B$62,AI42+AH43-AQ42)))</f>
        <v>350.00000000000034</v>
      </c>
      <c r="AJ43" s="13">
        <f>AI43*VLOOKUP('Données projet'!$B$10,Paramètres!$A$1:$I$89,3,0)*VLOOKUP('Données projet'!$B$10,Paramètres!$A$1:$I$89,5,0)</f>
        <v>316.68000000000029</v>
      </c>
      <c r="AK43" s="13">
        <f t="shared" si="35"/>
        <v>74.662144360177834</v>
      </c>
      <c r="AL43" s="20">
        <f t="shared" si="4"/>
        <v>681.58756809397687</v>
      </c>
      <c r="AM43" s="59">
        <f t="shared" si="5"/>
        <v>974.92090142731013</v>
      </c>
      <c r="AN43" s="59">
        <f ca="1">AVERAGE(OFFSET($AM$3,0,0,'Données projet'!$E$10+1,1))-AVERAGE(OFFSET($H$3,0,0,'Données projet'!$E$10+1,1))</f>
        <v>436.23918637269577</v>
      </c>
      <c r="AO43" s="59">
        <f t="shared" si="36"/>
        <v>611.43967996341894</v>
      </c>
      <c r="AP43" s="15">
        <f>IF(ISNA(VLOOKUP(A43,'Données projet'!$A$61:$I$81,3,0)),0,VLOOKUP(A43,'Données projet'!$A$61:$I$81,3,0))</f>
        <v>8</v>
      </c>
      <c r="AQ43" s="15">
        <f>IF(ISNA(VLOOKUP(A43,'Données projet'!$A$61:$I$81,4,0)),0,VLOOKUP(A43,'Données projet'!$A$61:$I$81,4,0))</f>
        <v>9</v>
      </c>
      <c r="AR43" s="16">
        <f>IF(ISNA(VLOOKUP(A43,'Données projet'!$A$61:$I$81,5,0)),0%,VLOOKUP(A43,'Données projet'!$A$61:$I$81,5,0)*VLOOKUP('Données projet'!$B$10,Paramètres!$A$1:$I$89,7,0))</f>
        <v>0.18</v>
      </c>
      <c r="AS43" s="16">
        <f>IF(ISNA(VLOOKUP(A43,'Données projet'!$A$61:$I$81,6,0)),0%,VLOOKUP(A43,'Données projet'!$A$61:$I$81,6,0)*VLOOKUP('Données projet'!$B$10,Paramètres!$A$1:$I$89,7,0))</f>
        <v>0.09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5.4818362897990465</v>
      </c>
      <c r="AV43" s="21">
        <f>EXP(-LN(2)/25)*AV42+(1-EXP(-LN(2)/25))/(LN(2)/25)*Calculateur!AQ43*Calculateur!AS43*VLOOKUP('Données projet'!$B$10,Paramètres!$A$1:$I$89,3,0)*0.475*44/12</f>
        <v>10.789334252929066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16.271170542728115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11.142857142857142</v>
      </c>
      <c r="BD43" s="12">
        <f>IF('Données projet'!$A$88&gt;35,BD42+BC43-BL42,IF(A43&lt;'Données projet'!$A$88,$BA$205^A43,IF(A43='Données projet'!$A$88,'Données projet'!$B$88,BD42+BC43-BL42)))</f>
        <v>185.42857142857136</v>
      </c>
      <c r="BE43" s="13">
        <f>BD43*VLOOKUP('Données projet'!$B$11,Paramètres!$A$1:$I$89,3,0)*VLOOKUP('Données projet'!$B$11,Paramètres!$A$1:$I$89,5,0)</f>
        <v>144.63428571428565</v>
      </c>
      <c r="BF43" s="13">
        <f t="shared" si="37"/>
        <v>37.356634728420524</v>
      </c>
      <c r="BG43" s="20">
        <f t="shared" si="7"/>
        <v>316.96751977104657</v>
      </c>
      <c r="BH43" s="59">
        <f t="shared" si="8"/>
        <v>610.30085310437994</v>
      </c>
      <c r="BI43" s="59">
        <f ca="1">AVERAGE(OFFSET($BH$3,0,0,'Données projet'!$E$11+1,1))-AVERAGE(OFFSET($H$3,0,0,'Données projet'!$E$11+1,1))</f>
        <v>288.82868507674738</v>
      </c>
      <c r="BJ43" s="59">
        <f t="shared" si="38"/>
        <v>283.48738729114024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40.015499999999996</v>
      </c>
      <c r="BW43" s="12">
        <f>VLOOKUP(A43,'Données projet'!$A$113:$I$133,9,0)</f>
        <v>2.1629999999999989</v>
      </c>
      <c r="BX43" s="12">
        <f t="array" ref="BX43">INDEX(BW:BW,MIN(IF(ISNUMBER(BW43:BW239),ROW(BW43:BW239),"")))</f>
        <v>2.1629999999999989</v>
      </c>
      <c r="BY43" s="12">
        <f>IF('Données projet'!$A$114&gt;35,BY42+BX43-CG42,IF(A43&lt;'Données projet'!$A$114,$BV$205^A43,IF(A43='Données projet'!$A$114,'Données projet'!$B$114,BY42+BX43-CG42)))</f>
        <v>40.015499999999996</v>
      </c>
      <c r="BZ43" s="13">
        <f>BY43*VLOOKUP('Données projet'!$B$12,Paramètres!$A$1:$I$89,3,0)*VLOOKUP('Données projet'!$B$12,Paramètres!$A$1:$I$89,5,0)</f>
        <v>34.957540800000004</v>
      </c>
      <c r="CA43" s="13">
        <f t="shared" si="39"/>
        <v>10.651843583373456</v>
      </c>
      <c r="CB43" s="20">
        <f t="shared" si="10"/>
        <v>79.436344467708778</v>
      </c>
      <c r="CC43" s="59">
        <f t="shared" si="11"/>
        <v>372.76967780104212</v>
      </c>
      <c r="CD43" s="59">
        <f ca="1">AVERAGE(OFFSET($CC$3,0,0,'Données projet'!$E$12+1,1))-AVERAGE(OFFSET($H$3,0,0,'Données projet'!$E$12+1,1))</f>
        <v>93.329407403816901</v>
      </c>
      <c r="CE43" s="59">
        <f t="shared" si="40"/>
        <v>90.925148357295313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5.0469999999999997</v>
      </c>
      <c r="CH43" s="16">
        <f>IF(ISNA(VLOOKUP(A43,'Données projet'!$A$113:$I$133,5,0)),0%,VLOOKUP(A43,'Données projet'!$A$113:$I$133,5,0)*VLOOKUP('Données projet'!$B$12,Paramètres!$A$1:$I$89,7,0))</f>
        <v>0.129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0.62875688078973468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0.62875688078973468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429</v>
      </c>
      <c r="CR43" s="12">
        <f>VLOOKUP(A43,'Données projet'!$A$139:$I$159,9,0)</f>
        <v>18.2</v>
      </c>
      <c r="CS43" s="12">
        <f t="array" ref="CS43">INDEX(CR:CR,MIN(IF(ISNUMBER(CR43:CR239),ROW(CR43:CR239),"")))</f>
        <v>18.2</v>
      </c>
      <c r="CT43" s="12">
        <f>IF('Données projet'!$A$140&gt;35,CT42+CS43-DB42,IF(A43&lt;'Données projet'!$A$140,$CQ$205^A43,IF(A43='Données projet'!$A$140,'Données projet'!$B$140,CT42+CS43-DB42)))</f>
        <v>428.99999999999983</v>
      </c>
      <c r="CU43" s="17">
        <f>CT43*VLOOKUP('Données projet'!$B$13,Paramètres!$A$1:$I$89,3,0)*VLOOKUP('Données projet'!$B$13,Paramètres!$A$1:$I$89,5,0)</f>
        <v>408.23639999999983</v>
      </c>
      <c r="CV43" s="13">
        <f t="shared" si="41"/>
        <v>93.444483003287615</v>
      </c>
      <c r="CW43" s="20">
        <f t="shared" si="13"/>
        <v>873.76087123072557</v>
      </c>
      <c r="CX43" s="59">
        <f t="shared" si="14"/>
        <v>1167.0942045640588</v>
      </c>
      <c r="CY43" s="59">
        <f ca="1">AVERAGE(OFFSET($CX$3,0,0,'Données projet'!$E$13+1,1))-AVERAGE(OFFSET($H$3,0,0,'Données projet'!$E$13+1,1))</f>
        <v>805.04572055352492</v>
      </c>
      <c r="CZ43" s="59">
        <f t="shared" si="42"/>
        <v>708.66645042414962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54</v>
      </c>
      <c r="DC43" s="16">
        <f>IF(ISNA(VLOOKUP(A43,'Données projet'!$A$139:$I$159,5,0)),0%,VLOOKUP(A43,'Données projet'!$A$139:$I$159,5,0)*VLOOKUP('Données projet'!$B$13,Paramètres!$A$1:$I$89,7,0))</f>
        <v>0.129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7.3279924612973266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7.3279924612973266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303</v>
      </c>
      <c r="DM43" s="12">
        <f>VLOOKUP(A43,'Données projet'!$A$165:$I$185,9,0)</f>
        <v>11.8</v>
      </c>
      <c r="DN43" s="12">
        <f t="array" ref="DN43">INDEX(DM:DM,MIN(IF(ISNUMBER(DM43:DM239),ROW(DM43:DM239),"")))</f>
        <v>11.8</v>
      </c>
      <c r="DO43" s="12">
        <f>IF('Données projet'!$A$166&gt;35,DO42+DN43-DW42,IF(A43&lt;'Données projet'!$A$166,$DL$205^A43,IF(A43='Données projet'!$A$166,'Données projet'!$B$166,DO42+DN43-DW42)))</f>
        <v>303.00000000000011</v>
      </c>
      <c r="DP43" s="17">
        <f>DO43*VLOOKUP('Données projet'!$B$14,Paramètres!$A$1:$I$89,3,0)*VLOOKUP('Données projet'!$B$14,Paramètres!$A$1:$I$89,5,0)</f>
        <v>203.25240000000008</v>
      </c>
      <c r="DQ43" s="13">
        <f t="shared" si="43"/>
        <v>50.458274362577384</v>
      </c>
      <c r="DR43" s="20">
        <f t="shared" si="16"/>
        <v>441.8794245148224</v>
      </c>
      <c r="DS43" s="59">
        <f t="shared" si="17"/>
        <v>735.21275784815566</v>
      </c>
      <c r="DT43" s="59">
        <f ca="1">AVERAGE(OFFSET($DS$3,0,0,'Données projet'!$E$14+1,1))-AVERAGE(OFFSET($H$3,0,0,'Données projet'!$E$14+1,1))</f>
        <v>482.69499576870095</v>
      </c>
      <c r="DU43" s="59">
        <f t="shared" si="44"/>
        <v>384.28918352579575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29</v>
      </c>
      <c r="DX43" s="16">
        <f>IF(ISNA(VLOOKUP(A43,'Données projet'!$A$165:$I$185,5,0)),0%,VLOOKUP(A43,'Données projet'!$A$165:$I$185,5,0)*VLOOKUP('Données projet'!$B$14,Paramètres!$A$1:$I$89,7,0))</f>
        <v>0.159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3.419284885553731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3.419284885553731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7.05</v>
      </c>
      <c r="EJ43" s="12">
        <f>IF('Données projet'!$A$192&gt;35,EJ42+EI43-ER42,IF(A43&lt;'Données projet'!$A$192,$EG$205^A43,IF(A43='Données projet'!$A$192,'Données projet'!$B$192,EJ42+EI43-ER42)))</f>
        <v>195.75000000000011</v>
      </c>
      <c r="EK43" s="17">
        <f>EJ43*VLOOKUP('Données projet'!$B$15,Paramètres!$A$1:$I$89,3,0)*VLOOKUP('Données projet'!$B$15,Paramètres!$A$1:$I$89,5,0)</f>
        <v>143.52390000000008</v>
      </c>
      <c r="EL43" s="13">
        <f t="shared" si="45"/>
        <v>37.103109825509989</v>
      </c>
      <c r="EM43" s="20">
        <f t="shared" si="19"/>
        <v>314.59204211276341</v>
      </c>
      <c r="EN43" s="59">
        <f t="shared" si="20"/>
        <v>607.92537544609672</v>
      </c>
      <c r="EO43" s="59">
        <f ca="1">AVERAGE(OFFSET($EN$3,0,0,'Données projet'!$E$15+1,1))-AVERAGE(OFFSET($H$3,0,0,'Données projet'!$E$15+1,1))</f>
        <v>197.34725966440715</v>
      </c>
      <c r="EP43" s="59">
        <f t="shared" si="46"/>
        <v>240.16326570529532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13.004174459241138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13.004174459241138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25.666666666666668</v>
      </c>
      <c r="FE43" s="12">
        <f>IF('Données projet'!$A$218&gt;35,FE42+FD43-FM42,IF(A43&lt;'Données projet'!$A$218,$FB$205^A43,IF(A43='Données projet'!$A$218,'Données projet'!$B$218,FE42+FD43-FM42)))</f>
        <v>429.66666666666663</v>
      </c>
      <c r="FF43" s="17">
        <f>FE43*VLOOKUP('Données projet'!$B$16,Paramètres!$A$1:$I$89,3,0)*VLOOKUP('Données projet'!$B$16,Paramètres!$A$1:$I$89,5,0)</f>
        <v>240.18366666666665</v>
      </c>
      <c r="FG43" s="13">
        <f t="shared" si="47"/>
        <v>58.479045500716843</v>
      </c>
      <c r="FH43" s="20">
        <f t="shared" si="22"/>
        <v>520.17089035819288</v>
      </c>
      <c r="FI43" s="59">
        <f t="shared" si="23"/>
        <v>813.50422369152625</v>
      </c>
      <c r="FJ43" s="59">
        <f ca="1">AVERAGE(OFFSET($FI$3,0,0,'Données projet'!$E$16+1,1))-AVERAGE(OFFSET($H$3,0,0,'Données projet'!$E$16+1,1))</f>
        <v>346.42094266871379</v>
      </c>
      <c r="FK43" s="59">
        <f t="shared" si="48"/>
        <v>453.48153556975973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24.156520219955475</v>
      </c>
      <c r="FR43" s="21">
        <f>EXP(-LN(2)/25)*FR42+(1-EXP(-LN(2)/25))/(LN(2)/25)*Calculateur!FM43*Calculateur!FO43*VLOOKUP('Données projet'!$B$16,Paramètres!$A$1:$I$89,3,0)*0.475*44/12</f>
        <v>61.248634223914415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85.40515444386989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246.02499999999998</v>
      </c>
      <c r="FX43" s="12">
        <f>VLOOKUP(A43,'Données projet'!$A$243:$I$263,9,0)</f>
        <v>10</v>
      </c>
      <c r="FY43" s="12">
        <f t="array" ref="FY43">INDEX(FX:FX,MIN(IF(ISNUMBER(FX43:FX239),ROW(FX43:FX239),"")))</f>
        <v>10</v>
      </c>
      <c r="FZ43" s="12">
        <f>IF('Données projet'!$A$244&gt;35,FZ42+FY43-GH42,IF(A43&lt;'Données projet'!$A$244,$FW$205^A43,IF(A43='Données projet'!$A$244,'Données projet'!$B$244,FZ42+FY43-GH42)))</f>
        <v>246.02499999999992</v>
      </c>
      <c r="GA43" s="17">
        <f>FZ43*VLOOKUP('Données projet'!$B$17,Paramètres!$A$1:$I$89,3,0)*VLOOKUP('Données projet'!$B$17,Paramètres!$A$1:$I$89,5,0)</f>
        <v>115.13969999999998</v>
      </c>
      <c r="GB43" s="13">
        <f t="shared" si="49"/>
        <v>30.538700834930708</v>
      </c>
      <c r="GC43" s="20">
        <f t="shared" si="25"/>
        <v>253.72321478750428</v>
      </c>
      <c r="GD43" s="59">
        <f t="shared" si="26"/>
        <v>547.05654812083753</v>
      </c>
      <c r="GE43" s="59">
        <f ca="1">AVERAGE(OFFSET($GD$3,0,0,'Données projet'!$E$17+1,1))-AVERAGE(OFFSET($H$3,0,0,'Données projet'!$E$17+1,1))</f>
        <v>198.26255998041</v>
      </c>
      <c r="GF43" s="59">
        <f t="shared" si="50"/>
        <v>238.62101708181166</v>
      </c>
      <c r="GG43" s="15">
        <f>IF(ISNA(VLOOKUP(A43,'Données projet'!$A$243:$I$263,3,0)),0,VLOOKUP(A43,'Données projet'!$A$243:$I$263,3,0))</f>
        <v>3</v>
      </c>
      <c r="GH43" s="15">
        <f>IF(ISNA(VLOOKUP(A43,'Données projet'!$A$243:$I$263,4,0)),0,VLOOKUP(A43,'Données projet'!$A$243:$I$263,4,0))</f>
        <v>49.204999999999998</v>
      </c>
      <c r="GI43" s="16">
        <f>IF(ISNA(VLOOKUP(A43,'Données projet'!$A$243:$I$263,5,0)),0%,VLOOKUP(A43,'Données projet'!$A$243:$I$263,5,0)*VLOOKUP('Données projet'!$B$17,Paramètres!$A$1:$I$89,7,0))</f>
        <v>0.27500000000000002</v>
      </c>
      <c r="GJ43" s="16">
        <f>IF(ISNA(VLOOKUP(A43,'Données projet'!$A$243:$I$263,6,0)),0%,VLOOKUP(A43,'Données projet'!$A$243:$I$263,6,0)*VLOOKUP('Données projet'!$B$17,Paramètres!$A$1:$I$89,7,0))</f>
        <v>0.27500000000000002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8.4007128386484613</v>
      </c>
      <c r="GM43" s="21">
        <f>EXP(-LN(2)/25)*GM42+(1-EXP(-LN(2)/25))/(LN(2)/25)*Calculateur!GH43*Calculateur!GJ43*VLOOKUP('Données projet'!$B$17,Paramètres!$A$1:$I$89,3,0)*0.475*44/12</f>
        <v>31.71649900422549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40.117211842873949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208</v>
      </c>
      <c r="GS43" s="12">
        <f>VLOOKUP(A43,'Données projet'!$A$269:$I$289,9,0)</f>
        <v>12.4</v>
      </c>
      <c r="GT43" s="12">
        <f t="array" ref="GT43">INDEX(GS:GS,MIN(IF(ISNUMBER(GS43:GS239),ROW(GS43:GS239),"")))</f>
        <v>12.4</v>
      </c>
      <c r="GU43" s="12">
        <f>IF('Données projet'!$A$270&gt;35,GU42+GT43-HC42,IF(A43&lt;'Données projet'!$A$270,$GR$205^A43,IF(A43='Données projet'!$A$270,'Données projet'!$B$270,GU42+GT43-HC42)))</f>
        <v>208.00000000000003</v>
      </c>
      <c r="GV43" s="17">
        <f>GU43*VLOOKUP('Données projet'!$B$18,Paramètres!$A$1:$I$89,3,0)*VLOOKUP('Données projet'!$B$18,Paramètres!$A$1:$I$89,5,0)</f>
        <v>239.61599999999999</v>
      </c>
      <c r="GW43" s="13">
        <f t="shared" si="51"/>
        <v>58.356903313490157</v>
      </c>
      <c r="GX43" s="20">
        <f t="shared" si="28"/>
        <v>518.96947327099531</v>
      </c>
      <c r="GY43" s="59">
        <f t="shared" si="29"/>
        <v>812.30280660432868</v>
      </c>
      <c r="GZ43" s="59">
        <f ca="1">AVERAGE(OFFSET($GY$3,0,0,'Données projet'!$E$18+1,1))-AVERAGE(OFFSET($H$3,0,0,'Données projet'!$E$18+1,1))</f>
        <v>604.0566904089452</v>
      </c>
      <c r="HA43" s="59">
        <f t="shared" si="52"/>
        <v>369.5187835902687</v>
      </c>
      <c r="HB43" s="15">
        <f>IF(ISNA(VLOOKUP(A43,'Données projet'!$A$269:$I$289,3,0)),0,VLOOKUP(A43,'Données projet'!$A$269:$I$289,3,0))</f>
        <v>4</v>
      </c>
      <c r="HC43" s="15">
        <f>IF(ISNA(VLOOKUP(A43,'Données projet'!$A$269:$I$289,4,0)),0,VLOOKUP(A43,'Données projet'!$A$269:$I$289,4,0))</f>
        <v>34</v>
      </c>
      <c r="HD43" s="16">
        <f>IF(ISNA(VLOOKUP(A43,'Données projet'!$A$269:$I$289,5,0)),0%,VLOOKUP(A43,'Données projet'!$A$269:$I$289,5,0)*VLOOKUP('Données projet'!$B$18,Paramètres!$A$1:$I$89,7,0))</f>
        <v>0.22500000000000001</v>
      </c>
      <c r="HE43" s="16">
        <f>IF(ISNA(VLOOKUP(A43,'Données projet'!$A$269:$I$289,6,0)),0%,VLOOKUP(A43,'Données projet'!$A$269:$I$289,6,0)*VLOOKUP('Données projet'!$B$18,Paramètres!$A$1:$I$89,7,0))</f>
        <v>0.22500000000000001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6.3324880844861893</v>
      </c>
      <c r="HH43" s="21">
        <f>EXP(-LN(2)/25)*HH42+(1-EXP(-LN(2)/25))/(LN(2)/25)*Calculateur!HC43*Calculateur!HE43*VLOOKUP('Données projet'!$B$18,Paramètres!$A$1:$I$89,3,0)*0.475*44/12</f>
        <v>21.273303414111993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27.605791498598183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9.75</v>
      </c>
      <c r="N44" s="13">
        <f>IF('Données projet'!$A$36&gt;35,N43+M44-V43,IF(A44&lt;'Données projet'!$A$36,$K$205^A44,IF(A44='Données projet'!$A$36,'Données projet'!$B$36,N43+M44-V43)))</f>
        <v>158.75</v>
      </c>
      <c r="O44" s="13">
        <f>N44*VLOOKUP('Données projet'!$B$9,Paramètres!$A$1:$I$89,3,0)*VLOOKUP('Données projet'!$B$9,Paramètres!$A$1:$I$89,5,0)</f>
        <v>143.637</v>
      </c>
      <c r="P44" s="13">
        <f t="shared" si="33"/>
        <v>37.128943398953339</v>
      </c>
      <c r="Q44" s="20">
        <f t="shared" si="53"/>
        <v>314.83401808651041</v>
      </c>
      <c r="R44" s="59">
        <f t="shared" si="0"/>
        <v>608.16735141984373</v>
      </c>
      <c r="S44" s="59">
        <f ca="1">AVERAGE(OFFSET($R$3,0,0,'Données projet'!$E$9+1,1))-AVERAGE(OFFSET($H$3,0,0,'Données projet'!$E$9+1,1))</f>
        <v>528.20489749461376</v>
      </c>
      <c r="T44" s="59">
        <f t="shared" si="34"/>
        <v>276.26988364830532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7.4</v>
      </c>
      <c r="AI44" s="13">
        <f>IF('Données projet'!$A$62&gt;35,AI43+AH44-AQ43,IF(A44&lt;'Données projet'!$A$62,$AF$205^A44,IF(A44='Données projet'!$A$62,'Données projet'!$B$62,AI43+AH44-AQ43)))</f>
        <v>348.40000000000032</v>
      </c>
      <c r="AJ44" s="13">
        <f>AI44*VLOOKUP('Données projet'!$B$10,Paramètres!$A$1:$I$89,3,0)*VLOOKUP('Données projet'!$B$10,Paramètres!$A$1:$I$89,5,0)</f>
        <v>315.2323200000003</v>
      </c>
      <c r="AK44" s="13">
        <f t="shared" si="35"/>
        <v>74.360480118488482</v>
      </c>
      <c r="AL44" s="20">
        <f t="shared" si="4"/>
        <v>678.54079353970121</v>
      </c>
      <c r="AM44" s="59">
        <f t="shared" si="5"/>
        <v>971.87412687303458</v>
      </c>
      <c r="AN44" s="59">
        <f ca="1">AVERAGE(OFFSET($AM$3,0,0,'Données projet'!$E$10+1,1))-AVERAGE(OFFSET($H$3,0,0,'Données projet'!$E$10+1,1))</f>
        <v>436.23918637269577</v>
      </c>
      <c r="AO44" s="59">
        <f t="shared" si="36"/>
        <v>611.43967996341894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5.3743408237460715</v>
      </c>
      <c r="AV44" s="21">
        <f>EXP(-LN(2)/25)*AV43+(1-EXP(-LN(2)/25))/(LN(2)/25)*Calculateur!AQ44*Calculateur!AS44*VLOOKUP('Données projet'!$B$10,Paramètres!$A$1:$I$89,3,0)*0.475*44/12</f>
        <v>10.494299340396292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15.868640164142363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11.142857142857142</v>
      </c>
      <c r="BD44" s="12">
        <f>IF('Données projet'!$A$88&gt;35,BD43+BC44-BL43,IF(A44&lt;'Données projet'!$A$88,$BA$205^A44,IF(A44='Données projet'!$A$88,'Données projet'!$B$88,BD43+BC44-BL43)))</f>
        <v>196.5714285714285</v>
      </c>
      <c r="BE44" s="13">
        <f>BD44*VLOOKUP('Données projet'!$B$11,Paramètres!$A$1:$I$89,3,0)*VLOOKUP('Données projet'!$B$11,Paramètres!$A$1:$I$89,5,0)</f>
        <v>153.32571428571424</v>
      </c>
      <c r="BF44" s="13">
        <f t="shared" si="37"/>
        <v>39.333398837614155</v>
      </c>
      <c r="BG44" s="20">
        <f t="shared" si="7"/>
        <v>335.5479553564636</v>
      </c>
      <c r="BH44" s="59">
        <f t="shared" si="8"/>
        <v>628.88128868979697</v>
      </c>
      <c r="BI44" s="59">
        <f ca="1">AVERAGE(OFFSET($BH$3,0,0,'Données projet'!$E$11+1,1))-AVERAGE(OFFSET($H$3,0,0,'Données projet'!$E$11+1,1))</f>
        <v>288.82868507674738</v>
      </c>
      <c r="BJ44" s="59">
        <f t="shared" si="38"/>
        <v>283.48738729114024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1.8745999999999996</v>
      </c>
      <c r="BY44" s="12">
        <f>IF('Données projet'!$A$114&gt;35,BY43+BX44-CG43,IF(A44&lt;'Données projet'!$A$114,$BV$205^A44,IF(A44='Données projet'!$A$114,'Données projet'!$B$114,BY43+BX44-CG43)))</f>
        <v>36.8431</v>
      </c>
      <c r="BZ44" s="13">
        <f>BY44*VLOOKUP('Données projet'!$B$12,Paramètres!$A$1:$I$89,3,0)*VLOOKUP('Données projet'!$B$12,Paramètres!$A$1:$I$89,5,0)</f>
        <v>32.186132160000007</v>
      </c>
      <c r="CA44" s="13">
        <f t="shared" si="39"/>
        <v>9.9021205204776948</v>
      </c>
      <c r="CB44" s="20">
        <f t="shared" si="10"/>
        <v>73.303706751831996</v>
      </c>
      <c r="CC44" s="59">
        <f t="shared" si="11"/>
        <v>366.63704008516532</v>
      </c>
      <c r="CD44" s="59">
        <f ca="1">AVERAGE(OFFSET($CC$3,0,0,'Données projet'!$E$12+1,1))-AVERAGE(OFFSET($H$3,0,0,'Données projet'!$E$12+1,1))</f>
        <v>93.329407403816901</v>
      </c>
      <c r="CE44" s="59">
        <f t="shared" si="40"/>
        <v>90.925148357295313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0.61642734186127746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0.61642734186127746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17.2</v>
      </c>
      <c r="CT44" s="12">
        <f>IF('Données projet'!$A$140&gt;35,CT43+CS44-DB43,IF(A44&lt;'Données projet'!$A$140,$CQ$205^A44,IF(A44='Données projet'!$A$140,'Données projet'!$B$140,CT43+CS44-DB43)))</f>
        <v>392.19999999999982</v>
      </c>
      <c r="CU44" s="17">
        <f>CT44*VLOOKUP('Données projet'!$B$13,Paramètres!$A$1:$I$89,3,0)*VLOOKUP('Données projet'!$B$13,Paramètres!$A$1:$I$89,5,0)</f>
        <v>373.21751999999981</v>
      </c>
      <c r="CV44" s="13">
        <f t="shared" si="41"/>
        <v>86.325222842693151</v>
      </c>
      <c r="CW44" s="20">
        <f t="shared" si="13"/>
        <v>800.37027711769031</v>
      </c>
      <c r="CX44" s="59">
        <f t="shared" si="14"/>
        <v>1093.7036104510237</v>
      </c>
      <c r="CY44" s="59">
        <f ca="1">AVERAGE(OFFSET($CX$3,0,0,'Données projet'!$E$13+1,1))-AVERAGE(OFFSET($H$3,0,0,'Données projet'!$E$13+1,1))</f>
        <v>805.04572055352492</v>
      </c>
      <c r="CZ44" s="59">
        <f t="shared" si="42"/>
        <v>708.66645042414962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7.1842949987653482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7.1842949987653482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11.2</v>
      </c>
      <c r="DO44" s="12">
        <f>IF('Données projet'!$A$166&gt;35,DO43+DN44-DW43,IF(A44&lt;'Données projet'!$A$166,$DL$205^A44,IF(A44='Données projet'!$A$166,'Données projet'!$B$166,DO43+DN44-DW43)))</f>
        <v>285.2000000000001</v>
      </c>
      <c r="DP44" s="17">
        <f>DO44*VLOOKUP('Données projet'!$B$14,Paramètres!$A$1:$I$89,3,0)*VLOOKUP('Données projet'!$B$14,Paramètres!$A$1:$I$89,5,0)</f>
        <v>191.31216000000006</v>
      </c>
      <c r="DQ44" s="13">
        <f t="shared" si="43"/>
        <v>47.829936494057677</v>
      </c>
      <c r="DR44" s="20">
        <f t="shared" si="16"/>
        <v>416.50581806048393</v>
      </c>
      <c r="DS44" s="59">
        <f t="shared" si="17"/>
        <v>709.83915139381725</v>
      </c>
      <c r="DT44" s="59">
        <f ca="1">AVERAGE(OFFSET($DS$3,0,0,'Données projet'!$E$14+1,1))-AVERAGE(OFFSET($H$3,0,0,'Données projet'!$E$14+1,1))</f>
        <v>482.69499576870095</v>
      </c>
      <c r="DU44" s="59">
        <f t="shared" si="44"/>
        <v>384.28918352579575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3.3522347945058706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3.3522347945058706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7.05</v>
      </c>
      <c r="EJ44" s="12">
        <f>IF('Données projet'!$A$192&gt;35,EJ43+EI44-ER43,IF(A44&lt;'Données projet'!$A$192,$EG$205^A44,IF(A44='Données projet'!$A$192,'Données projet'!$B$192,EJ43+EI44-ER43)))</f>
        <v>202.80000000000013</v>
      </c>
      <c r="EK44" s="17">
        <f>EJ44*VLOOKUP('Données projet'!$B$15,Paramètres!$A$1:$I$89,3,0)*VLOOKUP('Données projet'!$B$15,Paramètres!$A$1:$I$89,5,0)</f>
        <v>148.69296000000008</v>
      </c>
      <c r="EL44" s="13">
        <f t="shared" si="45"/>
        <v>38.281404966971365</v>
      </c>
      <c r="EM44" s="20">
        <f t="shared" si="19"/>
        <v>325.64701898414194</v>
      </c>
      <c r="EN44" s="59">
        <f t="shared" si="20"/>
        <v>618.98035231747531</v>
      </c>
      <c r="EO44" s="59">
        <f ca="1">AVERAGE(OFFSET($EN$3,0,0,'Données projet'!$E$15+1,1))-AVERAGE(OFFSET($H$3,0,0,'Données projet'!$E$15+1,1))</f>
        <v>197.34725966440715</v>
      </c>
      <c r="EP44" s="59">
        <f t="shared" si="46"/>
        <v>240.16326570529532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12.648574624793376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12.648574624793376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25.666666666666668</v>
      </c>
      <c r="FE44" s="12">
        <f>IF('Données projet'!$A$218&gt;35,FE43+FD44-FM43,IF(A44&lt;'Données projet'!$A$218,$FB$205^A44,IF(A44='Données projet'!$A$218,'Données projet'!$B$218,FE43+FD44-FM43)))</f>
        <v>455.33333333333331</v>
      </c>
      <c r="FF44" s="17">
        <f>FE44*VLOOKUP('Données projet'!$B$16,Paramètres!$A$1:$I$89,3,0)*VLOOKUP('Données projet'!$B$16,Paramètres!$A$1:$I$89,5,0)</f>
        <v>254.53133333333332</v>
      </c>
      <c r="FG44" s="13">
        <f t="shared" si="47"/>
        <v>61.55524094299377</v>
      </c>
      <c r="FH44" s="20">
        <f t="shared" si="22"/>
        <v>550.51745019793634</v>
      </c>
      <c r="FI44" s="59">
        <f t="shared" si="23"/>
        <v>843.8507835312696</v>
      </c>
      <c r="FJ44" s="59">
        <f ca="1">AVERAGE(OFFSET($FI$3,0,0,'Données projet'!$E$16+1,1))-AVERAGE(OFFSET($H$3,0,0,'Données projet'!$E$16+1,1))</f>
        <v>346.42094266871379</v>
      </c>
      <c r="FK44" s="59">
        <f t="shared" si="48"/>
        <v>453.48153556975973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23.682825592464617</v>
      </c>
      <c r="FR44" s="21">
        <f>EXP(-LN(2)/25)*FR43+(1-EXP(-LN(2)/25))/(LN(2)/25)*Calculateur!FM44*Calculateur!FO44*VLOOKUP('Données projet'!$B$16,Paramètres!$A$1:$I$89,3,0)*0.475*44/12</f>
        <v>59.573787100135789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83.256612692600413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11.5</v>
      </c>
      <c r="FZ44" s="12">
        <f>IF('Données projet'!$A$244&gt;35,FZ43+FY44-GH43,IF(A44&lt;'Données projet'!$A$244,$FW$205^A44,IF(A44='Données projet'!$A$244,'Données projet'!$B$244,FZ43+FY44-GH43)))</f>
        <v>208.31999999999994</v>
      </c>
      <c r="GA44" s="17">
        <f>FZ44*VLOOKUP('Données projet'!$B$17,Paramètres!$A$1:$I$89,3,0)*VLOOKUP('Données projet'!$B$17,Paramètres!$A$1:$I$89,5,0)</f>
        <v>97.493759999999966</v>
      </c>
      <c r="GB44" s="13">
        <f t="shared" si="49"/>
        <v>26.364041280888848</v>
      </c>
      <c r="GC44" s="20">
        <f t="shared" si="25"/>
        <v>215.71900389754799</v>
      </c>
      <c r="GD44" s="59">
        <f t="shared" si="26"/>
        <v>509.05233723088134</v>
      </c>
      <c r="GE44" s="59">
        <f ca="1">AVERAGE(OFFSET($GD$3,0,0,'Données projet'!$E$17+1,1))-AVERAGE(OFFSET($H$3,0,0,'Données projet'!$E$17+1,1))</f>
        <v>198.26255998041</v>
      </c>
      <c r="GF44" s="59">
        <f t="shared" si="50"/>
        <v>238.62101708181166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8.2359799838114505</v>
      </c>
      <c r="GM44" s="21">
        <f>EXP(-LN(2)/25)*GM43+(1-EXP(-LN(2)/25))/(LN(2)/25)*Calculateur!GH44*Calculateur!GJ44*VLOOKUP('Données projet'!$B$17,Paramètres!$A$1:$I$89,3,0)*0.475*44/12</f>
        <v>30.849209671056752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39.085189654868202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14.1</v>
      </c>
      <c r="GU44" s="12">
        <f>IF('Données projet'!$A$270&gt;35,GU43+GT44-HC43,IF(A44&lt;'Données projet'!$A$270,$GR$205^A44,IF(A44='Données projet'!$A$270,'Données projet'!$B$270,GU43+GT44-HC43)))</f>
        <v>188.10000000000002</v>
      </c>
      <c r="GV44" s="17">
        <f>GU44*VLOOKUP('Données projet'!$B$18,Paramètres!$A$1:$I$89,3,0)*VLOOKUP('Données projet'!$B$18,Paramètres!$A$1:$I$89,5,0)</f>
        <v>216.69120000000001</v>
      </c>
      <c r="GW44" s="13">
        <f t="shared" si="51"/>
        <v>53.395101343933455</v>
      </c>
      <c r="GX44" s="20">
        <f t="shared" si="28"/>
        <v>470.40030817401748</v>
      </c>
      <c r="GY44" s="59">
        <f t="shared" si="29"/>
        <v>763.73364150735074</v>
      </c>
      <c r="GZ44" s="59">
        <f ca="1">AVERAGE(OFFSET($GY$3,0,0,'Données projet'!$E$18+1,1))-AVERAGE(OFFSET($H$3,0,0,'Données projet'!$E$18+1,1))</f>
        <v>604.0566904089452</v>
      </c>
      <c r="HA44" s="59">
        <f t="shared" si="52"/>
        <v>369.5187835902687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6.2083118555857624</v>
      </c>
      <c r="HH44" s="21">
        <f>EXP(-LN(2)/25)*HH43+(1-EXP(-LN(2)/25))/(LN(2)/25)*Calculateur!HC44*Calculateur!HE44*VLOOKUP('Données projet'!$B$18,Paramètres!$A$1:$I$89,3,0)*0.475*44/12</f>
        <v>20.691583813538696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26.899895669124458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9.75</v>
      </c>
      <c r="N45" s="13">
        <f>IF('Données projet'!$A$36&gt;35,N44+M45-V44,IF(A45&lt;'Données projet'!$A$36,$K$205^A45,IF(A45='Données projet'!$A$36,'Données projet'!$B$36,N44+M45-V44)))</f>
        <v>168.5</v>
      </c>
      <c r="O45" s="13">
        <f>N45*VLOOKUP('Données projet'!$B$9,Paramètres!$A$1:$I$89,3,0)*VLOOKUP('Données projet'!$B$9,Paramètres!$A$1:$I$89,5,0)</f>
        <v>152.4588</v>
      </c>
      <c r="P45" s="13">
        <f t="shared" si="33"/>
        <v>39.136826892074332</v>
      </c>
      <c r="Q45" s="20">
        <f t="shared" si="53"/>
        <v>333.69571683702947</v>
      </c>
      <c r="R45" s="59">
        <f t="shared" si="0"/>
        <v>627.02905017036278</v>
      </c>
      <c r="S45" s="59">
        <f ca="1">AVERAGE(OFFSET($R$3,0,0,'Données projet'!$E$9+1,1))-AVERAGE(OFFSET($H$3,0,0,'Données projet'!$E$9+1,1))</f>
        <v>528.20489749461376</v>
      </c>
      <c r="T45" s="59">
        <f t="shared" si="34"/>
        <v>276.26988364830532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7.4</v>
      </c>
      <c r="AI45" s="13">
        <f>IF('Données projet'!$A$62&gt;35,AI44+AH45-AQ44,IF(A45&lt;'Données projet'!$A$62,$AF$205^A45,IF(A45='Données projet'!$A$62,'Données projet'!$B$62,AI44+AH45-AQ44)))</f>
        <v>355.8000000000003</v>
      </c>
      <c r="AJ45" s="13">
        <f>AI45*VLOOKUP('Données projet'!$B$10,Paramètres!$A$1:$I$89,3,0)*VLOOKUP('Données projet'!$B$10,Paramètres!$A$1:$I$89,5,0)</f>
        <v>321.92784000000023</v>
      </c>
      <c r="AK45" s="13">
        <f t="shared" si="35"/>
        <v>75.754337936715828</v>
      </c>
      <c r="AL45" s="20">
        <f t="shared" si="4"/>
        <v>692.6297932397805</v>
      </c>
      <c r="AM45" s="59">
        <f t="shared" si="5"/>
        <v>985.96312657311387</v>
      </c>
      <c r="AN45" s="59">
        <f ca="1">AVERAGE(OFFSET($AM$3,0,0,'Données projet'!$E$10+1,1))-AVERAGE(OFFSET($H$3,0,0,'Données projet'!$E$10+1,1))</f>
        <v>436.23918637269577</v>
      </c>
      <c r="AO45" s="59">
        <f t="shared" si="36"/>
        <v>611.43967996341894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5.2689532782166353</v>
      </c>
      <c r="AV45" s="21">
        <f>EXP(-LN(2)/25)*AV44+(1-EXP(-LN(2)/25))/(LN(2)/25)*Calculateur!AQ45*Calculateur!AS45*VLOOKUP('Données projet'!$B$10,Paramètres!$A$1:$I$89,3,0)*0.475*44/12</f>
        <v>10.207332173061939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15.476285451278574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11.142857142857142</v>
      </c>
      <c r="BD45" s="12">
        <f>IF('Données projet'!$A$88&gt;35,BD44+BC45-BL44,IF(A45&lt;'Données projet'!$A$88,$BA$205^A45,IF(A45='Données projet'!$A$88,'Données projet'!$B$88,BD44+BC45-BL44)))</f>
        <v>207.71428571428564</v>
      </c>
      <c r="BE45" s="13">
        <f>BD45*VLOOKUP('Données projet'!$B$11,Paramètres!$A$1:$I$89,3,0)*VLOOKUP('Données projet'!$B$11,Paramètres!$A$1:$I$89,5,0)</f>
        <v>162.0171428571428</v>
      </c>
      <c r="BF45" s="13">
        <f t="shared" si="37"/>
        <v>41.29715533509664</v>
      </c>
      <c r="BG45" s="20">
        <f t="shared" si="7"/>
        <v>354.10573601815037</v>
      </c>
      <c r="BH45" s="59">
        <f t="shared" si="8"/>
        <v>647.43906935148368</v>
      </c>
      <c r="BI45" s="59">
        <f ca="1">AVERAGE(OFFSET($BH$3,0,0,'Données projet'!$E$11+1,1))-AVERAGE(OFFSET($H$3,0,0,'Données projet'!$E$11+1,1))</f>
        <v>288.82868507674738</v>
      </c>
      <c r="BJ45" s="59">
        <f t="shared" si="38"/>
        <v>283.48738729114024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1.8745999999999996</v>
      </c>
      <c r="BY45" s="12">
        <f>IF('Données projet'!$A$114&gt;35,BY44+BX45-CG44,IF(A45&lt;'Données projet'!$A$114,$BV$205^A45,IF(A45='Données projet'!$A$114,'Données projet'!$B$114,BY44+BX45-CG44)))</f>
        <v>38.717700000000001</v>
      </c>
      <c r="BZ45" s="13">
        <f>BY45*VLOOKUP('Données projet'!$B$12,Paramètres!$A$1:$I$89,3,0)*VLOOKUP('Données projet'!$B$12,Paramètres!$A$1:$I$89,5,0)</f>
        <v>33.823782720000004</v>
      </c>
      <c r="CA45" s="13">
        <f t="shared" si="39"/>
        <v>10.346007273392118</v>
      </c>
      <c r="CB45" s="20">
        <f t="shared" si="10"/>
        <v>76.929050905157936</v>
      </c>
      <c r="CC45" s="59">
        <f t="shared" si="11"/>
        <v>370.26238423849122</v>
      </c>
      <c r="CD45" s="59">
        <f ca="1">AVERAGE(OFFSET($CC$3,0,0,'Données projet'!$E$12+1,1))-AVERAGE(OFFSET($H$3,0,0,'Données projet'!$E$12+1,1))</f>
        <v>93.329407403816901</v>
      </c>
      <c r="CE45" s="59">
        <f t="shared" si="40"/>
        <v>90.925148357295313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0.60433957767093105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0.60433957767093105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17.2</v>
      </c>
      <c r="CT45" s="12">
        <f>IF('Données projet'!$A$140&gt;35,CT44+CS45-DB44,IF(A45&lt;'Données projet'!$A$140,$CQ$205^A45,IF(A45='Données projet'!$A$140,'Données projet'!$B$140,CT44+CS45-DB44)))</f>
        <v>409.39999999999981</v>
      </c>
      <c r="CU45" s="17">
        <f>CT45*VLOOKUP('Données projet'!$B$13,Paramètres!$A$1:$I$89,3,0)*VLOOKUP('Données projet'!$B$13,Paramètres!$A$1:$I$89,5,0)</f>
        <v>389.58503999999982</v>
      </c>
      <c r="CV45" s="13">
        <f t="shared" si="41"/>
        <v>89.661960800223454</v>
      </c>
      <c r="CW45" s="20">
        <f t="shared" si="13"/>
        <v>834.68852639372233</v>
      </c>
      <c r="CX45" s="59">
        <f t="shared" si="14"/>
        <v>1128.0218597270557</v>
      </c>
      <c r="CY45" s="59">
        <f ca="1">AVERAGE(OFFSET($CX$3,0,0,'Données projet'!$E$13+1,1))-AVERAGE(OFFSET($H$3,0,0,'Données projet'!$E$13+1,1))</f>
        <v>805.04572055352492</v>
      </c>
      <c r="CZ45" s="59">
        <f t="shared" si="42"/>
        <v>708.66645042414962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7.0434153558268235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7.0434153558268235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11.2</v>
      </c>
      <c r="DO45" s="12">
        <f>IF('Données projet'!$A$166&gt;35,DO44+DN45-DW44,IF(A45&lt;'Données projet'!$A$166,$DL$205^A45,IF(A45='Données projet'!$A$166,'Données projet'!$B$166,DO44+DN45-DW44)))</f>
        <v>296.40000000000009</v>
      </c>
      <c r="DP45" s="17">
        <f>DO45*VLOOKUP('Données projet'!$B$14,Paramètres!$A$1:$I$89,3,0)*VLOOKUP('Données projet'!$B$14,Paramètres!$A$1:$I$89,5,0)</f>
        <v>198.82512000000008</v>
      </c>
      <c r="DQ45" s="13">
        <f t="shared" si="43"/>
        <v>49.485876190816356</v>
      </c>
      <c r="DR45" s="20">
        <f t="shared" si="16"/>
        <v>432.47498503233857</v>
      </c>
      <c r="DS45" s="59">
        <f t="shared" si="17"/>
        <v>725.80831836567188</v>
      </c>
      <c r="DT45" s="59">
        <f ca="1">AVERAGE(OFFSET($DS$3,0,0,'Données projet'!$E$14+1,1))-AVERAGE(OFFSET($H$3,0,0,'Données projet'!$E$14+1,1))</f>
        <v>482.69499576870095</v>
      </c>
      <c r="DU45" s="59">
        <f t="shared" si="44"/>
        <v>384.28918352579575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3.2864995148469416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3.2864995148469416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7.05</v>
      </c>
      <c r="EJ45" s="12">
        <f>IF('Données projet'!$A$192&gt;35,EJ44+EI45-ER44,IF(A45&lt;'Données projet'!$A$192,$EG$205^A45,IF(A45='Données projet'!$A$192,'Données projet'!$B$192,EJ44+EI45-ER44)))</f>
        <v>209.85000000000014</v>
      </c>
      <c r="EK45" s="17">
        <f>EJ45*VLOOKUP('Données projet'!$B$15,Paramètres!$A$1:$I$89,3,0)*VLOOKUP('Données projet'!$B$15,Paramètres!$A$1:$I$89,5,0)</f>
        <v>153.86202000000011</v>
      </c>
      <c r="EL45" s="13">
        <f t="shared" si="45"/>
        <v>39.454940817339221</v>
      </c>
      <c r="EM45" s="20">
        <f t="shared" si="19"/>
        <v>336.69370675686599</v>
      </c>
      <c r="EN45" s="59">
        <f t="shared" si="20"/>
        <v>630.02704009019931</v>
      </c>
      <c r="EO45" s="59">
        <f ca="1">AVERAGE(OFFSET($EN$3,0,0,'Données projet'!$E$15+1,1))-AVERAGE(OFFSET($H$3,0,0,'Données projet'!$E$15+1,1))</f>
        <v>197.34725966440715</v>
      </c>
      <c r="EP45" s="59">
        <f t="shared" si="46"/>
        <v>240.16326570529532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12.30269868651877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12.30269868651877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25.666666666666668</v>
      </c>
      <c r="FE45" s="12">
        <f>IF('Données projet'!$A$218&gt;35,FE44+FD45-FM44,IF(A45&lt;'Données projet'!$A$218,$FB$205^A45,IF(A45='Données projet'!$A$218,'Données projet'!$B$218,FE44+FD45-FM44)))</f>
        <v>481</v>
      </c>
      <c r="FF45" s="17">
        <f>FE45*VLOOKUP('Données projet'!$B$16,Paramètres!$A$1:$I$89,3,0)*VLOOKUP('Données projet'!$B$16,Paramètres!$A$1:$I$89,5,0)</f>
        <v>268.87899999999996</v>
      </c>
      <c r="FG45" s="13">
        <f t="shared" si="47"/>
        <v>64.611307219969405</v>
      </c>
      <c r="FH45" s="20">
        <f t="shared" si="22"/>
        <v>580.82895174144664</v>
      </c>
      <c r="FI45" s="59">
        <f t="shared" si="23"/>
        <v>874.1622850747799</v>
      </c>
      <c r="FJ45" s="59">
        <f ca="1">AVERAGE(OFFSET($FI$3,0,0,'Données projet'!$E$16+1,1))-AVERAGE(OFFSET($H$3,0,0,'Données projet'!$E$16+1,1))</f>
        <v>346.42094266871379</v>
      </c>
      <c r="FK45" s="59">
        <f t="shared" si="48"/>
        <v>453.48153556975973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23.218419827693662</v>
      </c>
      <c r="FR45" s="21">
        <f>EXP(-LN(2)/25)*FR44+(1-EXP(-LN(2)/25))/(LN(2)/25)*Calculateur!FM45*Calculateur!FO45*VLOOKUP('Données projet'!$B$16,Paramètres!$A$1:$I$89,3,0)*0.475*44/12</f>
        <v>57.944738759033271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81.163158586726937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11.5</v>
      </c>
      <c r="FZ45" s="12">
        <f>IF('Données projet'!$A$244&gt;35,FZ44+FY45-GH44,IF(A45&lt;'Données projet'!$A$244,$FW$205^A45,IF(A45='Données projet'!$A$244,'Données projet'!$B$244,FZ44+FY45-GH44)))</f>
        <v>219.81999999999994</v>
      </c>
      <c r="GA45" s="17">
        <f>FZ45*VLOOKUP('Données projet'!$B$17,Paramètres!$A$1:$I$89,3,0)*VLOOKUP('Données projet'!$B$17,Paramètres!$A$1:$I$89,5,0)</f>
        <v>102.87575999999996</v>
      </c>
      <c r="GB45" s="13">
        <f t="shared" si="49"/>
        <v>27.645973136743791</v>
      </c>
      <c r="GC45" s="20">
        <f t="shared" si="25"/>
        <v>227.32535187982873</v>
      </c>
      <c r="GD45" s="59">
        <f t="shared" si="26"/>
        <v>520.65868521316202</v>
      </c>
      <c r="GE45" s="59">
        <f ca="1">AVERAGE(OFFSET($GD$3,0,0,'Données projet'!$E$17+1,1))-AVERAGE(OFFSET($H$3,0,0,'Données projet'!$E$17+1,1))</f>
        <v>198.26255998041</v>
      </c>
      <c r="GF45" s="59">
        <f t="shared" si="50"/>
        <v>238.62101708181166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8.074477439780674</v>
      </c>
      <c r="GM45" s="21">
        <f>EXP(-LN(2)/25)*GM44+(1-EXP(-LN(2)/25))/(LN(2)/25)*Calculateur!GH45*Calculateur!GJ45*VLOOKUP('Données projet'!$B$17,Paramètres!$A$1:$I$89,3,0)*0.475*44/12</f>
        <v>30.005636410312274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38.08011385009295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14.1</v>
      </c>
      <c r="GU45" s="12">
        <f>IF('Données projet'!$A$270&gt;35,GU44+GT45-HC44,IF(A45&lt;'Données projet'!$A$270,$GR$205^A45,IF(A45='Données projet'!$A$270,'Données projet'!$B$270,GU44+GT45-HC44)))</f>
        <v>202.20000000000002</v>
      </c>
      <c r="GV45" s="17">
        <f>GU45*VLOOKUP('Données projet'!$B$18,Paramètres!$A$1:$I$89,3,0)*VLOOKUP('Données projet'!$B$18,Paramètres!$A$1:$I$89,5,0)</f>
        <v>232.93440000000001</v>
      </c>
      <c r="GW45" s="13">
        <f t="shared" si="51"/>
        <v>56.916698513939302</v>
      </c>
      <c r="GX45" s="20">
        <f t="shared" si="28"/>
        <v>504.82399657844422</v>
      </c>
      <c r="GY45" s="59">
        <f t="shared" si="29"/>
        <v>798.15732991177754</v>
      </c>
      <c r="GZ45" s="59">
        <f ca="1">AVERAGE(OFFSET($GY$3,0,0,'Données projet'!$E$18+1,1))-AVERAGE(OFFSET($H$3,0,0,'Données projet'!$E$18+1,1))</f>
        <v>604.0566904089452</v>
      </c>
      <c r="HA45" s="59">
        <f t="shared" si="52"/>
        <v>369.5187835902687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6.0865706467940521</v>
      </c>
      <c r="HH45" s="21">
        <f>EXP(-LN(2)/25)*HH44+(1-EXP(-LN(2)/25))/(LN(2)/25)*Calculateur!HC45*Calculateur!HE45*VLOOKUP('Données projet'!$B$18,Paramètres!$A$1:$I$89,3,0)*0.475*44/12</f>
        <v>20.125771366034378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26.212342012828429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9.75</v>
      </c>
      <c r="N46" s="13">
        <f>IF('Données projet'!$A$36&gt;35,N45+M46-V45,IF(A46&lt;'Données projet'!$A$36,$K$205^A46,IF(A46='Données projet'!$A$36,'Données projet'!$B$36,N45+M46-V45)))</f>
        <v>178.25</v>
      </c>
      <c r="O46" s="13">
        <f>N46*VLOOKUP('Données projet'!$B$9,Paramètres!$A$1:$I$89,3,0)*VLOOKUP('Données projet'!$B$9,Paramètres!$A$1:$I$89,5,0)</f>
        <v>161.28059999999999</v>
      </c>
      <c r="P46" s="13">
        <f t="shared" si="33"/>
        <v>41.131224162039494</v>
      </c>
      <c r="Q46" s="20">
        <f t="shared" si="53"/>
        <v>352.53392708221878</v>
      </c>
      <c r="R46" s="59">
        <f t="shared" si="0"/>
        <v>645.8672604155521</v>
      </c>
      <c r="S46" s="59">
        <f ca="1">AVERAGE(OFFSET($R$3,0,0,'Données projet'!$E$9+1,1))-AVERAGE(OFFSET($H$3,0,0,'Données projet'!$E$9+1,1))</f>
        <v>528.20489749461376</v>
      </c>
      <c r="T46" s="59">
        <f t="shared" si="34"/>
        <v>276.26988364830532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7.4</v>
      </c>
      <c r="AI46" s="13">
        <f>IF('Données projet'!$A$62&gt;35,AI45+AH46-AQ45,IF(A46&lt;'Données projet'!$A$62,$AF$205^A46,IF(A46='Données projet'!$A$62,'Données projet'!$B$62,AI45+AH46-AQ45)))</f>
        <v>363.20000000000027</v>
      </c>
      <c r="AJ46" s="13">
        <f>AI46*VLOOKUP('Données projet'!$B$10,Paramètres!$A$1:$I$89,3,0)*VLOOKUP('Données projet'!$B$10,Paramètres!$A$1:$I$89,5,0)</f>
        <v>328.62336000000022</v>
      </c>
      <c r="AK46" s="13">
        <f t="shared" si="35"/>
        <v>77.144825174157688</v>
      </c>
      <c r="AL46" s="20">
        <f t="shared" si="4"/>
        <v>706.71292251165823</v>
      </c>
      <c r="AM46" s="59">
        <f t="shared" si="5"/>
        <v>1000.0462558449915</v>
      </c>
      <c r="AN46" s="59">
        <f ca="1">AVERAGE(OFFSET($AM$3,0,0,'Données projet'!$E$10+1,1))-AVERAGE(OFFSET($H$3,0,0,'Données projet'!$E$10+1,1))</f>
        <v>436.23918637269577</v>
      </c>
      <c r="AO46" s="59">
        <f t="shared" si="36"/>
        <v>611.43967996341894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5.1656323181749757</v>
      </c>
      <c r="AV46" s="21">
        <f>EXP(-LN(2)/25)*AV45+(1-EXP(-LN(2)/25))/(LN(2)/25)*Calculateur!AQ46*Calculateur!AS46*VLOOKUP('Données projet'!$B$10,Paramètres!$A$1:$I$89,3,0)*0.475*44/12</f>
        <v>9.9282121380092914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15.093844456184268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11.142857142857142</v>
      </c>
      <c r="BD46" s="12">
        <f>IF('Données projet'!$A$88&gt;35,BD45+BC46-BL45,IF(A46&lt;'Données projet'!$A$88,$BA$205^A46,IF(A46='Données projet'!$A$88,'Données projet'!$B$88,BD45+BC46-BL45)))</f>
        <v>218.85714285714278</v>
      </c>
      <c r="BE46" s="13">
        <f>BD46*VLOOKUP('Données projet'!$B$11,Paramètres!$A$1:$I$89,3,0)*VLOOKUP('Données projet'!$B$11,Paramètres!$A$1:$I$89,5,0)</f>
        <v>170.70857142857136</v>
      </c>
      <c r="BF46" s="13">
        <f t="shared" si="37"/>
        <v>43.248681576985376</v>
      </c>
      <c r="BG46" s="20">
        <f t="shared" si="7"/>
        <v>372.64221565134466</v>
      </c>
      <c r="BH46" s="59">
        <f t="shared" si="8"/>
        <v>665.97554898467797</v>
      </c>
      <c r="BI46" s="59">
        <f ca="1">AVERAGE(OFFSET($BH$3,0,0,'Données projet'!$E$11+1,1))-AVERAGE(OFFSET($H$3,0,0,'Données projet'!$E$11+1,1))</f>
        <v>288.82868507674738</v>
      </c>
      <c r="BJ46" s="59">
        <f t="shared" si="38"/>
        <v>283.48738729114024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1.8745999999999996</v>
      </c>
      <c r="BY46" s="12">
        <f>IF('Données projet'!$A$114&gt;35,BY45+BX46-CG45,IF(A46&lt;'Données projet'!$A$114,$BV$205^A46,IF(A46='Données projet'!$A$114,'Données projet'!$B$114,BY45+BX46-CG45)))</f>
        <v>40.592300000000002</v>
      </c>
      <c r="BZ46" s="13">
        <f>BY46*VLOOKUP('Données projet'!$B$12,Paramètres!$A$1:$I$89,3,0)*VLOOKUP('Données projet'!$B$12,Paramètres!$A$1:$I$89,5,0)</f>
        <v>35.461433280000001</v>
      </c>
      <c r="CA46" s="13">
        <f t="shared" si="39"/>
        <v>10.787398396280544</v>
      </c>
      <c r="CB46" s="20">
        <f t="shared" si="10"/>
        <v>80.55004850285529</v>
      </c>
      <c r="CC46" s="59">
        <f t="shared" si="11"/>
        <v>373.88338183618862</v>
      </c>
      <c r="CD46" s="59">
        <f ca="1">AVERAGE(OFFSET($CC$3,0,0,'Données projet'!$E$12+1,1))-AVERAGE(OFFSET($H$3,0,0,'Données projet'!$E$12+1,1))</f>
        <v>93.329407403816901</v>
      </c>
      <c r="CE46" s="59">
        <f t="shared" si="40"/>
        <v>90.925148357295313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0.59248884716354921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0.59248884716354921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17.2</v>
      </c>
      <c r="CT46" s="12">
        <f>IF('Données projet'!$A$140&gt;35,CT45+CS46-DB45,IF(A46&lt;'Données projet'!$A$140,$CQ$205^A46,IF(A46='Données projet'!$A$140,'Données projet'!$B$140,CT45+CS46-DB45)))</f>
        <v>426.5999999999998</v>
      </c>
      <c r="CU46" s="17">
        <f>CT46*VLOOKUP('Données projet'!$B$13,Paramètres!$A$1:$I$89,3,0)*VLOOKUP('Données projet'!$B$13,Paramètres!$A$1:$I$89,5,0)</f>
        <v>405.95255999999983</v>
      </c>
      <c r="CV46" s="13">
        <f t="shared" si="41"/>
        <v>92.982415955194625</v>
      </c>
      <c r="CW46" s="20">
        <f t="shared" si="13"/>
        <v>868.97841645529695</v>
      </c>
      <c r="CX46" s="59">
        <f t="shared" si="14"/>
        <v>1162.3117497886303</v>
      </c>
      <c r="CY46" s="59">
        <f ca="1">AVERAGE(OFFSET($CX$3,0,0,'Données projet'!$E$13+1,1))-AVERAGE(OFFSET($H$3,0,0,'Données projet'!$E$13+1,1))</f>
        <v>805.04572055352492</v>
      </c>
      <c r="CZ46" s="59">
        <f t="shared" si="42"/>
        <v>708.66645042414962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6.9052982767582263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6.9052982767582263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11.2</v>
      </c>
      <c r="DO46" s="12">
        <f>IF('Données projet'!$A$166&gt;35,DO45+DN46-DW45,IF(A46&lt;'Données projet'!$A$166,$DL$205^A46,IF(A46='Données projet'!$A$166,'Données projet'!$B$166,DO45+DN46-DW45)))</f>
        <v>307.60000000000008</v>
      </c>
      <c r="DP46" s="17">
        <f>DO46*VLOOKUP('Données projet'!$B$14,Paramètres!$A$1:$I$89,3,0)*VLOOKUP('Données projet'!$B$14,Paramètres!$A$1:$I$89,5,0)</f>
        <v>206.33808000000005</v>
      </c>
      <c r="DQ46" s="13">
        <f t="shared" si="43"/>
        <v>51.134546601647536</v>
      </c>
      <c r="DR46" s="20">
        <f t="shared" si="16"/>
        <v>448.43149133120278</v>
      </c>
      <c r="DS46" s="59">
        <f t="shared" si="17"/>
        <v>741.76482466453604</v>
      </c>
      <c r="DT46" s="59">
        <f ca="1">AVERAGE(OFFSET($DS$3,0,0,'Données projet'!$E$14+1,1))-AVERAGE(OFFSET($H$3,0,0,'Données projet'!$E$14+1,1))</f>
        <v>482.69499576870095</v>
      </c>
      <c r="DU46" s="59">
        <f t="shared" si="44"/>
        <v>384.28918352579575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3.2220532639275627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3.2220532639275627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7.05</v>
      </c>
      <c r="EJ46" s="12">
        <f>IF('Données projet'!$A$192&gt;35,EJ45+EI46-ER45,IF(A46&lt;'Données projet'!$A$192,$EG$205^A46,IF(A46='Données projet'!$A$192,'Données projet'!$B$192,EJ45+EI46-ER45)))</f>
        <v>216.90000000000015</v>
      </c>
      <c r="EK46" s="17">
        <f>EJ46*VLOOKUP('Données projet'!$B$15,Paramètres!$A$1:$I$89,3,0)*VLOOKUP('Données projet'!$B$15,Paramètres!$A$1:$I$89,5,0)</f>
        <v>159.03108000000012</v>
      </c>
      <c r="EL46" s="13">
        <f t="shared" si="45"/>
        <v>40.623895597807319</v>
      </c>
      <c r="EM46" s="20">
        <f t="shared" si="19"/>
        <v>347.73241583284789</v>
      </c>
      <c r="EN46" s="59">
        <f t="shared" si="20"/>
        <v>641.06574916618115</v>
      </c>
      <c r="EO46" s="59">
        <f ca="1">AVERAGE(OFFSET($EN$3,0,0,'Données projet'!$E$15+1,1))-AVERAGE(OFFSET($H$3,0,0,'Données projet'!$E$15+1,1))</f>
        <v>197.34725966440715</v>
      </c>
      <c r="EP46" s="59">
        <f t="shared" si="46"/>
        <v>240.16326570529532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11.966280743965109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11.966280743965109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25.666666666666668</v>
      </c>
      <c r="FE46" s="12">
        <f>IF('Données projet'!$A$218&gt;35,FE45+FD46-FM45,IF(A46&lt;'Données projet'!$A$218,$FB$205^A46,IF(A46='Données projet'!$A$218,'Données projet'!$B$218,FE45+FD46-FM45)))</f>
        <v>506.66666666666669</v>
      </c>
      <c r="FF46" s="17">
        <f>FE46*VLOOKUP('Données projet'!$B$16,Paramètres!$A$1:$I$89,3,0)*VLOOKUP('Données projet'!$B$16,Paramètres!$A$1:$I$89,5,0)</f>
        <v>283.22666666666669</v>
      </c>
      <c r="FG46" s="13">
        <f t="shared" si="47"/>
        <v>67.648440920657706</v>
      </c>
      <c r="FH46" s="20">
        <f t="shared" si="22"/>
        <v>611.10747904792333</v>
      </c>
      <c r="FI46" s="59">
        <f t="shared" si="23"/>
        <v>904.44081238125659</v>
      </c>
      <c r="FJ46" s="59">
        <f ca="1">AVERAGE(OFFSET($FI$3,0,0,'Données projet'!$E$16+1,1))-AVERAGE(OFFSET($H$3,0,0,'Données projet'!$E$16+1,1))</f>
        <v>346.42094266871379</v>
      </c>
      <c r="FK46" s="59">
        <f t="shared" si="48"/>
        <v>453.48153556975973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22.76312077671032</v>
      </c>
      <c r="FR46" s="21">
        <f>EXP(-LN(2)/25)*FR45+(1-EXP(-LN(2)/25))/(LN(2)/25)*Calculateur!FM46*Calculateur!FO46*VLOOKUP('Données projet'!$B$16,Paramètres!$A$1:$I$89,3,0)*0.475*44/12</f>
        <v>56.36023683048613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79.123357607196454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11.5</v>
      </c>
      <c r="FZ46" s="12">
        <f>IF('Données projet'!$A$244&gt;35,FZ45+FY46-GH45,IF(A46&lt;'Données projet'!$A$244,$FW$205^A46,IF(A46='Données projet'!$A$244,'Données projet'!$B$244,FZ45+FY46-GH45)))</f>
        <v>231.31999999999994</v>
      </c>
      <c r="GA46" s="17">
        <f>FZ46*VLOOKUP('Données projet'!$B$17,Paramètres!$A$1:$I$89,3,0)*VLOOKUP('Données projet'!$B$17,Paramètres!$A$1:$I$89,5,0)</f>
        <v>108.25775999999996</v>
      </c>
      <c r="GB46" s="13">
        <f t="shared" si="49"/>
        <v>28.920118603728753</v>
      </c>
      <c r="GC46" s="20">
        <f t="shared" si="25"/>
        <v>238.91813856816086</v>
      </c>
      <c r="GD46" s="59">
        <f t="shared" si="26"/>
        <v>532.25147190149414</v>
      </c>
      <c r="GE46" s="59">
        <f ca="1">AVERAGE(OFFSET($GD$3,0,0,'Données projet'!$E$17+1,1))-AVERAGE(OFFSET($H$3,0,0,'Données projet'!$E$17+1,1))</f>
        <v>198.26255998041</v>
      </c>
      <c r="GF46" s="59">
        <f t="shared" si="50"/>
        <v>238.62101708181166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7.9161418621315152</v>
      </c>
      <c r="GM46" s="21">
        <f>EXP(-LN(2)/25)*GM45+(1-EXP(-LN(2)/25))/(LN(2)/25)*Calculateur!GH46*Calculateur!GJ46*VLOOKUP('Données projet'!$B$17,Paramètres!$A$1:$I$89,3,0)*0.475*44/12</f>
        <v>29.185130704744445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37.101272566875963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14.1</v>
      </c>
      <c r="GU46" s="12">
        <f>IF('Données projet'!$A$270&gt;35,GU45+GT46-HC45,IF(A46&lt;'Données projet'!$A$270,$GR$205^A46,IF(A46='Données projet'!$A$270,'Données projet'!$B$270,GU45+GT46-HC45)))</f>
        <v>216.3</v>
      </c>
      <c r="GV46" s="17">
        <f>GU46*VLOOKUP('Données projet'!$B$18,Paramètres!$A$1:$I$89,3,0)*VLOOKUP('Données projet'!$B$18,Paramètres!$A$1:$I$89,5,0)</f>
        <v>249.17759999999998</v>
      </c>
      <c r="GW46" s="13">
        <f t="shared" si="51"/>
        <v>60.409802512600855</v>
      </c>
      <c r="GX46" s="20">
        <f t="shared" si="28"/>
        <v>539.19805937611306</v>
      </c>
      <c r="GY46" s="59">
        <f t="shared" si="29"/>
        <v>832.53139270944644</v>
      </c>
      <c r="GZ46" s="59">
        <f ca="1">AVERAGE(OFFSET($GY$3,0,0,'Données projet'!$E$18+1,1))-AVERAGE(OFFSET($H$3,0,0,'Données projet'!$E$18+1,1))</f>
        <v>604.0566904089452</v>
      </c>
      <c r="HA46" s="59">
        <f t="shared" si="52"/>
        <v>369.5187835902687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5.9672167088519421</v>
      </c>
      <c r="HH46" s="21">
        <f>EXP(-LN(2)/25)*HH45+(1-EXP(-LN(2)/25))/(LN(2)/25)*Calculateur!HC46*Calculateur!HE46*VLOOKUP('Données projet'!$B$18,Paramètres!$A$1:$I$89,3,0)*0.475*44/12</f>
        <v>19.575431089661851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25.542647798513794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188</v>
      </c>
      <c r="L47" s="12">
        <f>VLOOKUP(A47,'Données projet'!$A$35:$I$55,9,0)</f>
        <v>9.75</v>
      </c>
      <c r="M47" s="12">
        <f t="array" ref="M47">INDEX(L:L,MIN(IF(ISNUMBER(L47:L243),ROW(L47:L243),"")))</f>
        <v>9.75</v>
      </c>
      <c r="N47" s="13">
        <f>IF('Données projet'!$A$36&gt;35,N46+M47-V46,IF(A47&lt;'Données projet'!$A$36,$K$205^A47,IF(A47='Données projet'!$A$36,'Données projet'!$B$36,N46+M47-V46)))</f>
        <v>188</v>
      </c>
      <c r="O47" s="13">
        <f>N47*VLOOKUP('Données projet'!$B$9,Paramètres!$A$1:$I$89,3,0)*VLOOKUP('Données projet'!$B$9,Paramètres!$A$1:$I$89,5,0)</f>
        <v>170.10239999999999</v>
      </c>
      <c r="P47" s="13">
        <f t="shared" si="33"/>
        <v>43.112956975087329</v>
      </c>
      <c r="Q47" s="20">
        <f t="shared" si="53"/>
        <v>371.35008006494377</v>
      </c>
      <c r="R47" s="59">
        <f t="shared" si="0"/>
        <v>664.68341339827703</v>
      </c>
      <c r="S47" s="59">
        <f ca="1">AVERAGE(OFFSET($R$3,0,0,'Données projet'!$E$9+1,1))-AVERAGE(OFFSET($H$3,0,0,'Données projet'!$E$9+1,1))</f>
        <v>528.20489749461376</v>
      </c>
      <c r="T47" s="59">
        <f t="shared" si="34"/>
        <v>276.26988364830532</v>
      </c>
      <c r="U47" s="15">
        <f>IF(ISNA(VLOOKUP(A47,'Données projet'!$A$35:$I$55,3,0)),0,VLOOKUP(A47,'Données projet'!$A$35:$I$55,3,0))</f>
        <v>2</v>
      </c>
      <c r="V47" s="15">
        <f>IF(ISNA(VLOOKUP(A47,'Données projet'!$A$35:$I$55,4,0)),0,VLOOKUP(A47,'Données projet'!$A$35:$I$55,4,0))</f>
        <v>47</v>
      </c>
      <c r="W47" s="16">
        <f>IF(ISNA(VLOOKUP(A47,'Données projet'!$A$35:$I$55,5,0)),0%,VLOOKUP(A47,'Données projet'!$A$35:$I$55,5,0)*VLOOKUP('Données projet'!$B$9,Paramètres!$A$1:$I$89,7,0))</f>
        <v>0.129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6.0643920611707687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6.0643920611707687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7.4</v>
      </c>
      <c r="AI47" s="13">
        <f>IF('Données projet'!$A$62&gt;35,AI46+AH47-AQ46,IF(A47&lt;'Données projet'!$A$62,$AF$205^A47,IF(A47='Données projet'!$A$62,'Données projet'!$B$62,AI46+AH47-AQ46)))</f>
        <v>370.60000000000025</v>
      </c>
      <c r="AJ47" s="13">
        <f>AI47*VLOOKUP('Données projet'!$B$10,Paramètres!$A$1:$I$89,3,0)*VLOOKUP('Données projet'!$B$10,Paramètres!$A$1:$I$89,5,0)</f>
        <v>335.31888000000021</v>
      </c>
      <c r="AK47" s="13">
        <f t="shared" si="35"/>
        <v>78.532018418019703</v>
      </c>
      <c r="AL47" s="20">
        <f t="shared" si="4"/>
        <v>720.7903147447181</v>
      </c>
      <c r="AM47" s="59">
        <f t="shared" si="5"/>
        <v>1014.1236480780515</v>
      </c>
      <c r="AN47" s="59">
        <f ca="1">AVERAGE(OFFSET($AM$3,0,0,'Données projet'!$E$10+1,1))-AVERAGE(OFFSET($H$3,0,0,'Données projet'!$E$10+1,1))</f>
        <v>436.23918637269577</v>
      </c>
      <c r="AO47" s="59">
        <f t="shared" si="36"/>
        <v>611.43967996341894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5.0643374191401707</v>
      </c>
      <c r="AV47" s="21">
        <f>EXP(-LN(2)/25)*AV46+(1-EXP(-LN(2)/25))/(LN(2)/25)*Calculateur!AQ47*Calculateur!AS47*VLOOKUP('Données projet'!$B$10,Paramètres!$A$1:$I$89,3,0)*0.475*44/12</f>
        <v>9.6567246549934413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14.721062074133613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230</v>
      </c>
      <c r="BB47" s="12">
        <f>VLOOKUP(A47,'Données projet'!$A$87:$I$107,9,0)</f>
        <v>11.142857142857142</v>
      </c>
      <c r="BC47" s="12">
        <f t="array" ref="BC47">INDEX(BB:BB,MIN(IF(ISNUMBER(BB47:BB243),ROW(BB47:BB243),"")))</f>
        <v>11.142857142857142</v>
      </c>
      <c r="BD47" s="12">
        <f>IF('Données projet'!$A$88&gt;35,BD46+BC47-BL46,IF(A47&lt;'Données projet'!$A$88,$BA$205^A47,IF(A47='Données projet'!$A$88,'Données projet'!$B$88,BD46+BC47-BL46)))</f>
        <v>229.99999999999991</v>
      </c>
      <c r="BE47" s="13">
        <f>BD47*VLOOKUP('Données projet'!$B$11,Paramètres!$A$1:$I$89,3,0)*VLOOKUP('Données projet'!$B$11,Paramètres!$A$1:$I$89,5,0)</f>
        <v>179.39999999999995</v>
      </c>
      <c r="BF47" s="13">
        <f t="shared" si="37"/>
        <v>45.188671291872232</v>
      </c>
      <c r="BG47" s="20">
        <f t="shared" si="7"/>
        <v>391.15860250001066</v>
      </c>
      <c r="BH47" s="59">
        <f t="shared" si="8"/>
        <v>684.49193583334397</v>
      </c>
      <c r="BI47" s="59">
        <f ca="1">AVERAGE(OFFSET($BH$3,0,0,'Données projet'!$E$11+1,1))-AVERAGE(OFFSET($H$3,0,0,'Données projet'!$E$11+1,1))</f>
        <v>288.82868507674738</v>
      </c>
      <c r="BJ47" s="59">
        <f t="shared" si="38"/>
        <v>283.48738729114024</v>
      </c>
      <c r="BK47" s="15">
        <f>IF(ISNA(VLOOKUP(A47,'Données projet'!$A$87:$I$107,3,0)),0,VLOOKUP(A47,'Données projet'!$A$87:$I$107,3,0))</f>
        <v>6</v>
      </c>
      <c r="BL47" s="15">
        <f>IF(ISNA(VLOOKUP(A47,'Données projet'!$A$87:$I$107,4,0)),0,VLOOKUP(A47,'Données projet'!$A$87:$I$107,4,0))</f>
        <v>43</v>
      </c>
      <c r="BM47" s="16">
        <f>IF(ISNA(VLOOKUP(A47,'Données projet'!$A$87:$I$107,5,0)),0%,VLOOKUP(A47,'Données projet'!$A$87:$I$107,5,0)*VLOOKUP('Données projet'!$B$11,Paramètres!$A$1:$I$89,7,0))</f>
        <v>0.129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4.7829944723100342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4.7829944723100342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1.8745999999999996</v>
      </c>
      <c r="BY47" s="12">
        <f>IF('Données projet'!$A$114&gt;35,BY46+BX47-CG46,IF(A47&lt;'Données projet'!$A$114,$BV$205^A47,IF(A47='Données projet'!$A$114,'Données projet'!$B$114,BY46+BX47-CG46)))</f>
        <v>42.466900000000003</v>
      </c>
      <c r="BZ47" s="13">
        <f>BY47*VLOOKUP('Données projet'!$B$12,Paramètres!$A$1:$I$89,3,0)*VLOOKUP('Données projet'!$B$12,Paramètres!$A$1:$I$89,5,0)</f>
        <v>37.099083840000006</v>
      </c>
      <c r="CA47" s="13">
        <f t="shared" si="39"/>
        <v>11.226422303597397</v>
      </c>
      <c r="CB47" s="20">
        <f t="shared" si="10"/>
        <v>84.166923200098793</v>
      </c>
      <c r="CC47" s="59">
        <f t="shared" si="11"/>
        <v>377.50025653343209</v>
      </c>
      <c r="CD47" s="59">
        <f ca="1">AVERAGE(OFFSET($CC$3,0,0,'Données projet'!$E$12+1,1))-AVERAGE(OFFSET($H$3,0,0,'Données projet'!$E$12+1,1))</f>
        <v>93.329407403816901</v>
      </c>
      <c r="CE47" s="59">
        <f t="shared" si="40"/>
        <v>90.925148357295313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0.58087050225318526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0.58087050225318526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17.2</v>
      </c>
      <c r="CT47" s="12">
        <f>IF('Données projet'!$A$140&gt;35,CT46+CS47-DB46,IF(A47&lt;'Données projet'!$A$140,$CQ$205^A47,IF(A47='Données projet'!$A$140,'Données projet'!$B$140,CT46+CS47-DB46)))</f>
        <v>443.79999999999978</v>
      </c>
      <c r="CU47" s="17">
        <f>CT47*VLOOKUP('Données projet'!$B$13,Paramètres!$A$1:$I$89,3,0)*VLOOKUP('Données projet'!$B$13,Paramètres!$A$1:$I$89,5,0)</f>
        <v>422.32007999999979</v>
      </c>
      <c r="CV47" s="13">
        <f t="shared" si="41"/>
        <v>96.28731991447161</v>
      </c>
      <c r="CW47" s="20">
        <f t="shared" si="13"/>
        <v>903.24122151770428</v>
      </c>
      <c r="CX47" s="59">
        <f t="shared" si="14"/>
        <v>1196.5745548510376</v>
      </c>
      <c r="CY47" s="59">
        <f ca="1">AVERAGE(OFFSET($CX$3,0,0,'Données projet'!$E$13+1,1))-AVERAGE(OFFSET($H$3,0,0,'Données projet'!$E$13+1,1))</f>
        <v>805.04572055352492</v>
      </c>
      <c r="CZ47" s="59">
        <f t="shared" si="42"/>
        <v>708.66645042414962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6.7698895893670636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6.7698895893670636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11.2</v>
      </c>
      <c r="DO47" s="12">
        <f>IF('Données projet'!$A$166&gt;35,DO46+DN47-DW46,IF(A47&lt;'Données projet'!$A$166,$DL$205^A47,IF(A47='Données projet'!$A$166,'Données projet'!$B$166,DO46+DN47-DW46)))</f>
        <v>318.80000000000007</v>
      </c>
      <c r="DP47" s="17">
        <f>DO47*VLOOKUP('Données projet'!$B$14,Paramètres!$A$1:$I$89,3,0)*VLOOKUP('Données projet'!$B$14,Paramètres!$A$1:$I$89,5,0)</f>
        <v>213.85104000000007</v>
      </c>
      <c r="DQ47" s="13">
        <f t="shared" si="43"/>
        <v>52.776242724181238</v>
      </c>
      <c r="DR47" s="20">
        <f t="shared" si="16"/>
        <v>464.37585074461578</v>
      </c>
      <c r="DS47" s="59">
        <f t="shared" si="17"/>
        <v>757.70918407794909</v>
      </c>
      <c r="DT47" s="59">
        <f ca="1">AVERAGE(OFFSET($DS$3,0,0,'Données projet'!$E$14+1,1))-AVERAGE(OFFSET($H$3,0,0,'Données projet'!$E$14+1,1))</f>
        <v>482.69499576870095</v>
      </c>
      <c r="DU47" s="59">
        <f t="shared" si="44"/>
        <v>384.28918352579575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3.1588707646803811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3.1588707646803811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7.05</v>
      </c>
      <c r="EJ47" s="12">
        <f>IF('Données projet'!$A$192&gt;35,EJ46+EI47-ER46,IF(A47&lt;'Données projet'!$A$192,$EG$205^A47,IF(A47='Données projet'!$A$192,'Données projet'!$B$192,EJ46+EI47-ER46)))</f>
        <v>223.95000000000016</v>
      </c>
      <c r="EK47" s="17">
        <f>EJ47*VLOOKUP('Données projet'!$B$15,Paramètres!$A$1:$I$89,3,0)*VLOOKUP('Données projet'!$B$15,Paramètres!$A$1:$I$89,5,0)</f>
        <v>164.20014000000012</v>
      </c>
      <c r="EL47" s="13">
        <f t="shared" si="45"/>
        <v>41.788435286289889</v>
      </c>
      <c r="EM47" s="20">
        <f t="shared" si="19"/>
        <v>358.76343529028844</v>
      </c>
      <c r="EN47" s="59">
        <f t="shared" si="20"/>
        <v>652.09676862362176</v>
      </c>
      <c r="EO47" s="59">
        <f ca="1">AVERAGE(OFFSET($EN$3,0,0,'Données projet'!$E$15+1,1))-AVERAGE(OFFSET($H$3,0,0,'Données projet'!$E$15+1,1))</f>
        <v>197.34725966440715</v>
      </c>
      <c r="EP47" s="59">
        <f t="shared" si="46"/>
        <v>240.16326570529532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11.639062167742029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11.639062167742029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25.666666666666668</v>
      </c>
      <c r="FE47" s="12">
        <f>IF('Données projet'!$A$218&gt;35,FE46+FD47-FM46,IF(A47&lt;'Données projet'!$A$218,$FB$205^A47,IF(A47='Données projet'!$A$218,'Données projet'!$B$218,FE46+FD47-FM46)))</f>
        <v>532.33333333333337</v>
      </c>
      <c r="FF47" s="17">
        <f>FE47*VLOOKUP('Données projet'!$B$16,Paramètres!$A$1:$I$89,3,0)*VLOOKUP('Données projet'!$B$16,Paramètres!$A$1:$I$89,5,0)</f>
        <v>297.57433333333336</v>
      </c>
      <c r="FG47" s="13">
        <f t="shared" si="47"/>
        <v>70.667710552693251</v>
      </c>
      <c r="FH47" s="20">
        <f t="shared" si="22"/>
        <v>641.35489310149637</v>
      </c>
      <c r="FI47" s="59">
        <f t="shared" si="23"/>
        <v>934.68822643482963</v>
      </c>
      <c r="FJ47" s="59">
        <f ca="1">AVERAGE(OFFSET($FI$3,0,0,'Données projet'!$E$16+1,1))-AVERAGE(OFFSET($H$3,0,0,'Données projet'!$E$16+1,1))</f>
        <v>346.42094266871379</v>
      </c>
      <c r="FK47" s="59">
        <f t="shared" si="48"/>
        <v>453.48153556975973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22.316749862411761</v>
      </c>
      <c r="FR47" s="21">
        <f>EXP(-LN(2)/25)*FR46+(1-EXP(-LN(2)/25))/(LN(2)/25)*Calculateur!FM47*Calculateur!FO47*VLOOKUP('Données projet'!$B$16,Paramètres!$A$1:$I$89,3,0)*0.475*44/12</f>
        <v>54.819063190500444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77.135813052912198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11.5</v>
      </c>
      <c r="FZ47" s="12">
        <f>IF('Données projet'!$A$244&gt;35,FZ46+FY47-GH46,IF(A47&lt;'Données projet'!$A$244,$FW$205^A47,IF(A47='Données projet'!$A$244,'Données projet'!$B$244,FZ46+FY47-GH46)))</f>
        <v>242.81999999999994</v>
      </c>
      <c r="GA47" s="17">
        <f>FZ47*VLOOKUP('Données projet'!$B$17,Paramètres!$A$1:$I$89,3,0)*VLOOKUP('Données projet'!$B$17,Paramètres!$A$1:$I$89,5,0)</f>
        <v>113.63975999999997</v>
      </c>
      <c r="GB47" s="13">
        <f t="shared" si="49"/>
        <v>30.186908953692303</v>
      </c>
      <c r="GC47" s="20">
        <f t="shared" si="25"/>
        <v>250.49811509434733</v>
      </c>
      <c r="GD47" s="59">
        <f t="shared" si="26"/>
        <v>543.8314484276807</v>
      </c>
      <c r="GE47" s="59">
        <f ca="1">AVERAGE(OFFSET($GD$3,0,0,'Données projet'!$E$17+1,1))-AVERAGE(OFFSET($H$3,0,0,'Données projet'!$E$17+1,1))</f>
        <v>198.26255998041</v>
      </c>
      <c r="GF47" s="59">
        <f t="shared" si="50"/>
        <v>238.62101708181166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7.7609111485848903</v>
      </c>
      <c r="GM47" s="21">
        <f>EXP(-LN(2)/25)*GM46+(1-EXP(-LN(2)/25))/(LN(2)/25)*Calculateur!GH47*Calculateur!GJ47*VLOOKUP('Données projet'!$B$17,Paramètres!$A$1:$I$89,3,0)*0.475*44/12</f>
        <v>28.387061770843889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36.147972919428781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14.1</v>
      </c>
      <c r="GU47" s="12">
        <f>IF('Données projet'!$A$270&gt;35,GU46+GT47-HC46,IF(A47&lt;'Données projet'!$A$270,$GR$205^A47,IF(A47='Données projet'!$A$270,'Données projet'!$B$270,GU46+GT47-HC46)))</f>
        <v>230.4</v>
      </c>
      <c r="GV47" s="17">
        <f>GU47*VLOOKUP('Données projet'!$B$18,Paramètres!$A$1:$I$89,3,0)*VLOOKUP('Données projet'!$B$18,Paramètres!$A$1:$I$89,5,0)</f>
        <v>265.42079999999999</v>
      </c>
      <c r="GW47" s="13">
        <f t="shared" si="51"/>
        <v>63.876482109334376</v>
      </c>
      <c r="GX47" s="20">
        <f t="shared" si="28"/>
        <v>573.52609967375724</v>
      </c>
      <c r="GY47" s="59">
        <f t="shared" si="29"/>
        <v>866.8594330070905</v>
      </c>
      <c r="GZ47" s="59">
        <f ca="1">AVERAGE(OFFSET($GY$3,0,0,'Données projet'!$E$18+1,1))-AVERAGE(OFFSET($H$3,0,0,'Données projet'!$E$18+1,1))</f>
        <v>604.0566904089452</v>
      </c>
      <c r="HA47" s="59">
        <f t="shared" si="52"/>
        <v>369.5187835902687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5.8502032288341628</v>
      </c>
      <c r="HH47" s="21">
        <f>EXP(-LN(2)/25)*HH46+(1-EXP(-LN(2)/25))/(LN(2)/25)*Calculateur!HC47*Calculateur!HE47*VLOOKUP('Données projet'!$B$18,Paramètres!$A$1:$I$89,3,0)*0.475*44/12</f>
        <v>19.040139897087869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24.89034312592203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11.375</v>
      </c>
      <c r="N48" s="13">
        <f>IF('Données projet'!$A$36&gt;35,N47+M48-V47,IF(A48&lt;'Données projet'!$A$36,$K$205^A48,IF(A48='Données projet'!$A$36,'Données projet'!$B$36,N47+M48-V47)))</f>
        <v>152.375</v>
      </c>
      <c r="O48" s="13">
        <f>N48*VLOOKUP('Données projet'!$B$9,Paramètres!$A$1:$I$89,3,0)*VLOOKUP('Données projet'!$B$9,Paramètres!$A$1:$I$89,5,0)</f>
        <v>137.8689</v>
      </c>
      <c r="P48" s="13">
        <f t="shared" si="33"/>
        <v>35.80836542602043</v>
      </c>
      <c r="Q48" s="20">
        <f t="shared" si="53"/>
        <v>302.48790395031892</v>
      </c>
      <c r="R48" s="59">
        <f t="shared" si="0"/>
        <v>595.82123728365218</v>
      </c>
      <c r="S48" s="59">
        <f ca="1">AVERAGE(OFFSET($R$3,0,0,'Données projet'!$E$9+1,1))-AVERAGE(OFFSET($H$3,0,0,'Données projet'!$E$9+1,1))</f>
        <v>528.20489749461376</v>
      </c>
      <c r="T48" s="59">
        <f t="shared" si="34"/>
        <v>276.26988364830532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5.9454730317651299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5.9454730317651299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378</v>
      </c>
      <c r="AG48" s="12">
        <f>VLOOKUP(A48,'Données projet'!$A$61:$I$81,9,0)</f>
        <v>7.4</v>
      </c>
      <c r="AH48" s="12">
        <f t="array" ref="AH48">INDEX(AG:AG,MIN(IF(ISNUMBER(AG48:AG244),ROW(AG48:AG244),"")))</f>
        <v>7.4</v>
      </c>
      <c r="AI48" s="13">
        <f>IF('Données projet'!$A$62&gt;35,AI47+AH48-AQ47,IF(A48&lt;'Données projet'!$A$62,$AF$205^A48,IF(A48='Données projet'!$A$62,'Données projet'!$B$62,AI47+AH48-AQ47)))</f>
        <v>378.00000000000023</v>
      </c>
      <c r="AJ48" s="13">
        <f>AI48*VLOOKUP('Données projet'!$B$10,Paramètres!$A$1:$I$89,3,0)*VLOOKUP('Données projet'!$B$10,Paramètres!$A$1:$I$89,5,0)</f>
        <v>342.01440000000019</v>
      </c>
      <c r="AK48" s="13">
        <f t="shared" si="35"/>
        <v>79.9159910220867</v>
      </c>
      <c r="AL48" s="20">
        <f t="shared" si="4"/>
        <v>734.86209769680136</v>
      </c>
      <c r="AM48" s="59">
        <f t="shared" si="5"/>
        <v>1028.1954310301346</v>
      </c>
      <c r="AN48" s="59">
        <f ca="1">AVERAGE(OFFSET($AM$3,0,0,'Données projet'!$E$10+1,1))-AVERAGE(OFFSET($H$3,0,0,'Données projet'!$E$10+1,1))</f>
        <v>436.23918637269577</v>
      </c>
      <c r="AO48" s="59">
        <f t="shared" si="36"/>
        <v>611.43967996341894</v>
      </c>
      <c r="AP48" s="15">
        <f>IF(ISNA(VLOOKUP(A48,'Données projet'!$A$61:$I$81,3,0)),0,VLOOKUP(A48,'Données projet'!$A$61:$I$81,3,0))</f>
        <v>9</v>
      </c>
      <c r="AQ48" s="15">
        <f>IF(ISNA(VLOOKUP(A48,'Données projet'!$A$61:$I$81,4,0)),0,VLOOKUP(A48,'Données projet'!$A$61:$I$81,4,0))</f>
        <v>378</v>
      </c>
      <c r="AR48" s="16">
        <f>IF(ISNA(VLOOKUP(A48,'Données projet'!$A$61:$I$81,5,0)),0%,VLOOKUP(A48,'Données projet'!$A$61:$I$81,5,0)*VLOOKUP('Données projet'!$B$10,Paramètres!$A$1:$I$89,7,0))</f>
        <v>0.18</v>
      </c>
      <c r="AS48" s="16">
        <f>IF(ISNA(VLOOKUP(A48,'Données projet'!$A$61:$I$81,6,0)),0%,VLOOKUP(A48,'Données projet'!$A$61:$I$81,6,0)*VLOOKUP('Données projet'!$B$10,Paramètres!$A$1:$I$89,7,0))</f>
        <v>0.09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73.020650794563807</v>
      </c>
      <c r="AV48" s="21">
        <f>EXP(-LN(2)/25)*AV47+(1-EXP(-LN(2)/25))/(LN(2)/25)*Calculateur!AQ48*Calculateur!AS48*VLOOKUP('Données projet'!$B$10,Paramètres!$A$1:$I$89,3,0)*0.475*44/12</f>
        <v>43.286491525705841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116.30714232026965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10.375</v>
      </c>
      <c r="BD48" s="12">
        <f>IF('Données projet'!$A$88&gt;35,BD47+BC48-BL47,IF(A48&lt;'Données projet'!$A$88,$BA$205^A48,IF(A48='Données projet'!$A$88,'Données projet'!$B$88,BD47+BC48-BL47)))</f>
        <v>197.37499999999991</v>
      </c>
      <c r="BE48" s="13">
        <f>BD48*VLOOKUP('Données projet'!$B$11,Paramètres!$A$1:$I$89,3,0)*VLOOKUP('Données projet'!$B$11,Paramètres!$A$1:$I$89,5,0)</f>
        <v>153.95249999999993</v>
      </c>
      <c r="BF48" s="13">
        <f t="shared" si="37"/>
        <v>39.475441267837361</v>
      </c>
      <c r="BG48" s="20">
        <f t="shared" si="7"/>
        <v>336.88699770814992</v>
      </c>
      <c r="BH48" s="59">
        <f t="shared" si="8"/>
        <v>630.22033104148318</v>
      </c>
      <c r="BI48" s="59">
        <f ca="1">AVERAGE(OFFSET($BH$3,0,0,'Données projet'!$E$11+1,1))-AVERAGE(OFFSET($H$3,0,0,'Données projet'!$E$11+1,1))</f>
        <v>288.82868507674738</v>
      </c>
      <c r="BJ48" s="59">
        <f t="shared" si="38"/>
        <v>283.48738729114024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4.6892028680465989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4.6892028680465989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44.341499999999996</v>
      </c>
      <c r="BW48" s="12">
        <f>VLOOKUP(A48,'Données projet'!$A$113:$I$133,9,0)</f>
        <v>1.8745999999999996</v>
      </c>
      <c r="BX48" s="12">
        <f t="array" ref="BX48">INDEX(BW:BW,MIN(IF(ISNUMBER(BW48:BW244),ROW(BW48:BW244),"")))</f>
        <v>1.8745999999999996</v>
      </c>
      <c r="BY48" s="12">
        <f>IF('Données projet'!$A$114&gt;35,BY47+BX48-CG47,IF(A48&lt;'Données projet'!$A$114,$BV$205^A48,IF(A48='Données projet'!$A$114,'Données projet'!$B$114,BY47+BX48-CG47)))</f>
        <v>44.341500000000003</v>
      </c>
      <c r="BZ48" s="13">
        <f>BY48*VLOOKUP('Données projet'!$B$12,Paramètres!$A$1:$I$89,3,0)*VLOOKUP('Données projet'!$B$12,Paramètres!$A$1:$I$89,5,0)</f>
        <v>38.73673440000001</v>
      </c>
      <c r="CA48" s="13">
        <f t="shared" si="39"/>
        <v>11.663195431680625</v>
      </c>
      <c r="CB48" s="20">
        <f t="shared" si="10"/>
        <v>87.77987779017711</v>
      </c>
      <c r="CC48" s="59">
        <f t="shared" si="11"/>
        <v>381.11321112351044</v>
      </c>
      <c r="CD48" s="59">
        <f ca="1">AVERAGE(OFFSET($CC$3,0,0,'Données projet'!$E$12+1,1))-AVERAGE(OFFSET($H$3,0,0,'Données projet'!$E$12+1,1))</f>
        <v>93.329407403816901</v>
      </c>
      <c r="CE48" s="59">
        <f t="shared" si="40"/>
        <v>90.925148357295313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5.0469999999999997</v>
      </c>
      <c r="CH48" s="16">
        <f>IF(ISNA(VLOOKUP(A48,'Données projet'!$A$113:$I$133,5,0)),0%,VLOOKUP(A48,'Données projet'!$A$113:$I$133,5,0)*VLOOKUP('Données projet'!$B$12,Paramètres!$A$1:$I$89,7,0))</f>
        <v>0.129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1.1982368667897574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1.1982368667897574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461</v>
      </c>
      <c r="CR48" s="12">
        <f>VLOOKUP(A48,'Données projet'!$A$139:$I$159,9,0)</f>
        <v>17.2</v>
      </c>
      <c r="CS48" s="12">
        <f t="array" ref="CS48">INDEX(CR:CR,MIN(IF(ISNUMBER(CR48:CR244),ROW(CR48:CR244),"")))</f>
        <v>17.2</v>
      </c>
      <c r="CT48" s="12">
        <f>IF('Données projet'!$A$140&gt;35,CT47+CS48-DB47,IF(A48&lt;'Données projet'!$A$140,$CQ$205^A48,IF(A48='Données projet'!$A$140,'Données projet'!$B$140,CT47+CS48-DB47)))</f>
        <v>460.99999999999977</v>
      </c>
      <c r="CU48" s="17">
        <f>CT48*VLOOKUP('Données projet'!$B$13,Paramètres!$A$1:$I$89,3,0)*VLOOKUP('Données projet'!$B$13,Paramètres!$A$1:$I$89,5,0)</f>
        <v>438.6875999999998</v>
      </c>
      <c r="CV48" s="13">
        <f t="shared" si="41"/>
        <v>99.577344365157515</v>
      </c>
      <c r="CW48" s="20">
        <f t="shared" si="13"/>
        <v>937.47811143598244</v>
      </c>
      <c r="CX48" s="59">
        <f t="shared" si="14"/>
        <v>1230.8114447693158</v>
      </c>
      <c r="CY48" s="59">
        <f ca="1">AVERAGE(OFFSET($CX$3,0,0,'Données projet'!$E$13+1,1))-AVERAGE(OFFSET($H$3,0,0,'Données projet'!$E$13+1,1))</f>
        <v>805.04572055352492</v>
      </c>
      <c r="CZ48" s="59">
        <f t="shared" si="42"/>
        <v>708.66645042414962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56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14.236535773238021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14.236535773238021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330</v>
      </c>
      <c r="DM48" s="12">
        <f>VLOOKUP(A48,'Données projet'!$A$165:$I$185,9,0)</f>
        <v>11.2</v>
      </c>
      <c r="DN48" s="12">
        <f t="array" ref="DN48">INDEX(DM:DM,MIN(IF(ISNUMBER(DM48:DM244),ROW(DM48:DM244),"")))</f>
        <v>11.2</v>
      </c>
      <c r="DO48" s="12">
        <f>IF('Données projet'!$A$166&gt;35,DO47+DN48-DW47,IF(A48&lt;'Données projet'!$A$166,$DL$205^A48,IF(A48='Données projet'!$A$166,'Données projet'!$B$166,DO47+DN48-DW47)))</f>
        <v>330.00000000000006</v>
      </c>
      <c r="DP48" s="17">
        <f>DO48*VLOOKUP('Données projet'!$B$14,Paramètres!$A$1:$I$89,3,0)*VLOOKUP('Données projet'!$B$14,Paramètres!$A$1:$I$89,5,0)</f>
        <v>221.36400000000006</v>
      </c>
      <c r="DQ48" s="13">
        <f t="shared" si="43"/>
        <v>54.411237653200793</v>
      </c>
      <c r="DR48" s="20">
        <f t="shared" si="16"/>
        <v>480.30853891265809</v>
      </c>
      <c r="DS48" s="59">
        <f t="shared" si="17"/>
        <v>773.64187224599141</v>
      </c>
      <c r="DT48" s="59">
        <f ca="1">AVERAGE(OFFSET($DS$3,0,0,'Données projet'!$E$14+1,1))-AVERAGE(OFFSET($H$3,0,0,'Données projet'!$E$14+1,1))</f>
        <v>482.69499576870095</v>
      </c>
      <c r="DU48" s="59">
        <f t="shared" si="44"/>
        <v>384.28918352579575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28</v>
      </c>
      <c r="DX48" s="16">
        <f>IF(ISNA(VLOOKUP(A48,'Données projet'!$A$165:$I$185,5,0)),0%,VLOOKUP(A48,'Données projet'!$A$165:$I$185,5,0)*VLOOKUP('Données projet'!$B$14,Paramètres!$A$1:$I$89,7,0))</f>
        <v>0.159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6.3983057458957271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6.3983057458957271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231</v>
      </c>
      <c r="EH48" s="12">
        <f>VLOOKUP(A48,'Données projet'!$A$191:$I$211,9,0)</f>
        <v>7.05</v>
      </c>
      <c r="EI48" s="12">
        <f t="array" ref="EI48">INDEX(EH:EH,MIN(IF(ISNUMBER(EH48:EH244),ROW(EH48:EH244),"")))</f>
        <v>7.05</v>
      </c>
      <c r="EJ48" s="12">
        <f>IF('Données projet'!$A$192&gt;35,EJ47+EI48-ER47,IF(A48&lt;'Données projet'!$A$192,$EG$205^A48,IF(A48='Données projet'!$A$192,'Données projet'!$B$192,EJ47+EI48-ER47)))</f>
        <v>231.00000000000017</v>
      </c>
      <c r="EK48" s="17">
        <f>EJ48*VLOOKUP('Données projet'!$B$15,Paramètres!$A$1:$I$89,3,0)*VLOOKUP('Données projet'!$B$15,Paramètres!$A$1:$I$89,5,0)</f>
        <v>169.36920000000012</v>
      </c>
      <c r="EL48" s="13">
        <f t="shared" si="45"/>
        <v>42.948714817158709</v>
      </c>
      <c r="EM48" s="20">
        <f t="shared" si="19"/>
        <v>369.78703497321823</v>
      </c>
      <c r="EN48" s="59">
        <f t="shared" si="20"/>
        <v>663.12036830655154</v>
      </c>
      <c r="EO48" s="59">
        <f ca="1">AVERAGE(OFFSET($EN$3,0,0,'Données projet'!$E$15+1,1))-AVERAGE(OFFSET($H$3,0,0,'Données projet'!$E$15+1,1))</f>
        <v>197.34725966440715</v>
      </c>
      <c r="EP48" s="59">
        <f t="shared" si="46"/>
        <v>240.16326570529532</v>
      </c>
      <c r="EQ48" s="15">
        <f>IF(ISNA(VLOOKUP(A48,'Données projet'!$A$191:$I$211,3,0)),0,VLOOKUP(A48,'Données projet'!$A$191:$I$211,3,0))</f>
        <v>4</v>
      </c>
      <c r="ER48" s="15">
        <f>IF(ISNA(VLOOKUP(A48,'Données projet'!$A$191:$I$211,4,0)),0,VLOOKUP(A48,'Données projet'!$A$191:$I$211,4,0))</f>
        <v>231</v>
      </c>
      <c r="ES48" s="16">
        <f>IF(ISNA(VLOOKUP(A48,'Données projet'!$A$191:$I$211,5,0)),0%,VLOOKUP(A48,'Données projet'!$A$191:$I$211,5,0)*VLOOKUP('Données projet'!$B$15,Paramètres!$A$1:$I$89,7,0))</f>
        <v>0.25800000000000001</v>
      </c>
      <c r="ET48" s="16">
        <f>IF(ISNA(VLOOKUP(A48,'Données projet'!$A$191:$I$211,6,0)),0%,VLOOKUP(A48,'Données projet'!$A$191:$I$211,6,0)*VLOOKUP('Données projet'!$B$15,Paramètres!$A$1:$I$89,7,0))</f>
        <v>0.129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48.306019521739564</v>
      </c>
      <c r="EW48" s="21">
        <f>EXP(-LN(2)/25)*EW47+(1-EXP(-LN(2)/25))/(LN(2)/25)*Calculateur!ER48*Calculateur!ET48*VLOOKUP('Données projet'!$B$15,Paramètres!$A$1:$I$89,3,0)*0.475*44/12</f>
        <v>35.378701559116458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83.684721080856022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558</v>
      </c>
      <c r="FC48" s="12">
        <f>VLOOKUP(A48,'Données projet'!$A$217:$I$237,9,0)</f>
        <v>25.666666666666668</v>
      </c>
      <c r="FD48" s="12">
        <f t="array" ref="FD48">INDEX(FC:FC,MIN(IF(ISNUMBER(FC48:FC244),ROW(FC48:FC244),"")))</f>
        <v>25.666666666666668</v>
      </c>
      <c r="FE48" s="12">
        <f>IF('Données projet'!$A$218&gt;35,FE47+FD48-FM47,IF(A48&lt;'Données projet'!$A$218,$FB$205^A48,IF(A48='Données projet'!$A$218,'Données projet'!$B$218,FE47+FD48-FM47)))</f>
        <v>558</v>
      </c>
      <c r="FF48" s="17">
        <f>FE48*VLOOKUP('Données projet'!$B$16,Paramètres!$A$1:$I$89,3,0)*VLOOKUP('Données projet'!$B$16,Paramètres!$A$1:$I$89,5,0)</f>
        <v>311.92200000000003</v>
      </c>
      <c r="FG48" s="13">
        <f t="shared" si="47"/>
        <v>73.670075764965745</v>
      </c>
      <c r="FH48" s="20">
        <f t="shared" si="22"/>
        <v>671.57286529064868</v>
      </c>
      <c r="FI48" s="59">
        <f t="shared" si="23"/>
        <v>964.90619862398194</v>
      </c>
      <c r="FJ48" s="59">
        <f ca="1">AVERAGE(OFFSET($FI$3,0,0,'Données projet'!$E$16+1,1))-AVERAGE(OFFSET($H$3,0,0,'Données projet'!$E$16+1,1))</f>
        <v>346.42094266871379</v>
      </c>
      <c r="FK48" s="59">
        <f t="shared" si="48"/>
        <v>453.48153556975973</v>
      </c>
      <c r="FL48" s="15">
        <f>IF(ISNA(VLOOKUP(A48,'Données projet'!$A$217:$I$237,3,0)),0,VLOOKUP(A48,'Données projet'!$A$217:$I$237,3,0))</f>
        <v>5</v>
      </c>
      <c r="FM48" s="15">
        <f>IF(ISNA(VLOOKUP(A48,'Données projet'!$A$217:$I$237,4,0)),0,VLOOKUP(A48,'Données projet'!$A$217:$I$237,4,0))</f>
        <v>89</v>
      </c>
      <c r="FN48" s="16">
        <f>IF(ISNA(VLOOKUP(A48,'Données projet'!$A$217:$I$237,5,0)),0%,VLOOKUP(A48,'Données projet'!$A$217:$I$237,5,0)*VLOOKUP('Données projet'!$B$16,Paramètres!$A$1:$I$89,7,0))</f>
        <v>0.16500000000000001</v>
      </c>
      <c r="FO48" s="16">
        <f>IF(ISNA(VLOOKUP(A48,'Données projet'!$A$217:$I$237,6,0)),0%,VLOOKUP(A48,'Données projet'!$A$217:$I$237,6,0)*VLOOKUP('Données projet'!$B$16,Paramètres!$A$1:$I$89,7,0))</f>
        <v>0.27500000000000002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32.768786866207698</v>
      </c>
      <c r="FR48" s="21">
        <f>EXP(-LN(2)/25)*FR47+(1-EXP(-LN(2)/25))/(LN(2)/25)*Calculateur!FM48*Calculateur!FO48*VLOOKUP('Données projet'!$B$16,Paramètres!$A$1:$I$89,3,0)*0.475*44/12</f>
        <v>71.397996585196552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104.16678345140426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11.5</v>
      </c>
      <c r="FZ48" s="12">
        <f>IF('Données projet'!$A$244&gt;35,FZ47+FY48-GH47,IF(A48&lt;'Données projet'!$A$244,$FW$205^A48,IF(A48='Données projet'!$A$244,'Données projet'!$B$244,FZ47+FY48-GH47)))</f>
        <v>254.31999999999994</v>
      </c>
      <c r="GA48" s="17">
        <f>FZ48*VLOOKUP('Données projet'!$B$17,Paramètres!$A$1:$I$89,3,0)*VLOOKUP('Données projet'!$B$17,Paramètres!$A$1:$I$89,5,0)</f>
        <v>119.02175999999997</v>
      </c>
      <c r="GB48" s="13">
        <f t="shared" si="49"/>
        <v>31.446732299897718</v>
      </c>
      <c r="GC48" s="20">
        <f t="shared" si="25"/>
        <v>262.06595742232179</v>
      </c>
      <c r="GD48" s="59">
        <f t="shared" si="26"/>
        <v>555.3992907556551</v>
      </c>
      <c r="GE48" s="59">
        <f ca="1">AVERAGE(OFFSET($GD$3,0,0,'Données projet'!$E$17+1,1))-AVERAGE(OFFSET($H$3,0,0,'Données projet'!$E$17+1,1))</f>
        <v>198.26255998041</v>
      </c>
      <c r="GF48" s="59">
        <f t="shared" si="50"/>
        <v>238.62101708181166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7.6087244146495285</v>
      </c>
      <c r="GM48" s="21">
        <f>EXP(-LN(2)/25)*GM47+(1-EXP(-LN(2)/25))/(LN(2)/25)*Calculateur!GH48*Calculateur!GJ48*VLOOKUP('Données projet'!$B$17,Paramètres!$A$1:$I$89,3,0)*0.475*44/12</f>
        <v>27.610816073909465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35.219540488558991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14.1</v>
      </c>
      <c r="GU48" s="12">
        <f>IF('Données projet'!$A$270&gt;35,GU47+GT48-HC47,IF(A48&lt;'Données projet'!$A$270,$GR$205^A48,IF(A48='Données projet'!$A$270,'Données projet'!$B$270,GU47+GT48-HC47)))</f>
        <v>244.5</v>
      </c>
      <c r="GV48" s="17">
        <f>GU48*VLOOKUP('Données projet'!$B$18,Paramètres!$A$1:$I$89,3,0)*VLOOKUP('Données projet'!$B$18,Paramètres!$A$1:$I$89,5,0)</f>
        <v>281.66399999999999</v>
      </c>
      <c r="GW48" s="13">
        <f t="shared" si="51"/>
        <v>67.318538556536012</v>
      </c>
      <c r="GX48" s="20">
        <f t="shared" si="28"/>
        <v>607.81125465263347</v>
      </c>
      <c r="GY48" s="59">
        <f t="shared" si="29"/>
        <v>901.14458798596684</v>
      </c>
      <c r="GZ48" s="59">
        <f ca="1">AVERAGE(OFFSET($GY$3,0,0,'Données projet'!$E$18+1,1))-AVERAGE(OFFSET($H$3,0,0,'Données projet'!$E$18+1,1))</f>
        <v>604.0566904089452</v>
      </c>
      <c r="HA48" s="59">
        <f t="shared" si="52"/>
        <v>369.5187835902687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5.7354843117883565</v>
      </c>
      <c r="HH48" s="21">
        <f>EXP(-LN(2)/25)*HH47+(1-EXP(-LN(2)/25))/(LN(2)/25)*Calculateur!HC48*Calculateur!HE48*VLOOKUP('Données projet'!$B$18,Paramètres!$A$1:$I$89,3,0)*0.475*44/12</f>
        <v>18.51948627032456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24.254970582112918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11.375</v>
      </c>
      <c r="N49" s="13">
        <f>IF('Données projet'!$A$36&gt;35,N48+M49-V48,IF(A49&lt;'Données projet'!$A$36,$K$205^A49,IF(A49='Données projet'!$A$36,'Données projet'!$B$36,N48+M49-V48)))</f>
        <v>163.75</v>
      </c>
      <c r="O49" s="13">
        <f>N49*VLOOKUP('Données projet'!$B$9,Paramètres!$A$1:$I$89,3,0)*VLOOKUP('Données projet'!$B$9,Paramètres!$A$1:$I$89,5,0)</f>
        <v>148.161</v>
      </c>
      <c r="P49" s="13">
        <f t="shared" si="33"/>
        <v>38.160366703641543</v>
      </c>
      <c r="Q49" s="20">
        <f t="shared" si="53"/>
        <v>324.50971367550903</v>
      </c>
      <c r="R49" s="59">
        <f t="shared" si="0"/>
        <v>617.8430470088424</v>
      </c>
      <c r="S49" s="59">
        <f ca="1">AVERAGE(OFFSET($R$3,0,0,'Données projet'!$E$9+1,1))-AVERAGE(OFFSET($H$3,0,0,'Données projet'!$E$9+1,1))</f>
        <v>528.20489749461376</v>
      </c>
      <c r="T49" s="59">
        <f t="shared" si="34"/>
        <v>276.26988364830532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5.8288859319926898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5.8288859319926898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2.2737367544323206E-13</v>
      </c>
      <c r="AJ49" s="13">
        <f>AI49*VLOOKUP('Données projet'!$B$10,Paramètres!$A$1:$I$89,3,0)*VLOOKUP('Données projet'!$B$10,Paramètres!$A$1:$I$89,5,0)</f>
        <v>2.0572770154103635E-13</v>
      </c>
      <c r="AK49" s="13">
        <f t="shared" si="35"/>
        <v>2.8416956338469711E-12</v>
      </c>
      <c r="AL49" s="20">
        <f t="shared" si="4"/>
        <v>5.3075956424674458E-12</v>
      </c>
      <c r="AM49" s="59">
        <f t="shared" si="5"/>
        <v>293.3333333333386</v>
      </c>
      <c r="AN49" s="59">
        <f ca="1">AVERAGE(OFFSET($AM$3,0,0,'Données projet'!$E$10+1,1))-AVERAGE(OFFSET($H$3,0,0,'Données projet'!$E$10+1,1))</f>
        <v>436.23918637269577</v>
      </c>
      <c r="AO49" s="59">
        <f t="shared" si="36"/>
        <v>611.43967996341894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71.588760370681612</v>
      </c>
      <c r="AV49" s="21">
        <f>EXP(-LN(2)/25)*AV48+(1-EXP(-LN(2)/25))/(LN(2)/25)*Calculateur!AQ49*Calculateur!AS49*VLOOKUP('Données projet'!$B$10,Paramètres!$A$1:$I$89,3,0)*0.475*44/12</f>
        <v>42.102820138597757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113.69158050927936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10.375</v>
      </c>
      <c r="BD49" s="12">
        <f>IF('Données projet'!$A$88&gt;35,BD48+BC49-BL48,IF(A49&lt;'Données projet'!$A$88,$BA$205^A49,IF(A49='Données projet'!$A$88,'Données projet'!$B$88,BD48+BC49-BL48)))</f>
        <v>207.74999999999991</v>
      </c>
      <c r="BE49" s="13">
        <f>BD49*VLOOKUP('Données projet'!$B$11,Paramètres!$A$1:$I$89,3,0)*VLOOKUP('Données projet'!$B$11,Paramètres!$A$1:$I$89,5,0)</f>
        <v>162.04499999999993</v>
      </c>
      <c r="BF49" s="13">
        <f t="shared" si="37"/>
        <v>41.303429372463391</v>
      </c>
      <c r="BG49" s="20">
        <f t="shared" si="7"/>
        <v>354.16518115704025</v>
      </c>
      <c r="BH49" s="59">
        <f t="shared" si="8"/>
        <v>647.49851449037351</v>
      </c>
      <c r="BI49" s="59">
        <f ca="1">AVERAGE(OFFSET($BH$3,0,0,'Données projet'!$E$11+1,1))-AVERAGE(OFFSET($H$3,0,0,'Données projet'!$E$11+1,1))</f>
        <v>288.82868507674738</v>
      </c>
      <c r="BJ49" s="59">
        <f t="shared" si="38"/>
        <v>283.48738729114024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4.5972504599355402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4.5972504599355402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1.5861999999999994</v>
      </c>
      <c r="BY49" s="12">
        <f>IF('Données projet'!$A$114&gt;35,BY48+BX49-CG48,IF(A49&lt;'Données projet'!$A$114,$BV$205^A49,IF(A49='Données projet'!$A$114,'Données projet'!$B$114,BY48+BX49-CG48)))</f>
        <v>40.880700000000004</v>
      </c>
      <c r="BZ49" s="13">
        <f>BY49*VLOOKUP('Données projet'!$B$12,Paramètres!$A$1:$I$89,3,0)*VLOOKUP('Données projet'!$B$12,Paramètres!$A$1:$I$89,5,0)</f>
        <v>35.713379520000011</v>
      </c>
      <c r="CA49" s="13">
        <f t="shared" si="39"/>
        <v>10.85509157025195</v>
      </c>
      <c r="CB49" s="20">
        <f t="shared" si="10"/>
        <v>81.106753815522168</v>
      </c>
      <c r="CC49" s="59">
        <f t="shared" si="11"/>
        <v>374.44008714885547</v>
      </c>
      <c r="CD49" s="59">
        <f ca="1">AVERAGE(OFFSET($CC$3,0,0,'Données projet'!$E$12+1,1))-AVERAGE(OFFSET($H$3,0,0,'Données projet'!$E$12+1,1))</f>
        <v>93.329407403816901</v>
      </c>
      <c r="CE49" s="59">
        <f t="shared" si="40"/>
        <v>90.925148357295313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1.1747401726843334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1.1747401726843334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16</v>
      </c>
      <c r="CT49" s="12">
        <f>IF('Données projet'!$A$140&gt;35,CT48+CS49-DB48,IF(A49&lt;'Données projet'!$A$140,$CQ$205^A49,IF(A49='Données projet'!$A$140,'Données projet'!$B$140,CT48+CS49-DB48)))</f>
        <v>420.99999999999977</v>
      </c>
      <c r="CU49" s="17">
        <f>CT49*VLOOKUP('Données projet'!$B$13,Paramètres!$A$1:$I$89,3,0)*VLOOKUP('Données projet'!$B$13,Paramètres!$A$1:$I$89,5,0)</f>
        <v>400.62359999999973</v>
      </c>
      <c r="CV49" s="13">
        <f t="shared" si="41"/>
        <v>91.903079086750651</v>
      </c>
      <c r="CW49" s="20">
        <f t="shared" si="13"/>
        <v>857.81729940942353</v>
      </c>
      <c r="CX49" s="59">
        <f t="shared" si="14"/>
        <v>1151.1506327427569</v>
      </c>
      <c r="CY49" s="59">
        <f ca="1">AVERAGE(OFFSET($CX$3,0,0,'Données projet'!$E$13+1,1))-AVERAGE(OFFSET($H$3,0,0,'Données projet'!$E$13+1,1))</f>
        <v>805.04572055352492</v>
      </c>
      <c r="CZ49" s="59">
        <f t="shared" si="42"/>
        <v>708.66645042414962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13.957365990154228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13.957365990154228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10.4</v>
      </c>
      <c r="DO49" s="12">
        <f>IF('Données projet'!$A$166&gt;35,DO48+DN49-DW48,IF(A49&lt;'Données projet'!$A$166,$DL$205^A49,IF(A49='Données projet'!$A$166,'Données projet'!$B$166,DO48+DN49-DW48)))</f>
        <v>312.40000000000003</v>
      </c>
      <c r="DP49" s="17">
        <f>DO49*VLOOKUP('Données projet'!$B$14,Paramètres!$A$1:$I$89,3,0)*VLOOKUP('Données projet'!$B$14,Paramètres!$A$1:$I$89,5,0)</f>
        <v>209.55792000000005</v>
      </c>
      <c r="DQ49" s="13">
        <f t="shared" si="43"/>
        <v>51.838968250395396</v>
      </c>
      <c r="DR49" s="20">
        <f t="shared" si="16"/>
        <v>455.26624703610543</v>
      </c>
      <c r="DS49" s="59">
        <f t="shared" si="17"/>
        <v>748.59958036943874</v>
      </c>
      <c r="DT49" s="59">
        <f ca="1">AVERAGE(OFFSET($DS$3,0,0,'Données projet'!$E$14+1,1))-AVERAGE(OFFSET($H$3,0,0,'Données projet'!$E$14+1,1))</f>
        <v>482.69499576870095</v>
      </c>
      <c r="DU49" s="59">
        <f t="shared" si="44"/>
        <v>384.28918352579575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6.272838872799869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6.272838872799869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1.7053025658242404E-13</v>
      </c>
      <c r="EK49" s="17">
        <f>EJ49*VLOOKUP('Données projet'!$B$15,Paramètres!$A$1:$I$89,3,0)*VLOOKUP('Données projet'!$B$15,Paramètres!$A$1:$I$89,5,0)</f>
        <v>1.250327841262333E-13</v>
      </c>
      <c r="EL49" s="13">
        <f t="shared" si="45"/>
        <v>1.8301318724634299E-12</v>
      </c>
      <c r="EM49" s="20">
        <f t="shared" si="19"/>
        <v>3.405245110226996E-12</v>
      </c>
      <c r="EN49" s="59">
        <f t="shared" si="20"/>
        <v>293.33333333333672</v>
      </c>
      <c r="EO49" s="59">
        <f ca="1">AVERAGE(OFFSET($EN$3,0,0,'Données projet'!$E$15+1,1))-AVERAGE(OFFSET($H$3,0,0,'Données projet'!$E$15+1,1))</f>
        <v>197.34725966440715</v>
      </c>
      <c r="EP49" s="59">
        <f t="shared" si="46"/>
        <v>240.16326570529532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47.358767942680856</v>
      </c>
      <c r="EW49" s="21">
        <f>EXP(-LN(2)/25)*EW48+(1-EXP(-LN(2)/25))/(LN(2)/25)*Calculateur!ER49*Calculateur!ET49*VLOOKUP('Données projet'!$B$15,Paramètres!$A$1:$I$89,3,0)*0.475*44/12</f>
        <v>34.411269104497364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81.770037047178221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24.333333333333332</v>
      </c>
      <c r="FE49" s="12">
        <f>IF('Données projet'!$A$218&gt;35,FE48+FD49-FM48,IF(A49&lt;'Données projet'!$A$218,$FB$205^A49,IF(A49='Données projet'!$A$218,'Données projet'!$B$218,FE48+FD49-FM48)))</f>
        <v>493.33333333333337</v>
      </c>
      <c r="FF49" s="17">
        <f>FE49*VLOOKUP('Données projet'!$B$16,Paramètres!$A$1:$I$89,3,0)*VLOOKUP('Données projet'!$B$16,Paramètres!$A$1:$I$89,5,0)</f>
        <v>275.77333333333337</v>
      </c>
      <c r="FG49" s="13">
        <f t="shared" si="47"/>
        <v>66.073003539760506</v>
      </c>
      <c r="FH49" s="20">
        <f t="shared" si="22"/>
        <v>595.38237005397184</v>
      </c>
      <c r="FI49" s="59">
        <f t="shared" si="23"/>
        <v>888.71570338730521</v>
      </c>
      <c r="FJ49" s="59">
        <f ca="1">AVERAGE(OFFSET($FI$3,0,0,'Données projet'!$E$16+1,1))-AVERAGE(OFFSET($H$3,0,0,'Données projet'!$E$16+1,1))</f>
        <v>346.42094266871379</v>
      </c>
      <c r="FK49" s="59">
        <f t="shared" si="48"/>
        <v>453.48153556975973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32.126210942747804</v>
      </c>
      <c r="FR49" s="21">
        <f>EXP(-LN(2)/25)*FR48+(1-EXP(-LN(2)/25))/(LN(2)/25)*Calculateur!FM49*Calculateur!FO49*VLOOKUP('Données projet'!$B$16,Paramètres!$A$1:$I$89,3,0)*0.475*44/12</f>
        <v>69.445614613916888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101.57182555666469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11.5</v>
      </c>
      <c r="FZ49" s="12">
        <f>IF('Données projet'!$A$244&gt;35,FZ48+FY49-GH48,IF(A49&lt;'Données projet'!$A$244,$FW$205^A49,IF(A49='Données projet'!$A$244,'Données projet'!$B$244,FZ48+FY49-GH48)))</f>
        <v>265.81999999999994</v>
      </c>
      <c r="GA49" s="17">
        <f>FZ49*VLOOKUP('Données projet'!$B$17,Paramètres!$A$1:$I$89,3,0)*VLOOKUP('Données projet'!$B$17,Paramètres!$A$1:$I$89,5,0)</f>
        <v>124.40375999999996</v>
      </c>
      <c r="GB49" s="13">
        <f t="shared" si="49"/>
        <v>32.699939671557111</v>
      </c>
      <c r="GC49" s="20">
        <f t="shared" si="25"/>
        <v>273.62227692796188</v>
      </c>
      <c r="GD49" s="59">
        <f t="shared" si="26"/>
        <v>566.95561026129519</v>
      </c>
      <c r="GE49" s="59">
        <f ca="1">AVERAGE(OFFSET($GD$3,0,0,'Données projet'!$E$17+1,1))-AVERAGE(OFFSET($H$3,0,0,'Données projet'!$E$17+1,1))</f>
        <v>198.26255998041</v>
      </c>
      <c r="GF49" s="59">
        <f t="shared" si="50"/>
        <v>238.62101708181166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7.4595219697418971</v>
      </c>
      <c r="GM49" s="21">
        <f>EXP(-LN(2)/25)*GM48+(1-EXP(-LN(2)/25))/(LN(2)/25)*Calculateur!GH49*Calculateur!GJ49*VLOOKUP('Données projet'!$B$17,Paramètres!$A$1:$I$89,3,0)*0.475*44/12</f>
        <v>26.855796856378699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34.315318826120595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14.1</v>
      </c>
      <c r="GU49" s="12">
        <f>IF('Données projet'!$A$270&gt;35,GU48+GT49-HC48,IF(A49&lt;'Données projet'!$A$270,$GR$205^A49,IF(A49='Données projet'!$A$270,'Données projet'!$B$270,GU48+GT49-HC48)))</f>
        <v>258.60000000000002</v>
      </c>
      <c r="GV49" s="17">
        <f>GU49*VLOOKUP('Données projet'!$B$18,Paramètres!$A$1:$I$89,3,0)*VLOOKUP('Données projet'!$B$18,Paramètres!$A$1:$I$89,5,0)</f>
        <v>297.90719999999999</v>
      </c>
      <c r="GW49" s="13">
        <f t="shared" si="51"/>
        <v>70.737553619925365</v>
      </c>
      <c r="GX49" s="20">
        <f t="shared" si="28"/>
        <v>642.05627922137</v>
      </c>
      <c r="GY49" s="59">
        <f t="shared" si="29"/>
        <v>935.38961255470326</v>
      </c>
      <c r="GZ49" s="59">
        <f ca="1">AVERAGE(OFFSET($GY$3,0,0,'Données projet'!$E$18+1,1))-AVERAGE(OFFSET($H$3,0,0,'Données projet'!$E$18+1,1))</f>
        <v>604.0566904089452</v>
      </c>
      <c r="HA49" s="59">
        <f t="shared" si="52"/>
        <v>369.5187835902687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5.6230149627341888</v>
      </c>
      <c r="HH49" s="21">
        <f>EXP(-LN(2)/25)*HH48+(1-EXP(-LN(2)/25))/(LN(2)/25)*Calculateur!HC49*Calculateur!HE49*VLOOKUP('Données projet'!$B$18,Paramètres!$A$1:$I$89,3,0)*0.475*44/12</f>
        <v>18.013069944365078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23.636084907099267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11.375</v>
      </c>
      <c r="N50" s="13">
        <f>IF('Données projet'!$A$36&gt;35,N49+M50-V49,IF(A50&lt;'Données projet'!$A$36,$K$205^A50,IF(A50='Données projet'!$A$36,'Données projet'!$B$36,N49+M50-V49)))</f>
        <v>175.125</v>
      </c>
      <c r="O50" s="13">
        <f>N50*VLOOKUP('Données projet'!$B$9,Paramètres!$A$1:$I$89,3,0)*VLOOKUP('Données projet'!$B$9,Paramètres!$A$1:$I$89,5,0)</f>
        <v>158.45309999999998</v>
      </c>
      <c r="P50" s="13">
        <f t="shared" si="33"/>
        <v>40.493410758765933</v>
      </c>
      <c r="Q50" s="20">
        <f t="shared" si="53"/>
        <v>346.49850623818389</v>
      </c>
      <c r="R50" s="59">
        <f t="shared" si="0"/>
        <v>639.83183957151721</v>
      </c>
      <c r="S50" s="59">
        <f ca="1">AVERAGE(OFFSET($R$3,0,0,'Données projet'!$E$9+1,1))-AVERAGE(OFFSET($H$3,0,0,'Données projet'!$E$9+1,1))</f>
        <v>528.20489749461376</v>
      </c>
      <c r="T50" s="59">
        <f t="shared" si="34"/>
        <v>276.26988364830532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5.7145850341356779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5.7145850341356779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2.2737367544323206E-13</v>
      </c>
      <c r="AJ50" s="13">
        <f>AI50*VLOOKUP('Données projet'!$B$10,Paramètres!$A$1:$I$89,3,0)*VLOOKUP('Données projet'!$B$10,Paramètres!$A$1:$I$89,5,0)</f>
        <v>2.0572770154103635E-13</v>
      </c>
      <c r="AK50" s="13">
        <f t="shared" si="35"/>
        <v>2.8416956338469711E-12</v>
      </c>
      <c r="AL50" s="20">
        <f t="shared" si="4"/>
        <v>5.3075956424674458E-12</v>
      </c>
      <c r="AM50" s="59">
        <f t="shared" si="5"/>
        <v>293.3333333333386</v>
      </c>
      <c r="AN50" s="59">
        <f ca="1">AVERAGE(OFFSET($AM$3,0,0,'Données projet'!$E$10+1,1))-AVERAGE(OFFSET($H$3,0,0,'Données projet'!$E$10+1,1))</f>
        <v>436.23918637269577</v>
      </c>
      <c r="AO50" s="59">
        <f t="shared" si="36"/>
        <v>611.43967996341894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70.184948444644832</v>
      </c>
      <c r="AV50" s="21">
        <f>EXP(-LN(2)/25)*AV49+(1-EXP(-LN(2)/25))/(LN(2)/25)*Calculateur!AQ50*Calculateur!AS50*VLOOKUP('Données projet'!$B$10,Paramètres!$A$1:$I$89,3,0)*0.475*44/12</f>
        <v>40.951516307816718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111.13646475246155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10.375</v>
      </c>
      <c r="BD50" s="12">
        <f>IF('Données projet'!$A$88&gt;35,BD49+BC50-BL49,IF(A50&lt;'Données projet'!$A$88,$BA$205^A50,IF(A50='Données projet'!$A$88,'Données projet'!$B$88,BD49+BC50-BL49)))</f>
        <v>218.12499999999991</v>
      </c>
      <c r="BE50" s="13">
        <f>BD50*VLOOKUP('Données projet'!$B$11,Paramètres!$A$1:$I$89,3,0)*VLOOKUP('Données projet'!$B$11,Paramètres!$A$1:$I$89,5,0)</f>
        <v>170.13749999999993</v>
      </c>
      <c r="BF50" s="13">
        <f t="shared" si="37"/>
        <v>43.120817562072375</v>
      </c>
      <c r="BG50" s="20">
        <f t="shared" si="7"/>
        <v>371.42490308727588</v>
      </c>
      <c r="BH50" s="59">
        <f t="shared" si="8"/>
        <v>664.75823642060914</v>
      </c>
      <c r="BI50" s="59">
        <f ca="1">AVERAGE(OFFSET($BH$3,0,0,'Données projet'!$E$11+1,1))-AVERAGE(OFFSET($H$3,0,0,'Données projet'!$E$11+1,1))</f>
        <v>288.82868507674738</v>
      </c>
      <c r="BJ50" s="59">
        <f t="shared" si="38"/>
        <v>283.48738729114024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4.5071011824621081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4.5071011824621081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1.5861999999999994</v>
      </c>
      <c r="BY50" s="12">
        <f>IF('Données projet'!$A$114&gt;35,BY49+BX50-CG49,IF(A50&lt;'Données projet'!$A$114,$BV$205^A50,IF(A50='Données projet'!$A$114,'Données projet'!$B$114,BY49+BX50-CG49)))</f>
        <v>42.466900000000003</v>
      </c>
      <c r="BZ50" s="13">
        <f>BY50*VLOOKUP('Données projet'!$B$12,Paramètres!$A$1:$I$89,3,0)*VLOOKUP('Données projet'!$B$12,Paramètres!$A$1:$I$89,5,0)</f>
        <v>37.099083840000006</v>
      </c>
      <c r="CA50" s="13">
        <f t="shared" si="39"/>
        <v>11.226422303597397</v>
      </c>
      <c r="CB50" s="20">
        <f t="shared" si="10"/>
        <v>84.166923200098793</v>
      </c>
      <c r="CC50" s="59">
        <f t="shared" si="11"/>
        <v>377.50025653343209</v>
      </c>
      <c r="CD50" s="59">
        <f ca="1">AVERAGE(OFFSET($CC$3,0,0,'Données projet'!$E$12+1,1))-AVERAGE(OFFSET($H$3,0,0,'Données projet'!$E$12+1,1))</f>
        <v>93.329407403816901</v>
      </c>
      <c r="CE50" s="59">
        <f t="shared" si="40"/>
        <v>90.925148357295313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1.1517042344187485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1.1517042344187485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16</v>
      </c>
      <c r="CT50" s="12">
        <f>IF('Données projet'!$A$140&gt;35,CT49+CS50-DB49,IF(A50&lt;'Données projet'!$A$140,$CQ$205^A50,IF(A50='Données projet'!$A$140,'Données projet'!$B$140,CT49+CS50-DB49)))</f>
        <v>436.99999999999977</v>
      </c>
      <c r="CU50" s="17">
        <f>CT50*VLOOKUP('Données projet'!$B$13,Paramètres!$A$1:$I$89,3,0)*VLOOKUP('Données projet'!$B$13,Paramètres!$A$1:$I$89,5,0)</f>
        <v>415.84919999999983</v>
      </c>
      <c r="CV50" s="13">
        <f t="shared" si="41"/>
        <v>94.982544527061322</v>
      </c>
      <c r="CW50" s="20">
        <f t="shared" si="13"/>
        <v>889.69862171796467</v>
      </c>
      <c r="CX50" s="59">
        <f t="shared" si="14"/>
        <v>1183.0319550512979</v>
      </c>
      <c r="CY50" s="59">
        <f ca="1">AVERAGE(OFFSET($CX$3,0,0,'Données projet'!$E$13+1,1))-AVERAGE(OFFSET($H$3,0,0,'Données projet'!$E$13+1,1))</f>
        <v>805.04572055352492</v>
      </c>
      <c r="CZ50" s="59">
        <f t="shared" si="42"/>
        <v>708.66645042414962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13.683670556239953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13.683670556239953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10.4</v>
      </c>
      <c r="DO50" s="12">
        <f>IF('Données projet'!$A$166&gt;35,DO49+DN50-DW49,IF(A50&lt;'Données projet'!$A$166,$DL$205^A50,IF(A50='Données projet'!$A$166,'Données projet'!$B$166,DO49+DN50-DW49)))</f>
        <v>322.8</v>
      </c>
      <c r="DP50" s="17">
        <f>DO50*VLOOKUP('Données projet'!$B$14,Paramètres!$A$1:$I$89,3,0)*VLOOKUP('Données projet'!$B$14,Paramètres!$A$1:$I$89,5,0)</f>
        <v>216.53424000000001</v>
      </c>
      <c r="DQ50" s="13">
        <f t="shared" si="43"/>
        <v>53.360925192852498</v>
      </c>
      <c r="DR50" s="20">
        <f t="shared" si="16"/>
        <v>470.06741271088475</v>
      </c>
      <c r="DS50" s="59">
        <f t="shared" si="17"/>
        <v>763.40074604421807</v>
      </c>
      <c r="DT50" s="59">
        <f ca="1">AVERAGE(OFFSET($DS$3,0,0,'Données projet'!$E$14+1,1))-AVERAGE(OFFSET($H$3,0,0,'Données projet'!$E$14+1,1))</f>
        <v>482.69499576870095</v>
      </c>
      <c r="DU50" s="59">
        <f t="shared" si="44"/>
        <v>384.28918352579575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6.1498323285581842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6.1498323285581842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1.7053025658242404E-13</v>
      </c>
      <c r="EK50" s="17">
        <f>EJ50*VLOOKUP('Données projet'!$B$15,Paramètres!$A$1:$I$89,3,0)*VLOOKUP('Données projet'!$B$15,Paramètres!$A$1:$I$89,5,0)</f>
        <v>1.250327841262333E-13</v>
      </c>
      <c r="EL50" s="13">
        <f t="shared" si="45"/>
        <v>1.8301318724634299E-12</v>
      </c>
      <c r="EM50" s="20">
        <f t="shared" si="19"/>
        <v>3.405245110226996E-12</v>
      </c>
      <c r="EN50" s="59">
        <f t="shared" si="20"/>
        <v>293.33333333333672</v>
      </c>
      <c r="EO50" s="59">
        <f ca="1">AVERAGE(OFFSET($EN$3,0,0,'Données projet'!$E$15+1,1))-AVERAGE(OFFSET($H$3,0,0,'Données projet'!$E$15+1,1))</f>
        <v>197.34725966440715</v>
      </c>
      <c r="EP50" s="59">
        <f t="shared" si="46"/>
        <v>240.16326570529532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46.430091389321078</v>
      </c>
      <c r="EW50" s="21">
        <f>EXP(-LN(2)/25)*EW49+(1-EXP(-LN(2)/25))/(LN(2)/25)*Calculateur!ER50*Calculateur!ET50*VLOOKUP('Données projet'!$B$15,Paramètres!$A$1:$I$89,3,0)*0.475*44/12</f>
        <v>33.470291141224891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79.900382530545969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24.333333333333332</v>
      </c>
      <c r="FE50" s="12">
        <f>IF('Données projet'!$A$218&gt;35,FE49+FD50-FM49,IF(A50&lt;'Données projet'!$A$218,$FB$205^A50,IF(A50='Données projet'!$A$218,'Données projet'!$B$218,FE49+FD50-FM49)))</f>
        <v>517.66666666666674</v>
      </c>
      <c r="FF50" s="17">
        <f>FE50*VLOOKUP('Données projet'!$B$16,Paramètres!$A$1:$I$89,3,0)*VLOOKUP('Données projet'!$B$16,Paramètres!$A$1:$I$89,5,0)</f>
        <v>289.37566666666669</v>
      </c>
      <c r="FG50" s="13">
        <f t="shared" si="47"/>
        <v>68.944542795820865</v>
      </c>
      <c r="FH50" s="20">
        <f t="shared" si="22"/>
        <v>624.07436481383252</v>
      </c>
      <c r="FI50" s="59">
        <f t="shared" si="23"/>
        <v>917.40769814716577</v>
      </c>
      <c r="FJ50" s="59">
        <f ca="1">AVERAGE(OFFSET($FI$3,0,0,'Données projet'!$E$16+1,1))-AVERAGE(OFFSET($H$3,0,0,'Données projet'!$E$16+1,1))</f>
        <v>346.42094266871379</v>
      </c>
      <c r="FK50" s="59">
        <f t="shared" si="48"/>
        <v>453.48153556975973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31.496235541214343</v>
      </c>
      <c r="FR50" s="21">
        <f>EXP(-LN(2)/25)*FR49+(1-EXP(-LN(2)/25))/(LN(2)/25)*Calculateur!FM50*Calculateur!FO50*VLOOKUP('Données projet'!$B$16,Paramètres!$A$1:$I$89,3,0)*0.475*44/12</f>
        <v>67.546620630313171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99.042856171527518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11.5</v>
      </c>
      <c r="FZ50" s="12">
        <f>IF('Données projet'!$A$244&gt;35,FZ49+FY50-GH49,IF(A50&lt;'Données projet'!$A$244,$FW$205^A50,IF(A50='Données projet'!$A$244,'Données projet'!$B$244,FZ49+FY50-GH49)))</f>
        <v>277.31999999999994</v>
      </c>
      <c r="GA50" s="17">
        <f>FZ50*VLOOKUP('Données projet'!$B$17,Paramètres!$A$1:$I$89,3,0)*VLOOKUP('Données projet'!$B$17,Paramètres!$A$1:$I$89,5,0)</f>
        <v>129.78575999999998</v>
      </c>
      <c r="GB50" s="13">
        <f t="shared" si="49"/>
        <v>33.946850007514598</v>
      </c>
      <c r="GC50" s="20">
        <f t="shared" si="25"/>
        <v>285.16762909642119</v>
      </c>
      <c r="GD50" s="59">
        <f t="shared" si="26"/>
        <v>578.50096242975451</v>
      </c>
      <c r="GE50" s="59">
        <f ca="1">AVERAGE(OFFSET($GD$3,0,0,'Données projet'!$E$17+1,1))-AVERAGE(OFFSET($H$3,0,0,'Données projet'!$E$17+1,1))</f>
        <v>198.26255998041</v>
      </c>
      <c r="GF50" s="59">
        <f t="shared" si="50"/>
        <v>238.62101708181166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7.3132452937743988</v>
      </c>
      <c r="GM50" s="21">
        <f>EXP(-LN(2)/25)*GM49+(1-EXP(-LN(2)/25))/(LN(2)/25)*Calculateur!GH50*Calculateur!GJ50*VLOOKUP('Données projet'!$B$17,Paramètres!$A$1:$I$89,3,0)*0.475*44/12</f>
        <v>26.121423679056047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33.434668972830444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14.1</v>
      </c>
      <c r="GU50" s="12">
        <f>IF('Données projet'!$A$270&gt;35,GU49+GT50-HC49,IF(A50&lt;'Données projet'!$A$270,$GR$205^A50,IF(A50='Données projet'!$A$270,'Données projet'!$B$270,GU49+GT50-HC49)))</f>
        <v>272.70000000000005</v>
      </c>
      <c r="GV50" s="17">
        <f>GU50*VLOOKUP('Données projet'!$B$18,Paramètres!$A$1:$I$89,3,0)*VLOOKUP('Données projet'!$B$18,Paramètres!$A$1:$I$89,5,0)</f>
        <v>314.15040000000005</v>
      </c>
      <c r="GW50" s="13">
        <f t="shared" si="51"/>
        <v>74.134926833822959</v>
      </c>
      <c r="GX50" s="20">
        <f t="shared" si="28"/>
        <v>676.26361090224157</v>
      </c>
      <c r="GY50" s="59">
        <f t="shared" si="29"/>
        <v>969.59694423557494</v>
      </c>
      <c r="GZ50" s="59">
        <f ca="1">AVERAGE(OFFSET($GY$3,0,0,'Données projet'!$E$18+1,1))-AVERAGE(OFFSET($H$3,0,0,'Données projet'!$E$18+1,1))</f>
        <v>604.0566904089452</v>
      </c>
      <c r="HA50" s="59">
        <f t="shared" si="52"/>
        <v>369.5187835902687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5.5127510690154438</v>
      </c>
      <c r="HH50" s="21">
        <f>EXP(-LN(2)/25)*HH49+(1-EXP(-LN(2)/25))/(LN(2)/25)*Calculateur!HC50*Calculateur!HE50*VLOOKUP('Données projet'!$B$18,Paramètres!$A$1:$I$89,3,0)*0.475*44/12</f>
        <v>17.520501599470236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23.03325266848568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11.375</v>
      </c>
      <c r="N51" s="13">
        <f>IF('Données projet'!$A$36&gt;35,N50+M51-V50,IF(A51&lt;'Données projet'!$A$36,$K$205^A51,IF(A51='Données projet'!$A$36,'Données projet'!$B$36,N50+M51-V50)))</f>
        <v>186.5</v>
      </c>
      <c r="O51" s="13">
        <f>N51*VLOOKUP('Données projet'!$B$9,Paramètres!$A$1:$I$89,3,0)*VLOOKUP('Données projet'!$B$9,Paramètres!$A$1:$I$89,5,0)</f>
        <v>168.74519999999998</v>
      </c>
      <c r="P51" s="13">
        <f t="shared" si="33"/>
        <v>42.808869066523364</v>
      </c>
      <c r="Q51" s="20">
        <f t="shared" si="53"/>
        <v>368.4566702908615</v>
      </c>
      <c r="R51" s="59">
        <f t="shared" si="0"/>
        <v>661.79000362419481</v>
      </c>
      <c r="S51" s="59">
        <f ca="1">AVERAGE(OFFSET($R$3,0,0,'Données projet'!$E$9+1,1))-AVERAGE(OFFSET($H$3,0,0,'Données projet'!$E$9+1,1))</f>
        <v>528.20489749461376</v>
      </c>
      <c r="T51" s="59">
        <f t="shared" si="34"/>
        <v>276.26988364830532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5.6025255071689779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5.6025255071689779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2.2737367544323206E-13</v>
      </c>
      <c r="AJ51" s="13">
        <f>AI51*VLOOKUP('Données projet'!$B$10,Paramètres!$A$1:$I$89,3,0)*VLOOKUP('Données projet'!$B$10,Paramètres!$A$1:$I$89,5,0)</f>
        <v>2.0572770154103635E-13</v>
      </c>
      <c r="AK51" s="13">
        <f t="shared" si="35"/>
        <v>2.8416956338469711E-12</v>
      </c>
      <c r="AL51" s="20">
        <f t="shared" si="4"/>
        <v>5.3075956424674458E-12</v>
      </c>
      <c r="AM51" s="59">
        <f t="shared" si="5"/>
        <v>293.3333333333386</v>
      </c>
      <c r="AN51" s="59">
        <f ca="1">AVERAGE(OFFSET($AM$3,0,0,'Données projet'!$E$10+1,1))-AVERAGE(OFFSET($H$3,0,0,'Données projet'!$E$10+1,1))</f>
        <v>436.23918637269577</v>
      </c>
      <c r="AO51" s="59">
        <f t="shared" si="36"/>
        <v>611.43967996341894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68.808664414236901</v>
      </c>
      <c r="AV51" s="21">
        <f>EXP(-LN(2)/25)*AV50+(1-EXP(-LN(2)/25))/(LN(2)/25)*Calculateur!AQ51*Calculateur!AS51*VLOOKUP('Données projet'!$B$10,Paramètres!$A$1:$I$89,3,0)*0.475*44/12</f>
        <v>39.831694940832826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108.64035935506973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10.375</v>
      </c>
      <c r="BD51" s="12">
        <f>IF('Données projet'!$A$88&gt;35,BD50+BC51-BL50,IF(A51&lt;'Données projet'!$A$88,$BA$205^A51,IF(A51='Données projet'!$A$88,'Données projet'!$B$88,BD50+BC51-BL50)))</f>
        <v>228.49999999999991</v>
      </c>
      <c r="BE51" s="13">
        <f>BD51*VLOOKUP('Données projet'!$B$11,Paramètres!$A$1:$I$89,3,0)*VLOOKUP('Données projet'!$B$11,Paramètres!$A$1:$I$89,5,0)</f>
        <v>178.22999999999993</v>
      </c>
      <c r="BF51" s="13">
        <f t="shared" si="37"/>
        <v>44.928167580487852</v>
      </c>
      <c r="BG51" s="20">
        <f t="shared" si="7"/>
        <v>388.66714186934951</v>
      </c>
      <c r="BH51" s="59">
        <f t="shared" si="8"/>
        <v>682.00047520268276</v>
      </c>
      <c r="BI51" s="59">
        <f ca="1">AVERAGE(OFFSET($BH$3,0,0,'Données projet'!$E$11+1,1))-AVERAGE(OFFSET($H$3,0,0,'Données projet'!$E$11+1,1))</f>
        <v>288.82868507674738</v>
      </c>
      <c r="BJ51" s="59">
        <f t="shared" si="38"/>
        <v>283.48738729114024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4.4187196773343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4.4187196773343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1.5861999999999994</v>
      </c>
      <c r="BY51" s="12">
        <f>IF('Données projet'!$A$114&gt;35,BY50+BX51-CG50,IF(A51&lt;'Données projet'!$A$114,$BV$205^A51,IF(A51='Données projet'!$A$114,'Données projet'!$B$114,BY50+BX51-CG50)))</f>
        <v>44.053100000000001</v>
      </c>
      <c r="BZ51" s="13">
        <f>BY51*VLOOKUP('Données projet'!$B$12,Paramètres!$A$1:$I$89,3,0)*VLOOKUP('Données projet'!$B$12,Paramètres!$A$1:$I$89,5,0)</f>
        <v>38.484788160000008</v>
      </c>
      <c r="CA51" s="13">
        <f t="shared" si="39"/>
        <v>11.596141708074054</v>
      </c>
      <c r="CB51" s="20">
        <f t="shared" si="10"/>
        <v>87.224286186895654</v>
      </c>
      <c r="CC51" s="59">
        <f t="shared" si="11"/>
        <v>380.55761952022897</v>
      </c>
      <c r="CD51" s="59">
        <f ca="1">AVERAGE(OFFSET($CC$3,0,0,'Données projet'!$E$12+1,1))-AVERAGE(OFFSET($H$3,0,0,'Données projet'!$E$12+1,1))</f>
        <v>93.329407403816901</v>
      </c>
      <c r="CE51" s="59">
        <f t="shared" si="40"/>
        <v>90.925148357295313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1.1291200168520166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1.1291200168520166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16</v>
      </c>
      <c r="CT51" s="12">
        <f>IF('Données projet'!$A$140&gt;35,CT50+CS51-DB50,IF(A51&lt;'Données projet'!$A$140,$CQ$205^A51,IF(A51='Données projet'!$A$140,'Données projet'!$B$140,CT50+CS51-DB50)))</f>
        <v>452.99999999999977</v>
      </c>
      <c r="CU51" s="17">
        <f>CT51*VLOOKUP('Données projet'!$B$13,Paramètres!$A$1:$I$89,3,0)*VLOOKUP('Données projet'!$B$13,Paramètres!$A$1:$I$89,5,0)</f>
        <v>431.07479999999981</v>
      </c>
      <c r="CV51" s="13">
        <f t="shared" si="41"/>
        <v>98.048910782868916</v>
      </c>
      <c r="CW51" s="20">
        <f t="shared" si="13"/>
        <v>921.55712961349639</v>
      </c>
      <c r="CX51" s="59">
        <f t="shared" si="14"/>
        <v>1214.8904629468298</v>
      </c>
      <c r="CY51" s="59">
        <f ca="1">AVERAGE(OFFSET($CX$3,0,0,'Données projet'!$E$13+1,1))-AVERAGE(OFFSET($H$3,0,0,'Données projet'!$E$13+1,1))</f>
        <v>805.04572055352492</v>
      </c>
      <c r="CZ51" s="59">
        <f t="shared" si="42"/>
        <v>708.66645042414962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13.415342122847006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13.415342122847006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10.4</v>
      </c>
      <c r="DO51" s="12">
        <f>IF('Données projet'!$A$166&gt;35,DO50+DN51-DW50,IF(A51&lt;'Données projet'!$A$166,$DL$205^A51,IF(A51='Données projet'!$A$166,'Données projet'!$B$166,DO50+DN51-DW50)))</f>
        <v>333.2</v>
      </c>
      <c r="DP51" s="17">
        <f>DO51*VLOOKUP('Données projet'!$B$14,Paramètres!$A$1:$I$89,3,0)*VLOOKUP('Données projet'!$B$14,Paramètres!$A$1:$I$89,5,0)</f>
        <v>223.51055999999997</v>
      </c>
      <c r="DQ51" s="13">
        <f t="shared" si="43"/>
        <v>54.877184161405474</v>
      </c>
      <c r="DR51" s="20">
        <f t="shared" si="16"/>
        <v>484.85865441444776</v>
      </c>
      <c r="DS51" s="59">
        <f t="shared" si="17"/>
        <v>778.19198774778101</v>
      </c>
      <c r="DT51" s="59">
        <f ca="1">AVERAGE(OFFSET($DS$3,0,0,'Données projet'!$E$14+1,1))-AVERAGE(OFFSET($H$3,0,0,'Données projet'!$E$14+1,1))</f>
        <v>482.69499576870095</v>
      </c>
      <c r="DU51" s="59">
        <f t="shared" si="44"/>
        <v>384.28918352579575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6.0292378676224958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6.0292378676224958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1.7053025658242404E-13</v>
      </c>
      <c r="EK51" s="17">
        <f>EJ51*VLOOKUP('Données projet'!$B$15,Paramètres!$A$1:$I$89,3,0)*VLOOKUP('Données projet'!$B$15,Paramètres!$A$1:$I$89,5,0)</f>
        <v>1.250327841262333E-13</v>
      </c>
      <c r="EL51" s="13">
        <f t="shared" si="45"/>
        <v>1.8301318724634299E-12</v>
      </c>
      <c r="EM51" s="20">
        <f t="shared" si="19"/>
        <v>3.405245110226996E-12</v>
      </c>
      <c r="EN51" s="59">
        <f t="shared" si="20"/>
        <v>293.33333333333672</v>
      </c>
      <c r="EO51" s="59">
        <f ca="1">AVERAGE(OFFSET($EN$3,0,0,'Données projet'!$E$15+1,1))-AVERAGE(OFFSET($H$3,0,0,'Données projet'!$E$15+1,1))</f>
        <v>197.34725966440715</v>
      </c>
      <c r="EP51" s="59">
        <f t="shared" si="46"/>
        <v>240.16326570529532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45.519625616735915</v>
      </c>
      <c r="EW51" s="21">
        <f>EXP(-LN(2)/25)*EW50+(1-EXP(-LN(2)/25))/(LN(2)/25)*Calculateur!ER51*Calculateur!ET51*VLOOKUP('Données projet'!$B$15,Paramètres!$A$1:$I$89,3,0)*0.475*44/12</f>
        <v>32.555044269841986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78.074669886577908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24.333333333333332</v>
      </c>
      <c r="FE51" s="12">
        <f>IF('Données projet'!$A$218&gt;35,FE50+FD51-FM50,IF(A51&lt;'Données projet'!$A$218,$FB$205^A51,IF(A51='Données projet'!$A$218,'Données projet'!$B$218,FE50+FD51-FM50)))</f>
        <v>542.00000000000011</v>
      </c>
      <c r="FF51" s="17">
        <f>FE51*VLOOKUP('Données projet'!$B$16,Paramètres!$A$1:$I$89,3,0)*VLOOKUP('Données projet'!$B$16,Paramètres!$A$1:$I$89,5,0)</f>
        <v>302.97800000000007</v>
      </c>
      <c r="FG51" s="13">
        <f t="shared" si="47"/>
        <v>71.800407307414275</v>
      </c>
      <c r="FH51" s="20">
        <f t="shared" si="22"/>
        <v>652.73905939374663</v>
      </c>
      <c r="FI51" s="59">
        <f t="shared" si="23"/>
        <v>946.07239272707989</v>
      </c>
      <c r="FJ51" s="59">
        <f ca="1">AVERAGE(OFFSET($FI$3,0,0,'Données projet'!$E$16+1,1))-AVERAGE(OFFSET($H$3,0,0,'Données projet'!$E$16+1,1))</f>
        <v>346.42094266871379</v>
      </c>
      <c r="FK51" s="59">
        <f t="shared" si="48"/>
        <v>453.48153556975973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30.878613573057901</v>
      </c>
      <c r="FR51" s="21">
        <f>EXP(-LN(2)/25)*FR50+(1-EXP(-LN(2)/25))/(LN(2)/25)*Calculateur!FM51*Calculateur!FO51*VLOOKUP('Données projet'!$B$16,Paramètres!$A$1:$I$89,3,0)*0.475*44/12</f>
        <v>65.699554737054854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96.578168310112758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11.5</v>
      </c>
      <c r="FZ51" s="12">
        <f>IF('Données projet'!$A$244&gt;35,FZ50+FY51-GH50,IF(A51&lt;'Données projet'!$A$244,$FW$205^A51,IF(A51='Données projet'!$A$244,'Données projet'!$B$244,FZ50+FY51-GH50)))</f>
        <v>288.81999999999994</v>
      </c>
      <c r="GA51" s="17">
        <f>FZ51*VLOOKUP('Données projet'!$B$17,Paramètres!$A$1:$I$89,3,0)*VLOOKUP('Données projet'!$B$17,Paramètres!$A$1:$I$89,5,0)</f>
        <v>135.16775999999996</v>
      </c>
      <c r="GB51" s="13">
        <f t="shared" si="49"/>
        <v>35.187754298272999</v>
      </c>
      <c r="GC51" s="20">
        <f t="shared" si="25"/>
        <v>296.70252073615876</v>
      </c>
      <c r="GD51" s="59">
        <f t="shared" si="26"/>
        <v>590.03585406949207</v>
      </c>
      <c r="GE51" s="59">
        <f ca="1">AVERAGE(OFFSET($GD$3,0,0,'Données projet'!$E$17+1,1))-AVERAGE(OFFSET($H$3,0,0,'Données projet'!$E$17+1,1))</f>
        <v>198.26255998041</v>
      </c>
      <c r="GF51" s="59">
        <f t="shared" si="50"/>
        <v>238.62101708181166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7.1698370142026606</v>
      </c>
      <c r="GM51" s="21">
        <f>EXP(-LN(2)/25)*GM50+(1-EXP(-LN(2)/25))/(LN(2)/25)*Calculateur!GH51*Calculateur!GJ51*VLOOKUP('Données projet'!$B$17,Paramètres!$A$1:$I$89,3,0)*0.475*44/12</f>
        <v>25.40713197488629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32.576968989088954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14.1</v>
      </c>
      <c r="GU51" s="12">
        <f>IF('Données projet'!$A$270&gt;35,GU50+GT51-HC50,IF(A51&lt;'Données projet'!$A$270,$GR$205^A51,IF(A51='Données projet'!$A$270,'Données projet'!$B$270,GU50+GT51-HC50)))</f>
        <v>286.80000000000007</v>
      </c>
      <c r="GV51" s="17">
        <f>GU51*VLOOKUP('Données projet'!$B$18,Paramètres!$A$1:$I$89,3,0)*VLOOKUP('Données projet'!$B$18,Paramètres!$A$1:$I$89,5,0)</f>
        <v>330.39360000000005</v>
      </c>
      <c r="GW51" s="13">
        <f t="shared" si="51"/>
        <v>77.511904831767296</v>
      </c>
      <c r="GX51" s="20">
        <f t="shared" si="28"/>
        <v>710.43542091532811</v>
      </c>
      <c r="GY51" s="59">
        <f t="shared" si="29"/>
        <v>1003.7687542486615</v>
      </c>
      <c r="GZ51" s="59">
        <f ca="1">AVERAGE(OFFSET($GY$3,0,0,'Données projet'!$E$18+1,1))-AVERAGE(OFFSET($H$3,0,0,'Données projet'!$E$18+1,1))</f>
        <v>604.0566904089452</v>
      </c>
      <c r="HA51" s="59">
        <f t="shared" si="52"/>
        <v>369.5187835902687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5.4046493829981888</v>
      </c>
      <c r="HH51" s="21">
        <f>EXP(-LN(2)/25)*HH50+(1-EXP(-LN(2)/25))/(LN(2)/25)*Calculateur!HC51*Calculateur!HE51*VLOOKUP('Données projet'!$B$18,Paramètres!$A$1:$I$89,3,0)*0.475*44/12</f>
        <v>17.041402561869589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22.446051944867776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11.375</v>
      </c>
      <c r="N52" s="13">
        <f>IF('Données projet'!$A$36&gt;35,N51+M52-V51,IF(A52&lt;'Données projet'!$A$36,$K$205^A52,IF(A52='Données projet'!$A$36,'Données projet'!$B$36,N51+M52-V51)))</f>
        <v>197.875</v>
      </c>
      <c r="O52" s="13">
        <f>N52*VLOOKUP('Données projet'!$B$9,Paramètres!$A$1:$I$89,3,0)*VLOOKUP('Données projet'!$B$9,Paramètres!$A$1:$I$89,5,0)</f>
        <v>179.03730000000002</v>
      </c>
      <c r="P52" s="13">
        <f t="shared" si="33"/>
        <v>45.107936350801616</v>
      </c>
      <c r="Q52" s="20">
        <f t="shared" si="53"/>
        <v>390.38628664431286</v>
      </c>
      <c r="R52" s="59">
        <f t="shared" si="0"/>
        <v>683.71961997764618</v>
      </c>
      <c r="S52" s="59">
        <f ca="1">AVERAGE(OFFSET($R$3,0,0,'Données projet'!$E$9+1,1))-AVERAGE(OFFSET($H$3,0,0,'Données projet'!$E$9+1,1))</f>
        <v>528.20489749461376</v>
      </c>
      <c r="T52" s="59">
        <f t="shared" si="34"/>
        <v>276.26988364830532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5.492663399176533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5.492663399176533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2.2737367544323206E-13</v>
      </c>
      <c r="AJ52" s="13">
        <f>AI52*VLOOKUP('Données projet'!$B$10,Paramètres!$A$1:$I$89,3,0)*VLOOKUP('Données projet'!$B$10,Paramètres!$A$1:$I$89,5,0)</f>
        <v>2.0572770154103635E-13</v>
      </c>
      <c r="AK52" s="13">
        <f t="shared" si="35"/>
        <v>2.8416956338469711E-12</v>
      </c>
      <c r="AL52" s="20">
        <f t="shared" si="4"/>
        <v>5.3075956424674458E-12</v>
      </c>
      <c r="AM52" s="59">
        <f t="shared" si="5"/>
        <v>293.3333333333386</v>
      </c>
      <c r="AN52" s="59">
        <f ca="1">AVERAGE(OFFSET($AM$3,0,0,'Données projet'!$E$10+1,1))-AVERAGE(OFFSET($H$3,0,0,'Données projet'!$E$10+1,1))</f>
        <v>436.23918637269577</v>
      </c>
      <c r="AO52" s="59">
        <f t="shared" si="36"/>
        <v>611.43967996341894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67.459368474214898</v>
      </c>
      <c r="AV52" s="21">
        <f>EXP(-LN(2)/25)*AV51+(1-EXP(-LN(2)/25))/(LN(2)/25)*Calculateur!AQ52*Calculateur!AS52*VLOOKUP('Données projet'!$B$10,Paramètres!$A$1:$I$89,3,0)*0.475*44/12</f>
        <v>38.742495148017952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106.20186362223285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10.375</v>
      </c>
      <c r="BD52" s="12">
        <f>IF('Données projet'!$A$88&gt;35,BD51+BC52-BL51,IF(A52&lt;'Données projet'!$A$88,$BA$205^A52,IF(A52='Données projet'!$A$88,'Données projet'!$B$88,BD51+BC52-BL51)))</f>
        <v>238.87499999999991</v>
      </c>
      <c r="BE52" s="13">
        <f>BD52*VLOOKUP('Données projet'!$B$11,Paramètres!$A$1:$I$89,3,0)*VLOOKUP('Données projet'!$B$11,Paramètres!$A$1:$I$89,5,0)</f>
        <v>186.32249999999993</v>
      </c>
      <c r="BF52" s="13">
        <f t="shared" si="37"/>
        <v>46.725987276254116</v>
      </c>
      <c r="BG52" s="20">
        <f t="shared" si="7"/>
        <v>405.8927820061424</v>
      </c>
      <c r="BH52" s="59">
        <f t="shared" si="8"/>
        <v>699.22611533947565</v>
      </c>
      <c r="BI52" s="59">
        <f ca="1">AVERAGE(OFFSET($BH$3,0,0,'Données projet'!$E$11+1,1))-AVERAGE(OFFSET($H$3,0,0,'Données projet'!$E$11+1,1))</f>
        <v>288.82868507674738</v>
      </c>
      <c r="BJ52" s="59">
        <f t="shared" si="38"/>
        <v>283.48738729114024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4.3320712796146532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4.3320712796146532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1.5861999999999994</v>
      </c>
      <c r="BY52" s="12">
        <f>IF('Données projet'!$A$114&gt;35,BY51+BX52-CG51,IF(A52&lt;'Données projet'!$A$114,$BV$205^A52,IF(A52='Données projet'!$A$114,'Données projet'!$B$114,BY51+BX52-CG51)))</f>
        <v>45.639299999999999</v>
      </c>
      <c r="BZ52" s="13">
        <f>BY52*VLOOKUP('Données projet'!$B$12,Paramètres!$A$1:$I$89,3,0)*VLOOKUP('Données projet'!$B$12,Paramètres!$A$1:$I$89,5,0)</f>
        <v>39.870492480000003</v>
      </c>
      <c r="CA52" s="13">
        <f t="shared" si="39"/>
        <v>11.964314448283247</v>
      </c>
      <c r="CB52" s="20">
        <f t="shared" si="10"/>
        <v>90.278955400093324</v>
      </c>
      <c r="CC52" s="59">
        <f t="shared" si="11"/>
        <v>383.61228873342662</v>
      </c>
      <c r="CD52" s="59">
        <f ca="1">AVERAGE(OFFSET($CC$3,0,0,'Données projet'!$E$12+1,1))-AVERAGE(OFFSET($H$3,0,0,'Données projet'!$E$12+1,1))</f>
        <v>93.329407403816901</v>
      </c>
      <c r="CE52" s="59">
        <f t="shared" si="40"/>
        <v>90.925148357295313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1.1069786620167559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1.1069786620167559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16</v>
      </c>
      <c r="CT52" s="12">
        <f>IF('Données projet'!$A$140&gt;35,CT51+CS52-DB51,IF(A52&lt;'Données projet'!$A$140,$CQ$205^A52,IF(A52='Données projet'!$A$140,'Données projet'!$B$140,CT51+CS52-DB51)))</f>
        <v>468.99999999999977</v>
      </c>
      <c r="CU52" s="17">
        <f>CT52*VLOOKUP('Données projet'!$B$13,Paramètres!$A$1:$I$89,3,0)*VLOOKUP('Données projet'!$B$13,Paramètres!$A$1:$I$89,5,0)</f>
        <v>446.3003999999998</v>
      </c>
      <c r="CV52" s="13">
        <f t="shared" si="41"/>
        <v>101.10269353033044</v>
      </c>
      <c r="CW52" s="20">
        <f t="shared" si="13"/>
        <v>953.39372123199166</v>
      </c>
      <c r="CX52" s="59">
        <f t="shared" si="14"/>
        <v>1246.727054565325</v>
      </c>
      <c r="CY52" s="59">
        <f ca="1">AVERAGE(OFFSET($CX$3,0,0,'Données projet'!$E$13+1,1))-AVERAGE(OFFSET($H$3,0,0,'Données projet'!$E$13+1,1))</f>
        <v>805.04572055352492</v>
      </c>
      <c r="CZ52" s="59">
        <f t="shared" si="42"/>
        <v>708.66645042414962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13.152275446368712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13.152275446368712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10.4</v>
      </c>
      <c r="DO52" s="12">
        <f>IF('Données projet'!$A$166&gt;35,DO51+DN52-DW51,IF(A52&lt;'Données projet'!$A$166,$DL$205^A52,IF(A52='Données projet'!$A$166,'Données projet'!$B$166,DO51+DN52-DW51)))</f>
        <v>343.59999999999997</v>
      </c>
      <c r="DP52" s="17">
        <f>DO52*VLOOKUP('Données projet'!$B$14,Paramètres!$A$1:$I$89,3,0)*VLOOKUP('Données projet'!$B$14,Paramètres!$A$1:$I$89,5,0)</f>
        <v>230.48687999999999</v>
      </c>
      <c r="DQ52" s="13">
        <f t="shared" si="43"/>
        <v>56.387943410552587</v>
      </c>
      <c r="DR52" s="20">
        <f t="shared" si="16"/>
        <v>499.64031744004564</v>
      </c>
      <c r="DS52" s="59">
        <f t="shared" si="17"/>
        <v>792.97365077337895</v>
      </c>
      <c r="DT52" s="59">
        <f ca="1">AVERAGE(OFFSET($DS$3,0,0,'Données projet'!$E$14+1,1))-AVERAGE(OFFSET($H$3,0,0,'Données projet'!$E$14+1,1))</f>
        <v>482.69499576870095</v>
      </c>
      <c r="DU52" s="59">
        <f t="shared" si="44"/>
        <v>384.28918352579575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5.9110081905103975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5.9110081905103975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1.7053025658242404E-13</v>
      </c>
      <c r="EK52" s="17">
        <f>EJ52*VLOOKUP('Données projet'!$B$15,Paramètres!$A$1:$I$89,3,0)*VLOOKUP('Données projet'!$B$15,Paramètres!$A$1:$I$89,5,0)</f>
        <v>1.250327841262333E-13</v>
      </c>
      <c r="EL52" s="13">
        <f t="shared" si="45"/>
        <v>1.8301318724634299E-12</v>
      </c>
      <c r="EM52" s="20">
        <f t="shared" si="19"/>
        <v>3.405245110226996E-12</v>
      </c>
      <c r="EN52" s="59">
        <f t="shared" si="20"/>
        <v>293.33333333333672</v>
      </c>
      <c r="EO52" s="59">
        <f ca="1">AVERAGE(OFFSET($EN$3,0,0,'Données projet'!$E$15+1,1))-AVERAGE(OFFSET($H$3,0,0,'Données projet'!$E$15+1,1))</f>
        <v>197.34725966440715</v>
      </c>
      <c r="EP52" s="59">
        <f t="shared" si="46"/>
        <v>240.16326570529532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44.627013522621858</v>
      </c>
      <c r="EW52" s="21">
        <f>EXP(-LN(2)/25)*EW51+(1-EXP(-LN(2)/25))/(LN(2)/25)*Calculateur!ER52*Calculateur!ET52*VLOOKUP('Données projet'!$B$15,Paramètres!$A$1:$I$89,3,0)*0.475*44/12</f>
        <v>31.664824872287785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76.291838394909647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24.333333333333332</v>
      </c>
      <c r="FE52" s="12">
        <f>IF('Données projet'!$A$218&gt;35,FE51+FD52-FM51,IF(A52&lt;'Données projet'!$A$218,$FB$205^A52,IF(A52='Données projet'!$A$218,'Données projet'!$B$218,FE51+FD52-FM51)))</f>
        <v>566.33333333333348</v>
      </c>
      <c r="FF52" s="17">
        <f>FE52*VLOOKUP('Données projet'!$B$16,Paramètres!$A$1:$I$89,3,0)*VLOOKUP('Données projet'!$B$16,Paramètres!$A$1:$I$89,5,0)</f>
        <v>316.58033333333344</v>
      </c>
      <c r="FG52" s="13">
        <f t="shared" si="47"/>
        <v>74.64138120167047</v>
      </c>
      <c r="FH52" s="20">
        <f t="shared" si="22"/>
        <v>681.37781948179838</v>
      </c>
      <c r="FI52" s="59">
        <f t="shared" si="23"/>
        <v>974.71115281513175</v>
      </c>
      <c r="FJ52" s="59">
        <f ca="1">AVERAGE(OFFSET($FI$3,0,0,'Données projet'!$E$16+1,1))-AVERAGE(OFFSET($H$3,0,0,'Données projet'!$E$16+1,1))</f>
        <v>346.42094266871379</v>
      </c>
      <c r="FK52" s="59">
        <f t="shared" si="48"/>
        <v>453.48153556975973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30.273102794984801</v>
      </c>
      <c r="FR52" s="21">
        <f>EXP(-LN(2)/25)*FR51+(1-EXP(-LN(2)/25))/(LN(2)/25)*Calculateur!FM52*Calculateur!FO52*VLOOKUP('Données projet'!$B$16,Paramètres!$A$1:$I$89,3,0)*0.475*44/12</f>
        <v>63.902996957780665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94.176099752765467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11.5</v>
      </c>
      <c r="FZ52" s="12">
        <f>IF('Données projet'!$A$244&gt;35,FZ51+FY52-GH51,IF(A52&lt;'Données projet'!$A$244,$FW$205^A52,IF(A52='Données projet'!$A$244,'Données projet'!$B$244,FZ51+FY52-GH51)))</f>
        <v>300.31999999999994</v>
      </c>
      <c r="GA52" s="17">
        <f>FZ52*VLOOKUP('Données projet'!$B$17,Paramètres!$A$1:$I$89,3,0)*VLOOKUP('Données projet'!$B$17,Paramètres!$A$1:$I$89,5,0)</f>
        <v>140.54975999999996</v>
      </c>
      <c r="GB52" s="13">
        <f t="shared" si="49"/>
        <v>36.42291904975756</v>
      </c>
      <c r="GC52" s="20">
        <f t="shared" si="25"/>
        <v>308.22741601166098</v>
      </c>
      <c r="GD52" s="59">
        <f t="shared" si="26"/>
        <v>601.56074934499429</v>
      </c>
      <c r="GE52" s="59">
        <f ca="1">AVERAGE(OFFSET($GD$3,0,0,'Données projet'!$E$17+1,1))-AVERAGE(OFFSET($H$3,0,0,'Données projet'!$E$17+1,1))</f>
        <v>198.26255998041</v>
      </c>
      <c r="GF52" s="59">
        <f t="shared" si="50"/>
        <v>238.62101708181166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7.0292408835229105</v>
      </c>
      <c r="GM52" s="21">
        <f>EXP(-LN(2)/25)*GM51+(1-EXP(-LN(2)/25))/(LN(2)/25)*Calculateur!GH52*Calculateur!GJ52*VLOOKUP('Données projet'!$B$17,Paramètres!$A$1:$I$89,3,0)*0.475*44/12</f>
        <v>24.712372614930022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31.741613498452931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14.1</v>
      </c>
      <c r="GU52" s="12">
        <f>IF('Données projet'!$A$270&gt;35,GU51+GT52-HC51,IF(A52&lt;'Données projet'!$A$270,$GR$205^A52,IF(A52='Données projet'!$A$270,'Données projet'!$B$270,GU51+GT52-HC51)))</f>
        <v>300.90000000000009</v>
      </c>
      <c r="GV52" s="17">
        <f>GU52*VLOOKUP('Données projet'!$B$18,Paramètres!$A$1:$I$89,3,0)*VLOOKUP('Données projet'!$B$18,Paramètres!$A$1:$I$89,5,0)</f>
        <v>346.63680000000011</v>
      </c>
      <c r="GW52" s="13">
        <f t="shared" si="51"/>
        <v>80.869604745450815</v>
      </c>
      <c r="GX52" s="20">
        <f t="shared" si="28"/>
        <v>744.57365493166037</v>
      </c>
      <c r="GY52" s="59">
        <f t="shared" si="29"/>
        <v>1037.9069882649937</v>
      </c>
      <c r="GZ52" s="59">
        <f ca="1">AVERAGE(OFFSET($GY$3,0,0,'Données projet'!$E$18+1,1))-AVERAGE(OFFSET($H$3,0,0,'Données projet'!$E$18+1,1))</f>
        <v>604.0566904089452</v>
      </c>
      <c r="HA52" s="59">
        <f t="shared" si="52"/>
        <v>369.5187835902687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5.2986675051082148</v>
      </c>
      <c r="HH52" s="21">
        <f>EXP(-LN(2)/25)*HH51+(1-EXP(-LN(2)/25))/(LN(2)/25)*Calculateur!HC52*Calculateur!HE52*VLOOKUP('Données projet'!$B$18,Paramètres!$A$1:$I$89,3,0)*0.475*44/12</f>
        <v>16.575404512646852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21.874072017755068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11.375</v>
      </c>
      <c r="N53" s="13">
        <f>IF('Données projet'!$A$36&gt;35,N52+M53-V52,IF(A53&lt;'Données projet'!$A$36,$K$205^A53,IF(A53='Données projet'!$A$36,'Données projet'!$B$36,N52+M53-V52)))</f>
        <v>209.25</v>
      </c>
      <c r="O53" s="13">
        <f>N53*VLOOKUP('Données projet'!$B$9,Paramètres!$A$1:$I$89,3,0)*VLOOKUP('Données projet'!$B$9,Paramètres!$A$1:$I$89,5,0)</f>
        <v>189.32939999999999</v>
      </c>
      <c r="P53" s="13">
        <f t="shared" si="33"/>
        <v>47.391662217563919</v>
      </c>
      <c r="Q53" s="20">
        <f t="shared" si="53"/>
        <v>412.28918336225712</v>
      </c>
      <c r="R53" s="59">
        <f t="shared" si="0"/>
        <v>705.62251669559043</v>
      </c>
      <c r="S53" s="59">
        <f ca="1">AVERAGE(OFFSET($R$3,0,0,'Données projet'!$E$9+1,1))-AVERAGE(OFFSET($H$3,0,0,'Données projet'!$E$9+1,1))</f>
        <v>528.20489749461376</v>
      </c>
      <c r="T53" s="59">
        <f t="shared" si="34"/>
        <v>276.26988364830532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5.3849556201125504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5.3849556201125504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2.2737367544323206E-13</v>
      </c>
      <c r="AJ53" s="13">
        <f>AI53*VLOOKUP('Données projet'!$B$10,Paramètres!$A$1:$I$89,3,0)*VLOOKUP('Données projet'!$B$10,Paramètres!$A$1:$I$89,5,0)</f>
        <v>2.0572770154103635E-13</v>
      </c>
      <c r="AK53" s="13">
        <f t="shared" si="35"/>
        <v>2.8416956338469711E-12</v>
      </c>
      <c r="AL53" s="20">
        <f t="shared" si="4"/>
        <v>5.3075956424674458E-12</v>
      </c>
      <c r="AM53" s="59">
        <f t="shared" si="5"/>
        <v>293.3333333333386</v>
      </c>
      <c r="AN53" s="59">
        <f ca="1">AVERAGE(OFFSET($AM$3,0,0,'Données projet'!$E$10+1,1))-AVERAGE(OFFSET($H$3,0,0,'Données projet'!$E$10+1,1))</f>
        <v>436.23918637269577</v>
      </c>
      <c r="AO53" s="59">
        <f t="shared" si="36"/>
        <v>611.43967996341894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66.136531404587473</v>
      </c>
      <c r="AV53" s="21">
        <f>EXP(-LN(2)/25)*AV52+(1-EXP(-LN(2)/25))/(LN(2)/25)*Calculateur!AQ53*Calculateur!AS53*VLOOKUP('Données projet'!$B$10,Paramètres!$A$1:$I$89,3,0)*0.475*44/12</f>
        <v>37.683079580816127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103.8196109854036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10.375</v>
      </c>
      <c r="BD53" s="12">
        <f>IF('Données projet'!$A$88&gt;35,BD52+BC53-BL52,IF(A53&lt;'Données projet'!$A$88,$BA$205^A53,IF(A53='Données projet'!$A$88,'Données projet'!$B$88,BD52+BC53-BL52)))</f>
        <v>249.24999999999991</v>
      </c>
      <c r="BE53" s="13">
        <f>BD53*VLOOKUP('Données projet'!$B$11,Paramètres!$A$1:$I$89,3,0)*VLOOKUP('Données projet'!$B$11,Paramètres!$A$1:$I$89,5,0)</f>
        <v>194.41499999999994</v>
      </c>
      <c r="BF53" s="13">
        <f t="shared" si="37"/>
        <v>48.514737888684927</v>
      </c>
      <c r="BG53" s="20">
        <f t="shared" si="7"/>
        <v>423.10262682279273</v>
      </c>
      <c r="BH53" s="59">
        <f t="shared" si="8"/>
        <v>716.43596015612604</v>
      </c>
      <c r="BI53" s="59">
        <f ca="1">AVERAGE(OFFSET($BH$3,0,0,'Données projet'!$E$11+1,1))-AVERAGE(OFFSET($H$3,0,0,'Données projet'!$E$11+1,1))</f>
        <v>288.82868507674738</v>
      </c>
      <c r="BJ53" s="59">
        <f t="shared" si="38"/>
        <v>283.48738729114024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4.2471220041239848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4.2471220041239848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47.225499999999997</v>
      </c>
      <c r="BW53" s="12">
        <f>VLOOKUP(A53,'Données projet'!$A$113:$I$133,9,0)</f>
        <v>1.5861999999999994</v>
      </c>
      <c r="BX53" s="12">
        <f t="array" ref="BX53">INDEX(BW:BW,MIN(IF(ISNUMBER(BW53:BW249),ROW(BW53:BW249),"")))</f>
        <v>1.5861999999999994</v>
      </c>
      <c r="BY53" s="12">
        <f>IF('Données projet'!$A$114&gt;35,BY52+BX53-CG52,IF(A53&lt;'Données projet'!$A$114,$BV$205^A53,IF(A53='Données projet'!$A$114,'Données projet'!$B$114,BY52+BX53-CG52)))</f>
        <v>47.225499999999997</v>
      </c>
      <c r="BZ53" s="13">
        <f>BY53*VLOOKUP('Données projet'!$B$12,Paramètres!$A$1:$I$89,3,0)*VLOOKUP('Données projet'!$B$12,Paramètres!$A$1:$I$89,5,0)</f>
        <v>41.256196800000005</v>
      </c>
      <c r="CA53" s="13">
        <f t="shared" si="39"/>
        <v>12.331000439068134</v>
      </c>
      <c r="CB53" s="20">
        <f t="shared" si="10"/>
        <v>93.331035191377012</v>
      </c>
      <c r="CC53" s="59">
        <f t="shared" si="11"/>
        <v>386.66436852471031</v>
      </c>
      <c r="CD53" s="59">
        <f ca="1">AVERAGE(OFFSET($CC$3,0,0,'Données projet'!$E$12+1,1))-AVERAGE(OFFSET($H$3,0,0,'Données projet'!$E$12+1,1))</f>
        <v>93.329407403816901</v>
      </c>
      <c r="CE53" s="59">
        <f t="shared" si="40"/>
        <v>90.925148357295313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4.3259999999999996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1.6242059548932657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1.6242059548932657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485</v>
      </c>
      <c r="CR53" s="12">
        <f>VLOOKUP(A53,'Données projet'!$A$139:$I$159,9,0)</f>
        <v>16</v>
      </c>
      <c r="CS53" s="12">
        <f t="array" ref="CS53">INDEX(CR:CR,MIN(IF(ISNUMBER(CR53:CR249),ROW(CR53:CR249),"")))</f>
        <v>16</v>
      </c>
      <c r="CT53" s="12">
        <f>IF('Données projet'!$A$140&gt;35,CT52+CS53-DB52,IF(A53&lt;'Données projet'!$A$140,$CQ$205^A53,IF(A53='Données projet'!$A$140,'Données projet'!$B$140,CT52+CS53-DB52)))</f>
        <v>484.99999999999977</v>
      </c>
      <c r="CU53" s="17">
        <f>CT53*VLOOKUP('Données projet'!$B$13,Paramètres!$A$1:$I$89,3,0)*VLOOKUP('Données projet'!$B$13,Paramètres!$A$1:$I$89,5,0)</f>
        <v>461.52599999999978</v>
      </c>
      <c r="CV53" s="13">
        <f t="shared" si="41"/>
        <v>104.14437126500306</v>
      </c>
      <c r="CW53" s="20">
        <f t="shared" si="13"/>
        <v>985.20922995321325</v>
      </c>
      <c r="CX53" s="59">
        <f t="shared" si="14"/>
        <v>1278.5425632865465</v>
      </c>
      <c r="CY53" s="59">
        <f ca="1">AVERAGE(OFFSET($CX$3,0,0,'Données projet'!$E$13+1,1))-AVERAGE(OFFSET($H$3,0,0,'Données projet'!$E$13+1,1))</f>
        <v>805.04572055352492</v>
      </c>
      <c r="CZ53" s="59">
        <f t="shared" si="42"/>
        <v>708.66645042414962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58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20.765174064651049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20.765174064651049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354</v>
      </c>
      <c r="DM53" s="12">
        <f>VLOOKUP(A53,'Données projet'!$A$165:$I$185,9,0)</f>
        <v>10.4</v>
      </c>
      <c r="DN53" s="12">
        <f t="array" ref="DN53">INDEX(DM:DM,MIN(IF(ISNUMBER(DM53:DM249),ROW(DM53:DM249),"")))</f>
        <v>10.4</v>
      </c>
      <c r="DO53" s="12">
        <f>IF('Données projet'!$A$166&gt;35,DO52+DN53-DW52,IF(A53&lt;'Données projet'!$A$166,$DL$205^A53,IF(A53='Données projet'!$A$166,'Données projet'!$B$166,DO52+DN53-DW52)))</f>
        <v>353.99999999999994</v>
      </c>
      <c r="DP53" s="17">
        <f>DO53*VLOOKUP('Données projet'!$B$14,Paramètres!$A$1:$I$89,3,0)*VLOOKUP('Données projet'!$B$14,Paramètres!$A$1:$I$89,5,0)</f>
        <v>237.46319999999997</v>
      </c>
      <c r="DQ53" s="13">
        <f t="shared" si="43"/>
        <v>57.893388511347652</v>
      </c>
      <c r="DR53" s="20">
        <f t="shared" si="16"/>
        <v>514.4127249905971</v>
      </c>
      <c r="DS53" s="59">
        <f t="shared" si="17"/>
        <v>807.74605832393036</v>
      </c>
      <c r="DT53" s="59">
        <f ca="1">AVERAGE(OFFSET($DS$3,0,0,'Données projet'!$E$14+1,1))-AVERAGE(OFFSET($H$3,0,0,'Données projet'!$E$14+1,1))</f>
        <v>482.69499576870095</v>
      </c>
      <c r="DU53" s="59">
        <f t="shared" si="44"/>
        <v>384.28918352579575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27</v>
      </c>
      <c r="DX53" s="16">
        <f>IF(ISNA(VLOOKUP(A53,'Données projet'!$A$165:$I$185,5,0)),0%,VLOOKUP(A53,'Données projet'!$A$165:$I$185,5,0)*VLOOKUP('Données projet'!$B$14,Paramètres!$A$1:$I$89,7,0))</f>
        <v>0.159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8.9785690600793728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8.9785690600793728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1.7053025658242404E-13</v>
      </c>
      <c r="EK53" s="17">
        <f>EJ53*VLOOKUP('Données projet'!$B$15,Paramètres!$A$1:$I$89,3,0)*VLOOKUP('Données projet'!$B$15,Paramètres!$A$1:$I$89,5,0)</f>
        <v>1.250327841262333E-13</v>
      </c>
      <c r="EL53" s="13">
        <f t="shared" si="45"/>
        <v>1.8301318724634299E-12</v>
      </c>
      <c r="EM53" s="20">
        <f t="shared" si="19"/>
        <v>3.405245110226996E-12</v>
      </c>
      <c r="EN53" s="59">
        <f t="shared" si="20"/>
        <v>293.33333333333672</v>
      </c>
      <c r="EO53" s="59">
        <f ca="1">AVERAGE(OFFSET($EN$3,0,0,'Données projet'!$E$15+1,1))-AVERAGE(OFFSET($H$3,0,0,'Données projet'!$E$15+1,1))</f>
        <v>197.34725966440715</v>
      </c>
      <c r="EP53" s="59">
        <f t="shared" si="46"/>
        <v>240.16326570529532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43.751905007233759</v>
      </c>
      <c r="EW53" s="21">
        <f>EXP(-LN(2)/25)*EW52+(1-EXP(-LN(2)/25))/(LN(2)/25)*Calculateur!ER53*Calculateur!ET53*VLOOKUP('Données projet'!$B$15,Paramètres!$A$1:$I$89,3,0)*0.475*44/12</f>
        <v>30.798948570974307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74.550853578208063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24.333333333333332</v>
      </c>
      <c r="FE53" s="12">
        <f>IF('Données projet'!$A$218&gt;35,FE52+FD53-FM52,IF(A53&lt;'Données projet'!$A$218,$FB$205^A53,IF(A53='Données projet'!$A$218,'Données projet'!$B$218,FE52+FD53-FM52)))</f>
        <v>590.66666666666686</v>
      </c>
      <c r="FF53" s="17">
        <f>FE53*VLOOKUP('Données projet'!$B$16,Paramètres!$A$1:$I$89,3,0)*VLOOKUP('Données projet'!$B$16,Paramètres!$A$1:$I$89,5,0)</f>
        <v>330.18266666666676</v>
      </c>
      <c r="FG53" s="13">
        <f t="shared" si="47"/>
        <v>77.468177412460335</v>
      </c>
      <c r="FH53" s="20">
        <f t="shared" si="22"/>
        <v>709.99188677114626</v>
      </c>
      <c r="FI53" s="59">
        <f t="shared" si="23"/>
        <v>1003.3252201044795</v>
      </c>
      <c r="FJ53" s="59">
        <f ca="1">AVERAGE(OFFSET($FI$3,0,0,'Données projet'!$E$16+1,1))-AVERAGE(OFFSET($H$3,0,0,'Données projet'!$E$16+1,1))</f>
        <v>346.42094266871379</v>
      </c>
      <c r="FK53" s="59">
        <f t="shared" si="48"/>
        <v>453.48153556975973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29.679465713944609</v>
      </c>
      <c r="FR53" s="21">
        <f>EXP(-LN(2)/25)*FR52+(1-EXP(-LN(2)/25))/(LN(2)/25)*Calculateur!FM53*Calculateur!FO53*VLOOKUP('Données projet'!$B$16,Paramètres!$A$1:$I$89,3,0)*0.475*44/12</f>
        <v>62.155566145457598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91.835031859402207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311.82</v>
      </c>
      <c r="FX53" s="12">
        <f>VLOOKUP(A53,'Données projet'!$A$243:$I$263,9,0)</f>
        <v>11.5</v>
      </c>
      <c r="FY53" s="12">
        <f t="array" ref="FY53">INDEX(FX:FX,MIN(IF(ISNUMBER(FX53:FX249),ROW(FX53:FX249),"")))</f>
        <v>11.5</v>
      </c>
      <c r="FZ53" s="12">
        <f>IF('Données projet'!$A$244&gt;35,FZ52+FY53-GH52,IF(A53&lt;'Données projet'!$A$244,$FW$205^A53,IF(A53='Données projet'!$A$244,'Données projet'!$B$244,FZ52+FY53-GH52)))</f>
        <v>311.81999999999994</v>
      </c>
      <c r="GA53" s="17">
        <f>FZ53*VLOOKUP('Données projet'!$B$17,Paramètres!$A$1:$I$89,3,0)*VLOOKUP('Données projet'!$B$17,Paramètres!$A$1:$I$89,5,0)</f>
        <v>145.93175999999997</v>
      </c>
      <c r="GB53" s="13">
        <f t="shared" si="49"/>
        <v>37.65258920161326</v>
      </c>
      <c r="GC53" s="20">
        <f t="shared" si="25"/>
        <v>319.74274152614299</v>
      </c>
      <c r="GD53" s="59">
        <f t="shared" si="26"/>
        <v>613.07607485947631</v>
      </c>
      <c r="GE53" s="59">
        <f ca="1">AVERAGE(OFFSET($GD$3,0,0,'Données projet'!$E$17+1,1))-AVERAGE(OFFSET($H$3,0,0,'Données projet'!$E$17+1,1))</f>
        <v>198.26255998041</v>
      </c>
      <c r="GF53" s="59">
        <f t="shared" si="50"/>
        <v>238.62101708181166</v>
      </c>
      <c r="GG53" s="15">
        <f>IF(ISNA(VLOOKUP(A53,'Données projet'!$A$243:$I$263,3,0)),0,VLOOKUP(A53,'Données projet'!$A$243:$I$263,3,0))</f>
        <v>4</v>
      </c>
      <c r="GH53" s="15">
        <f>IF(ISNA(VLOOKUP(A53,'Données projet'!$A$243:$I$263,4,0)),0,VLOOKUP(A53,'Données projet'!$A$243:$I$263,4,0))</f>
        <v>62.364000000000004</v>
      </c>
      <c r="GI53" s="16">
        <f>IF(ISNA(VLOOKUP(A53,'Données projet'!$A$243:$I$263,5,0)),0%,VLOOKUP(A53,'Données projet'!$A$243:$I$263,5,0)*VLOOKUP('Données projet'!$B$17,Paramètres!$A$1:$I$89,7,0))</f>
        <v>0.38500000000000001</v>
      </c>
      <c r="GJ53" s="16">
        <f>IF(ISNA(VLOOKUP(A53,'Données projet'!$A$243:$I$263,6,0)),0%,VLOOKUP(A53,'Données projet'!$A$243:$I$263,6,0)*VLOOKUP('Données projet'!$B$17,Paramètres!$A$1:$I$89,7,0))</f>
        <v>0.16500000000000001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21.797668958862111</v>
      </c>
      <c r="GM53" s="21">
        <f>EXP(-LN(2)/25)*GM52+(1-EXP(-LN(2)/25))/(LN(2)/25)*Calculateur!GH53*Calculateur!GJ53*VLOOKUP('Données projet'!$B$17,Paramètres!$A$1:$I$89,3,0)*0.475*44/12</f>
        <v>30.399858149612783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52.197527108474894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315</v>
      </c>
      <c r="GS53" s="12">
        <f>VLOOKUP(A53,'Données projet'!$A$269:$I$289,9,0)</f>
        <v>14.1</v>
      </c>
      <c r="GT53" s="12">
        <f t="array" ref="GT53">INDEX(GS:GS,MIN(IF(ISNUMBER(GS53:GS249),ROW(GS53:GS249),"")))</f>
        <v>14.1</v>
      </c>
      <c r="GU53" s="12">
        <f>IF('Données projet'!$A$270&gt;35,GU52+GT53-HC52,IF(A53&lt;'Données projet'!$A$270,$GR$205^A53,IF(A53='Données projet'!$A$270,'Données projet'!$B$270,GU52+GT53-HC52)))</f>
        <v>315.00000000000011</v>
      </c>
      <c r="GV53" s="17">
        <f>GU53*VLOOKUP('Données projet'!$B$18,Paramètres!$A$1:$I$89,3,0)*VLOOKUP('Données projet'!$B$18,Paramètres!$A$1:$I$89,5,0)</f>
        <v>362.88000000000011</v>
      </c>
      <c r="GW53" s="13">
        <f t="shared" si="51"/>
        <v>84.20903309365498</v>
      </c>
      <c r="GX53" s="20">
        <f t="shared" si="28"/>
        <v>778.68006597144938</v>
      </c>
      <c r="GY53" s="59">
        <f t="shared" si="29"/>
        <v>1072.0133993047828</v>
      </c>
      <c r="GZ53" s="59">
        <f ca="1">AVERAGE(OFFSET($GY$3,0,0,'Données projet'!$E$18+1,1))-AVERAGE(OFFSET($H$3,0,0,'Données projet'!$E$18+1,1))</f>
        <v>604.0566904089452</v>
      </c>
      <c r="HA53" s="59">
        <f t="shared" si="52"/>
        <v>369.5187835902687</v>
      </c>
      <c r="HB53" s="15">
        <f>IF(ISNA(VLOOKUP(A53,'Données projet'!$A$269:$I$289,3,0)),0,VLOOKUP(A53,'Données projet'!$A$269:$I$289,3,0))</f>
        <v>5</v>
      </c>
      <c r="HC53" s="15">
        <f>IF(ISNA(VLOOKUP(A53,'Données projet'!$A$269:$I$289,4,0)),0,VLOOKUP(A53,'Données projet'!$A$269:$I$289,4,0))</f>
        <v>79</v>
      </c>
      <c r="HD53" s="16">
        <f>IF(ISNA(VLOOKUP(A53,'Données projet'!$A$269:$I$289,5,0)),0%,VLOOKUP(A53,'Données projet'!$A$269:$I$289,5,0)*VLOOKUP('Données projet'!$B$18,Paramètres!$A$1:$I$89,7,0))</f>
        <v>0.315</v>
      </c>
      <c r="HE53" s="16">
        <f>IF(ISNA(VLOOKUP(A53,'Données projet'!$A$269:$I$289,6,0)),0%,VLOOKUP(A53,'Données projet'!$A$269:$I$289,6,0)*VLOOKUP('Données projet'!$B$18,Paramètres!$A$1:$I$89,7,0))</f>
        <v>0.13500000000000001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25.793975106735587</v>
      </c>
      <c r="HH53" s="21">
        <f>EXP(-LN(2)/25)*HH52+(1-EXP(-LN(2)/25))/(LN(2)/25)*Calculateur!HC53*Calculateur!HE53*VLOOKUP('Données projet'!$B$18,Paramètres!$A$1:$I$89,3,0)*0.475*44/12</f>
        <v>24.915622474287147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50.709597581022734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11.375</v>
      </c>
      <c r="N54" s="13">
        <f>IF('Données projet'!$A$36&gt;35,N53+M54-V53,IF(A54&lt;'Données projet'!$A$36,$K$205^A54,IF(A54='Données projet'!$A$36,'Données projet'!$B$36,N53+M54-V53)))</f>
        <v>220.625</v>
      </c>
      <c r="O54" s="13">
        <f>N54*VLOOKUP('Données projet'!$B$9,Paramètres!$A$1:$I$89,3,0)*VLOOKUP('Données projet'!$B$9,Paramètres!$A$1:$I$89,5,0)</f>
        <v>199.6215</v>
      </c>
      <c r="P54" s="13">
        <f t="shared" si="33"/>
        <v>49.660975712930096</v>
      </c>
      <c r="Q54" s="20">
        <f t="shared" si="53"/>
        <v>434.16697853335319</v>
      </c>
      <c r="R54" s="59">
        <f t="shared" si="0"/>
        <v>727.5003118666865</v>
      </c>
      <c r="S54" s="59">
        <f ca="1">AVERAGE(OFFSET($R$3,0,0,'Données projet'!$E$9+1,1))-AVERAGE(OFFSET($H$3,0,0,'Données projet'!$E$9+1,1))</f>
        <v>528.20489749461376</v>
      </c>
      <c r="T54" s="59">
        <f t="shared" si="34"/>
        <v>276.26988364830532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5.2793599249007546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5.2793599249007546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2.2737367544323206E-13</v>
      </c>
      <c r="AJ54" s="13">
        <f>AI54*VLOOKUP('Données projet'!$B$10,Paramètres!$A$1:$I$89,3,0)*VLOOKUP('Données projet'!$B$10,Paramètres!$A$1:$I$89,5,0)</f>
        <v>2.0572770154103635E-13</v>
      </c>
      <c r="AK54" s="13">
        <f t="shared" si="35"/>
        <v>2.8416956338469711E-12</v>
      </c>
      <c r="AL54" s="20">
        <f t="shared" si="4"/>
        <v>5.3075956424674458E-12</v>
      </c>
      <c r="AM54" s="59">
        <f t="shared" si="5"/>
        <v>293.3333333333386</v>
      </c>
      <c r="AN54" s="59">
        <f ca="1">AVERAGE(OFFSET($AM$3,0,0,'Données projet'!$E$10+1,1))-AVERAGE(OFFSET($H$3,0,0,'Données projet'!$E$10+1,1))</f>
        <v>436.23918637269577</v>
      </c>
      <c r="AO54" s="59">
        <f t="shared" si="36"/>
        <v>611.43967996341894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64.839634363044496</v>
      </c>
      <c r="AV54" s="21">
        <f>EXP(-LN(2)/25)*AV53+(1-EXP(-LN(2)/25))/(LN(2)/25)*Calculateur!AQ54*Calculateur!AS54*VLOOKUP('Données projet'!$B$10,Paramètres!$A$1:$I$89,3,0)*0.475*44/12</f>
        <v>36.652633788011684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101.49226815105618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10.375</v>
      </c>
      <c r="BD54" s="12">
        <f>IF('Données projet'!$A$88&gt;35,BD53+BC54-BL53,IF(A54&lt;'Données projet'!$A$88,$BA$205^A54,IF(A54='Données projet'!$A$88,'Données projet'!$B$88,BD53+BC54-BL53)))</f>
        <v>259.62499999999989</v>
      </c>
      <c r="BE54" s="13">
        <f>BD54*VLOOKUP('Données projet'!$B$11,Paramètres!$A$1:$I$89,3,0)*VLOOKUP('Données projet'!$B$11,Paramètres!$A$1:$I$89,5,0)</f>
        <v>202.50749999999991</v>
      </c>
      <c r="BF54" s="13">
        <f t="shared" si="37"/>
        <v>50.294840086606349</v>
      </c>
      <c r="BG54" s="20">
        <f t="shared" si="7"/>
        <v>440.29740898417253</v>
      </c>
      <c r="BH54" s="59">
        <f t="shared" si="8"/>
        <v>733.63074231750579</v>
      </c>
      <c r="BI54" s="59">
        <f ca="1">AVERAGE(OFFSET($BH$3,0,0,'Données projet'!$E$11+1,1))-AVERAGE(OFFSET($H$3,0,0,'Données projet'!$E$11+1,1))</f>
        <v>288.82868507674738</v>
      </c>
      <c r="BJ54" s="59">
        <f t="shared" si="38"/>
        <v>283.48738729114024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4.1638385321117468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4.1638385321117468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1.3338500000000011</v>
      </c>
      <c r="BY54" s="12">
        <f>IF('Données projet'!$A$114&gt;35,BY53+BX54-CG53,IF(A54&lt;'Données projet'!$A$114,$BV$205^A54,IF(A54='Données projet'!$A$114,'Données projet'!$B$114,BY53+BX54-CG53)))</f>
        <v>44.233349999999994</v>
      </c>
      <c r="BZ54" s="13">
        <f>BY54*VLOOKUP('Données projet'!$B$12,Paramètres!$A$1:$I$89,3,0)*VLOOKUP('Données projet'!$B$12,Paramètres!$A$1:$I$89,5,0)</f>
        <v>38.642254559999998</v>
      </c>
      <c r="CA54" s="13">
        <f t="shared" si="39"/>
        <v>11.638056251911483</v>
      </c>
      <c r="CB54" s="20">
        <f t="shared" si="10"/>
        <v>87.571541330745802</v>
      </c>
      <c r="CC54" s="59">
        <f t="shared" si="11"/>
        <v>380.9048746640791</v>
      </c>
      <c r="CD54" s="59">
        <f ca="1">AVERAGE(OFFSET($CC$3,0,0,'Données projet'!$E$12+1,1))-AVERAGE(OFFSET($H$3,0,0,'Données projet'!$E$12+1,1))</f>
        <v>93.329407403816901</v>
      </c>
      <c r="CE54" s="59">
        <f t="shared" si="40"/>
        <v>90.925148357295313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1.5923562667856208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1.5923562667856208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15</v>
      </c>
      <c r="CT54" s="12">
        <f>IF('Données projet'!$A$140&gt;35,CT53+CS54-DB53,IF(A54&lt;'Données projet'!$A$140,$CQ$205^A54,IF(A54='Données projet'!$A$140,'Données projet'!$B$140,CT53+CS54-DB53)))</f>
        <v>441.99999999999977</v>
      </c>
      <c r="CU54" s="17">
        <f>CT54*VLOOKUP('Données projet'!$B$13,Paramètres!$A$1:$I$89,3,0)*VLOOKUP('Données projet'!$B$13,Paramètres!$A$1:$I$89,5,0)</f>
        <v>420.60719999999975</v>
      </c>
      <c r="CV54" s="13">
        <f t="shared" si="41"/>
        <v>95.942166104142871</v>
      </c>
      <c r="CW54" s="20">
        <f t="shared" si="13"/>
        <v>899.65681263138151</v>
      </c>
      <c r="CX54" s="59">
        <f t="shared" si="14"/>
        <v>1192.9901459647149</v>
      </c>
      <c r="CY54" s="59">
        <f ca="1">AVERAGE(OFFSET($CX$3,0,0,'Données projet'!$E$13+1,1))-AVERAGE(OFFSET($H$3,0,0,'Données projet'!$E$13+1,1))</f>
        <v>805.04572055352492</v>
      </c>
      <c r="CZ54" s="59">
        <f t="shared" si="42"/>
        <v>708.66645042414962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20.357981666748806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20.357981666748806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9.8000000000000007</v>
      </c>
      <c r="DO54" s="12">
        <f>IF('Données projet'!$A$166&gt;35,DO53+DN54-DW53,IF(A54&lt;'Données projet'!$A$166,$DL$205^A54,IF(A54='Données projet'!$A$166,'Données projet'!$B$166,DO53+DN54-DW53)))</f>
        <v>336.79999999999995</v>
      </c>
      <c r="DP54" s="17">
        <f>DO54*VLOOKUP('Données projet'!$B$14,Paramètres!$A$1:$I$89,3,0)*VLOOKUP('Données projet'!$B$14,Paramètres!$A$1:$I$89,5,0)</f>
        <v>225.92543999999998</v>
      </c>
      <c r="DQ54" s="13">
        <f t="shared" si="43"/>
        <v>55.400751988174818</v>
      </c>
      <c r="DR54" s="20">
        <f t="shared" si="16"/>
        <v>489.97645104607113</v>
      </c>
      <c r="DS54" s="59">
        <f t="shared" si="17"/>
        <v>783.30978437940439</v>
      </c>
      <c r="DT54" s="59">
        <f ca="1">AVERAGE(OFFSET($DS$3,0,0,'Données projet'!$E$14+1,1))-AVERAGE(OFFSET($H$3,0,0,'Données projet'!$E$14+1,1))</f>
        <v>482.69499576870095</v>
      </c>
      <c r="DU54" s="59">
        <f t="shared" si="44"/>
        <v>384.28918352579575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8.802504797197594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8.802504797197594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1.7053025658242404E-13</v>
      </c>
      <c r="EK54" s="17">
        <f>EJ54*VLOOKUP('Données projet'!$B$15,Paramètres!$A$1:$I$89,3,0)*VLOOKUP('Données projet'!$B$15,Paramètres!$A$1:$I$89,5,0)</f>
        <v>1.250327841262333E-13</v>
      </c>
      <c r="EL54" s="13">
        <f t="shared" si="45"/>
        <v>1.8301318724634299E-12</v>
      </c>
      <c r="EM54" s="20">
        <f t="shared" si="19"/>
        <v>3.405245110226996E-12</v>
      </c>
      <c r="EN54" s="59">
        <f t="shared" si="20"/>
        <v>293.33333333333672</v>
      </c>
      <c r="EO54" s="59">
        <f ca="1">AVERAGE(OFFSET($EN$3,0,0,'Données projet'!$E$15+1,1))-AVERAGE(OFFSET($H$3,0,0,'Données projet'!$E$15+1,1))</f>
        <v>197.34725966440715</v>
      </c>
      <c r="EP54" s="59">
        <f t="shared" si="46"/>
        <v>240.16326570529532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42.893956836068931</v>
      </c>
      <c r="EW54" s="21">
        <f>EXP(-LN(2)/25)*EW53+(1-EXP(-LN(2)/25))/(LN(2)/25)*Calculateur!ER54*Calculateur!ET54*VLOOKUP('Données projet'!$B$15,Paramètres!$A$1:$I$89,3,0)*0.475*44/12</f>
        <v>29.956749702654701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72.850706538723628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>
        <f>VLOOKUP(A54,'Données projet'!$A$217:$I$237,2,0)</f>
        <v>615</v>
      </c>
      <c r="FC54" s="12">
        <f>VLOOKUP(A54,'Données projet'!$A$217:$I$237,9,0)</f>
        <v>24.333333333333332</v>
      </c>
      <c r="FD54" s="12">
        <f t="array" ref="FD54">INDEX(FC:FC,MIN(IF(ISNUMBER(FC54:FC250),ROW(FC54:FC250),"")))</f>
        <v>24.333333333333332</v>
      </c>
      <c r="FE54" s="12">
        <f>IF('Données projet'!$A$218&gt;35,FE53+FD54-FM53,IF(A54&lt;'Données projet'!$A$218,$FB$205^A54,IF(A54='Données projet'!$A$218,'Données projet'!$B$218,FE53+FD54-FM53)))</f>
        <v>615.00000000000023</v>
      </c>
      <c r="FF54" s="17">
        <f>FE54*VLOOKUP('Données projet'!$B$16,Paramètres!$A$1:$I$89,3,0)*VLOOKUP('Données projet'!$B$16,Paramètres!$A$1:$I$89,5,0)</f>
        <v>343.78500000000014</v>
      </c>
      <c r="FG54" s="13">
        <f t="shared" si="47"/>
        <v>80.281446809317146</v>
      </c>
      <c r="FH54" s="20">
        <f t="shared" si="22"/>
        <v>738.58239485956085</v>
      </c>
      <c r="FI54" s="59">
        <f t="shared" si="23"/>
        <v>1031.9157281928942</v>
      </c>
      <c r="FJ54" s="59">
        <f ca="1">AVERAGE(OFFSET($FI$3,0,0,'Données projet'!$E$16+1,1))-AVERAGE(OFFSET($H$3,0,0,'Données projet'!$E$16+1,1))</f>
        <v>346.42094266871379</v>
      </c>
      <c r="FK54" s="59">
        <f t="shared" si="48"/>
        <v>453.48153556975973</v>
      </c>
      <c r="FL54" s="15">
        <f>IF(ISNA(VLOOKUP(A54,'Données projet'!$A$217:$I$237,3,0)),0,VLOOKUP(A54,'Données projet'!$A$217:$I$237,3,0))</f>
        <v>6</v>
      </c>
      <c r="FM54" s="15">
        <f>IF(ISNA(VLOOKUP(A54,'Données projet'!$A$217:$I$237,4,0)),0,VLOOKUP(A54,'Données projet'!$A$217:$I$237,4,0))</f>
        <v>615</v>
      </c>
      <c r="FN54" s="16">
        <f>IF(ISNA(VLOOKUP(A54,'Données projet'!$A$217:$I$237,5,0)),0%,VLOOKUP(A54,'Données projet'!$A$217:$I$237,5,0)*VLOOKUP('Données projet'!$B$16,Paramètres!$A$1:$I$89,7,0))</f>
        <v>0.38500000000000001</v>
      </c>
      <c r="FO54" s="16">
        <f>IF(ISNA(VLOOKUP(A54,'Données projet'!$A$217:$I$237,6,0)),0%,VLOOKUP(A54,'Données projet'!$A$217:$I$237,6,0)*VLOOKUP('Données projet'!$B$16,Paramètres!$A$1:$I$89,7,0))</f>
        <v>0.16500000000000001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204.67785959959446</v>
      </c>
      <c r="FR54" s="21">
        <f>EXP(-LN(2)/25)*FR53+(1-EXP(-LN(2)/25))/(LN(2)/25)*Calculateur!FM54*Calculateur!FO54*VLOOKUP('Données projet'!$B$16,Paramètres!$A$1:$I$89,3,0)*0.475*44/12</f>
        <v>135.40837458133132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340.08623418092577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13.500000000000004</v>
      </c>
      <c r="FZ54" s="12">
        <f>IF('Données projet'!$A$244&gt;35,FZ53+FY54-GH53,IF(A54&lt;'Données projet'!$A$244,$FW$205^A54,IF(A54='Données projet'!$A$244,'Données projet'!$B$244,FZ53+FY54-GH53)))</f>
        <v>262.9559999999999</v>
      </c>
      <c r="GA54" s="17">
        <f>FZ54*VLOOKUP('Données projet'!$B$17,Paramètres!$A$1:$I$89,3,0)*VLOOKUP('Données projet'!$B$17,Paramètres!$A$1:$I$89,5,0)</f>
        <v>123.06340799999997</v>
      </c>
      <c r="GB54" s="13">
        <f t="shared" si="49"/>
        <v>32.388437298911995</v>
      </c>
      <c r="GC54" s="20">
        <f t="shared" si="25"/>
        <v>270.74529722893834</v>
      </c>
      <c r="GD54" s="59">
        <f t="shared" si="26"/>
        <v>564.07863056227166</v>
      </c>
      <c r="GE54" s="59">
        <f ca="1">AVERAGE(OFFSET($GD$3,0,0,'Données projet'!$E$17+1,1))-AVERAGE(OFFSET($H$3,0,0,'Données projet'!$E$17+1,1))</f>
        <v>198.26255998041</v>
      </c>
      <c r="GF54" s="59">
        <f t="shared" si="50"/>
        <v>238.62101708181166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21.370229965844093</v>
      </c>
      <c r="GM54" s="21">
        <f>EXP(-LN(2)/25)*GM53+(1-EXP(-LN(2)/25))/(LN(2)/25)*Calculateur!GH54*Calculateur!GJ54*VLOOKUP('Données projet'!$B$17,Paramètres!$A$1:$I$89,3,0)*0.475*44/12</f>
        <v>29.568572429852562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50.938802395696655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15.7</v>
      </c>
      <c r="GU54" s="12">
        <f>IF('Données projet'!$A$270&gt;35,GU53+GT54-HC53,IF(A54&lt;'Données projet'!$A$270,$GR$205^A54,IF(A54='Données projet'!$A$270,'Données projet'!$B$270,GU53+GT54-HC53)))</f>
        <v>251.7000000000001</v>
      </c>
      <c r="GV54" s="17">
        <f>GU54*VLOOKUP('Données projet'!$B$18,Paramètres!$A$1:$I$89,3,0)*VLOOKUP('Données projet'!$B$18,Paramètres!$A$1:$I$89,5,0)</f>
        <v>289.9584000000001</v>
      </c>
      <c r="GW54" s="13">
        <f t="shared" si="51"/>
        <v>69.067205515840911</v>
      </c>
      <c r="GX54" s="20">
        <f t="shared" si="28"/>
        <v>625.30292960675638</v>
      </c>
      <c r="GY54" s="59">
        <f t="shared" si="29"/>
        <v>918.63626294008964</v>
      </c>
      <c r="GZ54" s="59">
        <f ca="1">AVERAGE(OFFSET($GY$3,0,0,'Données projet'!$E$18+1,1))-AVERAGE(OFFSET($H$3,0,0,'Données projet'!$E$18+1,1))</f>
        <v>604.0566904089452</v>
      </c>
      <c r="HA54" s="59">
        <f t="shared" si="52"/>
        <v>369.5187835902687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25.288170987663836</v>
      </c>
      <c r="HH54" s="21">
        <f>EXP(-LN(2)/25)*HH53+(1-EXP(-LN(2)/25))/(LN(2)/25)*Calculateur!HC54*Calculateur!HE54*VLOOKUP('Données projet'!$B$18,Paramètres!$A$1:$I$89,3,0)*0.475*44/12</f>
        <v>24.234303467472124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49.522474455135963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232</v>
      </c>
      <c r="L55" s="12">
        <f>VLOOKUP(A55,'Données projet'!$A$35:$I$55,9,0)</f>
        <v>11.375</v>
      </c>
      <c r="M55" s="12">
        <f t="array" ref="M55">INDEX(L:L,MIN(IF(ISNUMBER(L55:L251),ROW(L55:L251),"")))</f>
        <v>11.375</v>
      </c>
      <c r="N55" s="13">
        <f>IF('Données projet'!$A$36&gt;35,N54+M55-V54,IF(A55&lt;'Données projet'!$A$36,$K$205^A55,IF(A55='Données projet'!$A$36,'Données projet'!$B$36,N54+M55-V54)))</f>
        <v>232</v>
      </c>
      <c r="O55" s="13">
        <f>N55*VLOOKUP('Données projet'!$B$9,Paramètres!$A$1:$I$89,3,0)*VLOOKUP('Données projet'!$B$9,Paramètres!$A$1:$I$89,5,0)</f>
        <v>209.9136</v>
      </c>
      <c r="P55" s="13">
        <f t="shared" si="33"/>
        <v>51.916704672341318</v>
      </c>
      <c r="Q55" s="20">
        <f t="shared" si="53"/>
        <v>456.02111397099435</v>
      </c>
      <c r="R55" s="59">
        <f t="shared" si="0"/>
        <v>749.35444730432766</v>
      </c>
      <c r="S55" s="59">
        <f ca="1">AVERAGE(OFFSET($R$3,0,0,'Données projet'!$E$9+1,1))-AVERAGE(OFFSET($H$3,0,0,'Données projet'!$E$9+1,1))</f>
        <v>528.20489749461376</v>
      </c>
      <c r="T55" s="59">
        <f t="shared" si="34"/>
        <v>276.26988364830532</v>
      </c>
      <c r="U55" s="15">
        <f>IF(ISNA(VLOOKUP(A55,'Données projet'!$A$35:$I$55,3,0)),0,VLOOKUP(A55,'Données projet'!$A$35:$I$55,3,0))</f>
        <v>3</v>
      </c>
      <c r="V55" s="15">
        <f>IF(ISNA(VLOOKUP(A55,'Données projet'!$A$35:$I$55,4,0)),0,VLOOKUP(A55,'Données projet'!$A$35:$I$55,4,0))</f>
        <v>63</v>
      </c>
      <c r="W55" s="16">
        <f>IF(ISNA(VLOOKUP(A55,'Données projet'!$A$35:$I$55,5,0)),0%,VLOOKUP(A55,'Données projet'!$A$35:$I$55,5,0)*VLOOKUP('Données projet'!$B$9,Paramètres!$A$1:$I$89,7,0))</f>
        <v>0.129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13.304700851200334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13.304700851200334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2.2737367544323206E-13</v>
      </c>
      <c r="AJ55" s="13">
        <f>AI55*VLOOKUP('Données projet'!$B$10,Paramètres!$A$1:$I$89,3,0)*VLOOKUP('Données projet'!$B$10,Paramètres!$A$1:$I$89,5,0)</f>
        <v>2.0572770154103635E-13</v>
      </c>
      <c r="AK55" s="13">
        <f t="shared" si="35"/>
        <v>2.8416956338469711E-12</v>
      </c>
      <c r="AL55" s="20">
        <f t="shared" si="4"/>
        <v>5.3075956424674458E-12</v>
      </c>
      <c r="AM55" s="59">
        <f t="shared" si="5"/>
        <v>293.3333333333386</v>
      </c>
      <c r="AN55" s="59">
        <f ca="1">AVERAGE(OFFSET($AM$3,0,0,'Données projet'!$E$10+1,1))-AVERAGE(OFFSET($H$3,0,0,'Données projet'!$E$10+1,1))</f>
        <v>436.23918637269577</v>
      </c>
      <c r="AO55" s="59">
        <f t="shared" si="36"/>
        <v>611.43967996341894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63.568168681457088</v>
      </c>
      <c r="AV55" s="21">
        <f>EXP(-LN(2)/25)*AV54+(1-EXP(-LN(2)/25))/(LN(2)/25)*Calculateur!AQ55*Calculateur!AS55*VLOOKUP('Données projet'!$B$10,Paramètres!$A$1:$I$89,3,0)*0.475*44/12</f>
        <v>35.650365589600263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99.218534271057351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270</v>
      </c>
      <c r="BB55" s="12">
        <f>VLOOKUP(A55,'Données projet'!$A$87:$I$107,9,0)</f>
        <v>10.375</v>
      </c>
      <c r="BC55" s="12">
        <f t="array" ref="BC55">INDEX(BB:BB,MIN(IF(ISNUMBER(BB55:BB251),ROW(BB55:BB251),"")))</f>
        <v>10.375</v>
      </c>
      <c r="BD55" s="12">
        <f>IF('Données projet'!$A$88&gt;35,BD54+BC55-BL54,IF(A55&lt;'Données projet'!$A$88,$BA$205^A55,IF(A55='Données projet'!$A$88,'Données projet'!$B$88,BD54+BC55-BL54)))</f>
        <v>269.99999999999989</v>
      </c>
      <c r="BE55" s="13">
        <f>BD55*VLOOKUP('Données projet'!$B$11,Paramètres!$A$1:$I$89,3,0)*VLOOKUP('Données projet'!$B$11,Paramètres!$A$1:$I$89,5,0)</f>
        <v>210.59999999999991</v>
      </c>
      <c r="BF55" s="13">
        <f t="shared" si="37"/>
        <v>52.066679014659961</v>
      </c>
      <c r="BG55" s="20">
        <f t="shared" si="7"/>
        <v>457.47779928386586</v>
      </c>
      <c r="BH55" s="59">
        <f t="shared" si="8"/>
        <v>750.81113261719918</v>
      </c>
      <c r="BI55" s="59">
        <f ca="1">AVERAGE(OFFSET($BH$3,0,0,'Données projet'!$E$11+1,1))-AVERAGE(OFFSET($H$3,0,0,'Données projet'!$E$11+1,1))</f>
        <v>288.82868507674738</v>
      </c>
      <c r="BJ55" s="59">
        <f t="shared" si="38"/>
        <v>283.48738729114024</v>
      </c>
      <c r="BK55" s="15">
        <f>IF(ISNA(VLOOKUP(A55,'Données projet'!$A$87:$I$107,3,0)),0,VLOOKUP(A55,'Données projet'!$A$87:$I$107,3,0))</f>
        <v>7</v>
      </c>
      <c r="BL55" s="15">
        <f>IF(ISNA(VLOOKUP(A55,'Données projet'!$A$87:$I$107,4,0)),0,VLOOKUP(A55,'Données projet'!$A$87:$I$107,4,0))</f>
        <v>48</v>
      </c>
      <c r="BM55" s="16">
        <f>IF(ISNA(VLOOKUP(A55,'Données projet'!$A$87:$I$107,5,0)),0%,VLOOKUP(A55,'Données projet'!$A$87:$I$107,5,0)*VLOOKUP('Données projet'!$B$11,Paramètres!$A$1:$I$89,7,0))</f>
        <v>0.129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9.4213448184408275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9.4213448184408275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1.3338500000000011</v>
      </c>
      <c r="BY55" s="12">
        <f>IF('Données projet'!$A$114&gt;35,BY54+BX55-CG54,IF(A55&lt;'Données projet'!$A$114,$BV$205^A55,IF(A55='Données projet'!$A$114,'Données projet'!$B$114,BY54+BX55-CG54)))</f>
        <v>45.567199999999993</v>
      </c>
      <c r="BZ55" s="13">
        <f>BY55*VLOOKUP('Données projet'!$B$12,Paramètres!$A$1:$I$89,3,0)*VLOOKUP('Données projet'!$B$12,Paramètres!$A$1:$I$89,5,0)</f>
        <v>39.807505919999997</v>
      </c>
      <c r="CA55" s="13">
        <f t="shared" si="39"/>
        <v>11.947612014143202</v>
      </c>
      <c r="CB55" s="20">
        <f t="shared" si="10"/>
        <v>90.140163735299396</v>
      </c>
      <c r="CC55" s="59">
        <f t="shared" si="11"/>
        <v>383.4734970686327</v>
      </c>
      <c r="CD55" s="59">
        <f ca="1">AVERAGE(OFFSET($CC$3,0,0,'Données projet'!$E$12+1,1))-AVERAGE(OFFSET($H$3,0,0,'Données projet'!$E$12+1,1))</f>
        <v>93.329407403816901</v>
      </c>
      <c r="CE55" s="59">
        <f t="shared" si="40"/>
        <v>90.925148357295313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1.5611311316353753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1.5611311316353753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15</v>
      </c>
      <c r="CT55" s="12">
        <f>IF('Données projet'!$A$140&gt;35,CT54+CS55-DB54,IF(A55&lt;'Données projet'!$A$140,$CQ$205^A55,IF(A55='Données projet'!$A$140,'Données projet'!$B$140,CT54+CS55-DB54)))</f>
        <v>456.99999999999977</v>
      </c>
      <c r="CU55" s="17">
        <f>CT55*VLOOKUP('Données projet'!$B$13,Paramètres!$A$1:$I$89,3,0)*VLOOKUP('Données projet'!$B$13,Paramètres!$A$1:$I$89,5,0)</f>
        <v>434.88119999999981</v>
      </c>
      <c r="CV55" s="13">
        <f t="shared" si="41"/>
        <v>98.813516878296596</v>
      </c>
      <c r="CW55" s="20">
        <f t="shared" si="13"/>
        <v>929.51829856303277</v>
      </c>
      <c r="CX55" s="59">
        <f t="shared" si="14"/>
        <v>1222.8516318963661</v>
      </c>
      <c r="CY55" s="59">
        <f ca="1">AVERAGE(OFFSET($CX$3,0,0,'Données projet'!$E$13+1,1))-AVERAGE(OFFSET($H$3,0,0,'Données projet'!$E$13+1,1))</f>
        <v>805.04572055352492</v>
      </c>
      <c r="CZ55" s="59">
        <f t="shared" si="42"/>
        <v>708.66645042414962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19.958774063406587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19.958774063406587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9.8000000000000007</v>
      </c>
      <c r="DO55" s="12">
        <f>IF('Données projet'!$A$166&gt;35,DO54+DN55-DW54,IF(A55&lt;'Données projet'!$A$166,$DL$205^A55,IF(A55='Données projet'!$A$166,'Données projet'!$B$166,DO54+DN55-DW54)))</f>
        <v>346.59999999999997</v>
      </c>
      <c r="DP55" s="17">
        <f>DO55*VLOOKUP('Données projet'!$B$14,Paramètres!$A$1:$I$89,3,0)*VLOOKUP('Données projet'!$B$14,Paramètres!$A$1:$I$89,5,0)</f>
        <v>232.49927999999997</v>
      </c>
      <c r="DQ55" s="13">
        <f t="shared" si="43"/>
        <v>56.8227439094074</v>
      </c>
      <c r="DR55" s="20">
        <f t="shared" si="16"/>
        <v>503.90252497555116</v>
      </c>
      <c r="DS55" s="59">
        <f t="shared" si="17"/>
        <v>797.23585830888442</v>
      </c>
      <c r="DT55" s="59">
        <f ca="1">AVERAGE(OFFSET($DS$3,0,0,'Données projet'!$E$14+1,1))-AVERAGE(OFFSET($H$3,0,0,'Données projet'!$E$14+1,1))</f>
        <v>482.69499576870095</v>
      </c>
      <c r="DU55" s="59">
        <f t="shared" si="44"/>
        <v>384.28918352579575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8.6298930471223319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8.6298930471223319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1.7053025658242404E-13</v>
      </c>
      <c r="EK55" s="17">
        <f>EJ55*VLOOKUP('Données projet'!$B$15,Paramètres!$A$1:$I$89,3,0)*VLOOKUP('Données projet'!$B$15,Paramètres!$A$1:$I$89,5,0)</f>
        <v>1.250327841262333E-13</v>
      </c>
      <c r="EL55" s="13">
        <f t="shared" si="45"/>
        <v>1.8301318724634299E-12</v>
      </c>
      <c r="EM55" s="20">
        <f t="shared" si="19"/>
        <v>3.405245110226996E-12</v>
      </c>
      <c r="EN55" s="59">
        <f t="shared" si="20"/>
        <v>293.33333333333672</v>
      </c>
      <c r="EO55" s="59">
        <f ca="1">AVERAGE(OFFSET($EN$3,0,0,'Données projet'!$E$15+1,1))-AVERAGE(OFFSET($H$3,0,0,'Données projet'!$E$15+1,1))</f>
        <v>197.34725966440715</v>
      </c>
      <c r="EP55" s="59">
        <f t="shared" si="46"/>
        <v>240.16326570529532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42.052832505243934</v>
      </c>
      <c r="EW55" s="21">
        <f>EXP(-LN(2)/25)*EW54+(1-EXP(-LN(2)/25))/(LN(2)/25)*Calculateur!ER55*Calculateur!ET55*VLOOKUP('Données projet'!$B$15,Paramètres!$A$1:$I$89,3,0)*0.475*44/12</f>
        <v>29.13758080667861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71.190413311922541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2.2737367544323206E-13</v>
      </c>
      <c r="FF55" s="17">
        <f>FE55*VLOOKUP('Données projet'!$B$16,Paramètres!$A$1:$I$89,3,0)*VLOOKUP('Données projet'!$B$16,Paramètres!$A$1:$I$89,5,0)</f>
        <v>1.2710188457276673E-13</v>
      </c>
      <c r="FG55" s="13">
        <f t="shared" si="47"/>
        <v>1.856866851063998E-12</v>
      </c>
      <c r="FH55" s="20">
        <f t="shared" si="22"/>
        <v>3.4554122145673649E-12</v>
      </c>
      <c r="FI55" s="59">
        <f t="shared" si="23"/>
        <v>293.33333333333678</v>
      </c>
      <c r="FJ55" s="59">
        <f ca="1">AVERAGE(OFFSET($FI$3,0,0,'Données projet'!$E$16+1,1))-AVERAGE(OFFSET($H$3,0,0,'Données projet'!$E$16+1,1))</f>
        <v>346.42094266871379</v>
      </c>
      <c r="FK55" s="59">
        <f t="shared" si="48"/>
        <v>453.48153556975973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200.66425161401372</v>
      </c>
      <c r="FR55" s="21">
        <f>EXP(-LN(2)/25)*FR54+(1-EXP(-LN(2)/25))/(LN(2)/25)*Calculateur!FM55*Calculateur!FO55*VLOOKUP('Données projet'!$B$16,Paramètres!$A$1:$I$89,3,0)*0.475*44/12</f>
        <v>131.70562545758787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332.36987707160159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13.500000000000004</v>
      </c>
      <c r="FZ55" s="12">
        <f>IF('Données projet'!$A$244&gt;35,FZ54+FY55-GH54,IF(A55&lt;'Données projet'!$A$244,$FW$205^A55,IF(A55='Données projet'!$A$244,'Données projet'!$B$244,FZ54+FY55-GH54)))</f>
        <v>276.4559999999999</v>
      </c>
      <c r="GA55" s="17">
        <f>FZ55*VLOOKUP('Données projet'!$B$17,Paramètres!$A$1:$I$89,3,0)*VLOOKUP('Données projet'!$B$17,Paramètres!$A$1:$I$89,5,0)</f>
        <v>129.38140799999996</v>
      </c>
      <c r="GB55" s="13">
        <f t="shared" si="49"/>
        <v>33.853381227971028</v>
      </c>
      <c r="GC55" s="20">
        <f t="shared" si="25"/>
        <v>284.30059123871615</v>
      </c>
      <c r="GD55" s="59">
        <f t="shared" si="26"/>
        <v>577.63392457204941</v>
      </c>
      <c r="GE55" s="59">
        <f ca="1">AVERAGE(OFFSET($GD$3,0,0,'Données projet'!$E$17+1,1))-AVERAGE(OFFSET($H$3,0,0,'Données projet'!$E$17+1,1))</f>
        <v>198.26255998041</v>
      </c>
      <c r="GF55" s="59">
        <f t="shared" si="50"/>
        <v>238.62101708181166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20.951172790767114</v>
      </c>
      <c r="GM55" s="21">
        <f>EXP(-LN(2)/25)*GM54+(1-EXP(-LN(2)/25))/(LN(2)/25)*Calculateur!GH55*Calculateur!GJ55*VLOOKUP('Données projet'!$B$17,Paramètres!$A$1:$I$89,3,0)*0.475*44/12</f>
        <v>28.760018261814601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49.711191052581711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15.7</v>
      </c>
      <c r="GU55" s="12">
        <f>IF('Données projet'!$A$270&gt;35,GU54+GT55-HC54,IF(A55&lt;'Données projet'!$A$270,$GR$205^A55,IF(A55='Données projet'!$A$270,'Données projet'!$B$270,GU54+GT55-HC54)))</f>
        <v>267.40000000000009</v>
      </c>
      <c r="GV55" s="17">
        <f>GU55*VLOOKUP('Données projet'!$B$18,Paramètres!$A$1:$I$89,3,0)*VLOOKUP('Données projet'!$B$18,Paramètres!$A$1:$I$89,5,0)</f>
        <v>308.04480000000007</v>
      </c>
      <c r="GW55" s="13">
        <f t="shared" si="51"/>
        <v>72.860356355133575</v>
      </c>
      <c r="GX55" s="20">
        <f t="shared" si="28"/>
        <v>663.40981398519102</v>
      </c>
      <c r="GY55" s="59">
        <f t="shared" si="29"/>
        <v>956.74314731852428</v>
      </c>
      <c r="GZ55" s="59">
        <f ca="1">AVERAGE(OFFSET($GY$3,0,0,'Données projet'!$E$18+1,1))-AVERAGE(OFFSET($H$3,0,0,'Données projet'!$E$18+1,1))</f>
        <v>604.0566904089452</v>
      </c>
      <c r="HA55" s="59">
        <f t="shared" si="52"/>
        <v>369.5187835902687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24.792285378857031</v>
      </c>
      <c r="HH55" s="21">
        <f>EXP(-LN(2)/25)*HH54+(1-EXP(-LN(2)/25))/(LN(2)/25)*Calculateur!HC55*Calculateur!HE55*VLOOKUP('Données projet'!$B$18,Paramètres!$A$1:$I$89,3,0)*0.475*44/12</f>
        <v>23.571615164727469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48.363900543584499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10.125</v>
      </c>
      <c r="N56" s="13">
        <f>IF('Données projet'!$A$36&gt;35,N55+M56-V55,IF(A56&lt;'Données projet'!$A$36,$K$205^A56,IF(A56='Données projet'!$A$36,'Données projet'!$B$36,N55+M56-V55)))</f>
        <v>179.125</v>
      </c>
      <c r="O56" s="13">
        <f>N56*VLOOKUP('Données projet'!$B$9,Paramètres!$A$1:$I$89,3,0)*VLOOKUP('Données projet'!$B$9,Paramètres!$A$1:$I$89,5,0)</f>
        <v>162.07230000000001</v>
      </c>
      <c r="P56" s="13">
        <f t="shared" si="33"/>
        <v>41.309577807279609</v>
      </c>
      <c r="Q56" s="20">
        <f t="shared" si="53"/>
        <v>354.223437181012</v>
      </c>
      <c r="R56" s="59">
        <f t="shared" si="0"/>
        <v>647.55677051434532</v>
      </c>
      <c r="S56" s="59">
        <f ca="1">AVERAGE(OFFSET($R$3,0,0,'Données projet'!$E$9+1,1))-AVERAGE(OFFSET($H$3,0,0,'Données projet'!$E$9+1,1))</f>
        <v>528.20489749461376</v>
      </c>
      <c r="T56" s="59">
        <f t="shared" si="34"/>
        <v>276.26988364830532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13.043803782574518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13.043803782574518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2.2737367544323206E-13</v>
      </c>
      <c r="AJ56" s="13">
        <f>AI56*VLOOKUP('Données projet'!$B$10,Paramètres!$A$1:$I$89,3,0)*VLOOKUP('Données projet'!$B$10,Paramètres!$A$1:$I$89,5,0)</f>
        <v>2.0572770154103635E-13</v>
      </c>
      <c r="AK56" s="13">
        <f t="shared" si="35"/>
        <v>2.8416956338469711E-12</v>
      </c>
      <c r="AL56" s="20">
        <f t="shared" si="4"/>
        <v>5.3075956424674458E-12</v>
      </c>
      <c r="AM56" s="59">
        <f t="shared" si="5"/>
        <v>293.3333333333386</v>
      </c>
      <c r="AN56" s="59">
        <f ca="1">AVERAGE(OFFSET($AM$3,0,0,'Données projet'!$E$10+1,1))-AVERAGE(OFFSET($H$3,0,0,'Données projet'!$E$10+1,1))</f>
        <v>436.23918637269577</v>
      </c>
      <c r="AO56" s="59">
        <f t="shared" si="36"/>
        <v>611.43967996341894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62.321635666368117</v>
      </c>
      <c r="AV56" s="21">
        <f>EXP(-LN(2)/25)*AV55+(1-EXP(-LN(2)/25))/(LN(2)/25)*Calculateur!AQ56*Calculateur!AS56*VLOOKUP('Données projet'!$B$10,Paramètres!$A$1:$I$89,3,0)*0.475*44/12</f>
        <v>34.675504467781394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96.997140134149504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9.375</v>
      </c>
      <c r="BD56" s="12">
        <f>IF('Données projet'!$A$88&gt;35,BD55+BC56-BL55,IF(A56&lt;'Données projet'!$A$88,$BA$205^A56,IF(A56='Données projet'!$A$88,'Données projet'!$B$88,BD55+BC56-BL55)))</f>
        <v>231.37499999999989</v>
      </c>
      <c r="BE56" s="13">
        <f>BD56*VLOOKUP('Données projet'!$B$11,Paramètres!$A$1:$I$89,3,0)*VLOOKUP('Données projet'!$B$11,Paramètres!$A$1:$I$89,5,0)</f>
        <v>180.47249999999991</v>
      </c>
      <c r="BF56" s="13">
        <f t="shared" si="37"/>
        <v>45.427292666837829</v>
      </c>
      <c r="BG56" s="20">
        <f t="shared" si="7"/>
        <v>393.44213889474241</v>
      </c>
      <c r="BH56" s="59">
        <f t="shared" si="8"/>
        <v>686.77547222807573</v>
      </c>
      <c r="BI56" s="59">
        <f ca="1">AVERAGE(OFFSET($BH$3,0,0,'Données projet'!$E$11+1,1))-AVERAGE(OFFSET($H$3,0,0,'Données projet'!$E$11+1,1))</f>
        <v>288.82868507674738</v>
      </c>
      <c r="BJ56" s="59">
        <f t="shared" si="38"/>
        <v>283.48738729114024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9.2365979930041266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9.2365979930041266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1.3338500000000011</v>
      </c>
      <c r="BY56" s="12">
        <f>IF('Données projet'!$A$114&gt;35,BY55+BX56-CG55,IF(A56&lt;'Données projet'!$A$114,$BV$205^A56,IF(A56='Données projet'!$A$114,'Données projet'!$B$114,BY55+BX56-CG55)))</f>
        <v>46.901049999999991</v>
      </c>
      <c r="BZ56" s="13">
        <f>BY56*VLOOKUP('Données projet'!$B$12,Paramètres!$A$1:$I$89,3,0)*VLOOKUP('Données projet'!$B$12,Paramètres!$A$1:$I$89,5,0)</f>
        <v>40.972757279999996</v>
      </c>
      <c r="CA56" s="13">
        <f t="shared" si="39"/>
        <v>12.256114669640578</v>
      </c>
      <c r="CB56" s="20">
        <f t="shared" si="10"/>
        <v>92.706951978957321</v>
      </c>
      <c r="CC56" s="59">
        <f t="shared" si="11"/>
        <v>386.04028531229062</v>
      </c>
      <c r="CD56" s="59">
        <f ca="1">AVERAGE(OFFSET($CC$3,0,0,'Données projet'!$E$12+1,1))-AVERAGE(OFFSET($H$3,0,0,'Données projet'!$E$12+1,1))</f>
        <v>93.329407403816901</v>
      </c>
      <c r="CE56" s="59">
        <f t="shared" si="40"/>
        <v>90.925148357295313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1.5305183023399744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1.5305183023399744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15</v>
      </c>
      <c r="CT56" s="12">
        <f>IF('Données projet'!$A$140&gt;35,CT55+CS56-DB55,IF(A56&lt;'Données projet'!$A$140,$CQ$205^A56,IF(A56='Données projet'!$A$140,'Données projet'!$B$140,CT55+CS56-DB55)))</f>
        <v>471.99999999999977</v>
      </c>
      <c r="CU56" s="17">
        <f>CT56*VLOOKUP('Données projet'!$B$13,Paramètres!$A$1:$I$89,3,0)*VLOOKUP('Données projet'!$B$13,Paramètres!$A$1:$I$89,5,0)</f>
        <v>449.15519999999975</v>
      </c>
      <c r="CV56" s="13">
        <f t="shared" si="41"/>
        <v>101.67391631104195</v>
      </c>
      <c r="CW56" s="20">
        <f t="shared" si="13"/>
        <v>959.36071090839766</v>
      </c>
      <c r="CX56" s="59">
        <f t="shared" si="14"/>
        <v>1252.694044241731</v>
      </c>
      <c r="CY56" s="59">
        <f ca="1">AVERAGE(OFFSET($CX$3,0,0,'Données projet'!$E$13+1,1))-AVERAGE(OFFSET($H$3,0,0,'Données projet'!$E$13+1,1))</f>
        <v>805.04572055352492</v>
      </c>
      <c r="CZ56" s="59">
        <f t="shared" si="42"/>
        <v>708.66645042414962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19.567394677673313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19.567394677673313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9.8000000000000007</v>
      </c>
      <c r="DO56" s="12">
        <f>IF('Données projet'!$A$166&gt;35,DO55+DN56-DW55,IF(A56&lt;'Données projet'!$A$166,$DL$205^A56,IF(A56='Données projet'!$A$166,'Données projet'!$B$166,DO55+DN56-DW55)))</f>
        <v>356.4</v>
      </c>
      <c r="DP56" s="17">
        <f>DO56*VLOOKUP('Données projet'!$B$14,Paramètres!$A$1:$I$89,3,0)*VLOOKUP('Données projet'!$B$14,Paramètres!$A$1:$I$89,5,0)</f>
        <v>239.07311999999999</v>
      </c>
      <c r="DQ56" s="13">
        <f t="shared" si="43"/>
        <v>58.240062846534926</v>
      </c>
      <c r="DR56" s="20">
        <f t="shared" si="16"/>
        <v>517.82046012438161</v>
      </c>
      <c r="DS56" s="59">
        <f t="shared" si="17"/>
        <v>811.15379345771498</v>
      </c>
      <c r="DT56" s="59">
        <f ca="1">AVERAGE(OFFSET($DS$3,0,0,'Données projet'!$E$14+1,1))-AVERAGE(OFFSET($H$3,0,0,'Données projet'!$E$14+1,1))</f>
        <v>482.69499576870095</v>
      </c>
      <c r="DU56" s="59">
        <f t="shared" si="44"/>
        <v>384.28918352579575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8.4606661081832737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8.4606661081832737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1.7053025658242404E-13</v>
      </c>
      <c r="EK56" s="17">
        <f>EJ56*VLOOKUP('Données projet'!$B$15,Paramètres!$A$1:$I$89,3,0)*VLOOKUP('Données projet'!$B$15,Paramètres!$A$1:$I$89,5,0)</f>
        <v>1.250327841262333E-13</v>
      </c>
      <c r="EL56" s="13">
        <f t="shared" si="45"/>
        <v>1.8301318724634299E-12</v>
      </c>
      <c r="EM56" s="20">
        <f t="shared" si="19"/>
        <v>3.405245110226996E-12</v>
      </c>
      <c r="EN56" s="59">
        <f t="shared" si="20"/>
        <v>293.33333333333672</v>
      </c>
      <c r="EO56" s="59">
        <f ca="1">AVERAGE(OFFSET($EN$3,0,0,'Données projet'!$E$15+1,1))-AVERAGE(OFFSET($H$3,0,0,'Données projet'!$E$15+1,1))</f>
        <v>197.34725966440715</v>
      </c>
      <c r="EP56" s="59">
        <f t="shared" si="46"/>
        <v>240.16326570529532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41.22820210951123</v>
      </c>
      <c r="EW56" s="21">
        <f>EXP(-LN(2)/25)*EW55+(1-EXP(-LN(2)/25))/(LN(2)/25)*Calculateur!ER56*Calculateur!ET56*VLOOKUP('Données projet'!$B$15,Paramètres!$A$1:$I$89,3,0)*0.475*44/12</f>
        <v>28.340812127241204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69.569014236752437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2.2737367544323206E-13</v>
      </c>
      <c r="FF56" s="17">
        <f>FE56*VLOOKUP('Données projet'!$B$16,Paramètres!$A$1:$I$89,3,0)*VLOOKUP('Données projet'!$B$16,Paramètres!$A$1:$I$89,5,0)</f>
        <v>1.2710188457276673E-13</v>
      </c>
      <c r="FG56" s="13">
        <f t="shared" si="47"/>
        <v>1.856866851063998E-12</v>
      </c>
      <c r="FH56" s="20">
        <f t="shared" si="22"/>
        <v>3.4554122145673649E-12</v>
      </c>
      <c r="FI56" s="59">
        <f t="shared" si="23"/>
        <v>293.33333333333678</v>
      </c>
      <c r="FJ56" s="59">
        <f ca="1">AVERAGE(OFFSET($FI$3,0,0,'Données projet'!$E$16+1,1))-AVERAGE(OFFSET($H$3,0,0,'Données projet'!$E$16+1,1))</f>
        <v>346.42094266871379</v>
      </c>
      <c r="FK56" s="59">
        <f t="shared" si="48"/>
        <v>453.48153556975973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196.72934803297107</v>
      </c>
      <c r="FR56" s="21">
        <f>EXP(-LN(2)/25)*FR55+(1-EXP(-LN(2)/25))/(LN(2)/25)*Calculateur!FM56*Calculateur!FO56*VLOOKUP('Données projet'!$B$16,Paramètres!$A$1:$I$89,3,0)*0.475*44/12</f>
        <v>128.1041282033523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324.83347623632335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13.500000000000004</v>
      </c>
      <c r="FZ56" s="12">
        <f>IF('Données projet'!$A$244&gt;35,FZ55+FY56-GH55,IF(A56&lt;'Données projet'!$A$244,$FW$205^A56,IF(A56='Données projet'!$A$244,'Données projet'!$B$244,FZ55+FY56-GH55)))</f>
        <v>289.9559999999999</v>
      </c>
      <c r="GA56" s="17">
        <f>FZ56*VLOOKUP('Données projet'!$B$17,Paramètres!$A$1:$I$89,3,0)*VLOOKUP('Données projet'!$B$17,Paramètres!$A$1:$I$89,5,0)</f>
        <v>135.69940799999995</v>
      </c>
      <c r="GB56" s="13">
        <f t="shared" si="49"/>
        <v>35.310018422992826</v>
      </c>
      <c r="GC56" s="20">
        <f t="shared" si="25"/>
        <v>297.84141768671242</v>
      </c>
      <c r="GD56" s="59">
        <f t="shared" si="26"/>
        <v>591.17475102004573</v>
      </c>
      <c r="GE56" s="59">
        <f ca="1">AVERAGE(OFFSET($GD$3,0,0,'Données projet'!$E$17+1,1))-AVERAGE(OFFSET($H$3,0,0,'Données projet'!$E$17+1,1))</f>
        <v>198.26255998041</v>
      </c>
      <c r="GF56" s="59">
        <f t="shared" si="50"/>
        <v>238.62101708181166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20.540333071293755</v>
      </c>
      <c r="GM56" s="21">
        <f>EXP(-LN(2)/25)*GM55+(1-EXP(-LN(2)/25))/(LN(2)/25)*Calculateur!GH56*Calculateur!GJ56*VLOOKUP('Données projet'!$B$17,Paramètres!$A$1:$I$89,3,0)*0.475*44/12</f>
        <v>27.973574050021654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48.513907121315412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15.7</v>
      </c>
      <c r="GU56" s="12">
        <f>IF('Données projet'!$A$270&gt;35,GU55+GT56-HC55,IF(A56&lt;'Données projet'!$A$270,$GR$205^A56,IF(A56='Données projet'!$A$270,'Données projet'!$B$270,GU55+GT56-HC55)))</f>
        <v>283.10000000000008</v>
      </c>
      <c r="GV56" s="17">
        <f>GU56*VLOOKUP('Données projet'!$B$18,Paramètres!$A$1:$I$89,3,0)*VLOOKUP('Données projet'!$B$18,Paramètres!$A$1:$I$89,5,0)</f>
        <v>326.13120000000009</v>
      </c>
      <c r="GW56" s="13">
        <f t="shared" si="51"/>
        <v>76.627656537025743</v>
      </c>
      <c r="GX56" s="20">
        <f t="shared" si="28"/>
        <v>701.47167513531997</v>
      </c>
      <c r="GY56" s="59">
        <f t="shared" si="29"/>
        <v>994.80500846865334</v>
      </c>
      <c r="GZ56" s="59">
        <f ca="1">AVERAGE(OFFSET($GY$3,0,0,'Données projet'!$E$18+1,1))-AVERAGE(OFFSET($H$3,0,0,'Données projet'!$E$18+1,1))</f>
        <v>604.0566904089452</v>
      </c>
      <c r="HA56" s="59">
        <f t="shared" si="52"/>
        <v>369.5187835902687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24.30612378437857</v>
      </c>
      <c r="HH56" s="21">
        <f>EXP(-LN(2)/25)*HH55+(1-EXP(-LN(2)/25))/(LN(2)/25)*Calculateur!HC56*Calculateur!HE56*VLOOKUP('Données projet'!$B$18,Paramètres!$A$1:$I$89,3,0)*0.475*44/12</f>
        <v>22.927048108470629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47.233171892849199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10.125</v>
      </c>
      <c r="N57" s="13">
        <f>IF('Données projet'!$A$36&gt;35,N56+M57-V56,IF(A57&lt;'Données projet'!$A$36,$K$205^A57,IF(A57='Données projet'!$A$36,'Données projet'!$B$36,N56+M57-V56)))</f>
        <v>189.25</v>
      </c>
      <c r="O57" s="13">
        <f>N57*VLOOKUP('Données projet'!$B$9,Paramètres!$A$1:$I$89,3,0)*VLOOKUP('Données projet'!$B$9,Paramètres!$A$1:$I$89,5,0)</f>
        <v>171.23339999999999</v>
      </c>
      <c r="P57" s="13">
        <f t="shared" si="33"/>
        <v>43.366147824369882</v>
      </c>
      <c r="Q57" s="20">
        <f t="shared" si="53"/>
        <v>373.76087912744418</v>
      </c>
      <c r="R57" s="59">
        <f t="shared" si="0"/>
        <v>667.0942124607775</v>
      </c>
      <c r="S57" s="59">
        <f ca="1">AVERAGE(OFFSET($R$3,0,0,'Données projet'!$E$9+1,1))-AVERAGE(OFFSET($H$3,0,0,'Données projet'!$E$9+1,1))</f>
        <v>528.20489749461376</v>
      </c>
      <c r="T57" s="59">
        <f t="shared" si="34"/>
        <v>276.26988364830532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12.788022746332956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12.788022746332956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2.2737367544323206E-13</v>
      </c>
      <c r="AJ57" s="13">
        <f>AI57*VLOOKUP('Données projet'!$B$10,Paramètres!$A$1:$I$89,3,0)*VLOOKUP('Données projet'!$B$10,Paramètres!$A$1:$I$89,5,0)</f>
        <v>2.0572770154103635E-13</v>
      </c>
      <c r="AK57" s="13">
        <f t="shared" si="35"/>
        <v>2.8416956338469711E-12</v>
      </c>
      <c r="AL57" s="20">
        <f t="shared" si="4"/>
        <v>5.3075956424674458E-12</v>
      </c>
      <c r="AM57" s="59">
        <f t="shared" si="5"/>
        <v>293.3333333333386</v>
      </c>
      <c r="AN57" s="59">
        <f ca="1">AVERAGE(OFFSET($AM$3,0,0,'Données projet'!$E$10+1,1))-AVERAGE(OFFSET($H$3,0,0,'Données projet'!$E$10+1,1))</f>
        <v>436.23918637269577</v>
      </c>
      <c r="AO57" s="59">
        <f t="shared" si="36"/>
        <v>611.43967996341894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61.099546403394974</v>
      </c>
      <c r="AV57" s="21">
        <f>EXP(-LN(2)/25)*AV56+(1-EXP(-LN(2)/25))/(LN(2)/25)*Calculateur!AQ57*Calculateur!AS57*VLOOKUP('Données projet'!$B$10,Paramètres!$A$1:$I$89,3,0)*0.475*44/12</f>
        <v>33.727300974604383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94.826847377999357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9.375</v>
      </c>
      <c r="BD57" s="12">
        <f>IF('Données projet'!$A$88&gt;35,BD56+BC57-BL56,IF(A57&lt;'Données projet'!$A$88,$BA$205^A57,IF(A57='Données projet'!$A$88,'Données projet'!$B$88,BD56+BC57-BL56)))</f>
        <v>240.74999999999989</v>
      </c>
      <c r="BE57" s="13">
        <f>BD57*VLOOKUP('Données projet'!$B$11,Paramètres!$A$1:$I$89,3,0)*VLOOKUP('Données projet'!$B$11,Paramètres!$A$1:$I$89,5,0)</f>
        <v>187.78499999999991</v>
      </c>
      <c r="BF57" s="13">
        <f t="shared" si="37"/>
        <v>47.049914090154054</v>
      </c>
      <c r="BG57" s="20">
        <f t="shared" si="7"/>
        <v>409.0041420403515</v>
      </c>
      <c r="BH57" s="59">
        <f t="shared" si="8"/>
        <v>702.33747537368481</v>
      </c>
      <c r="BI57" s="59">
        <f ca="1">AVERAGE(OFFSET($BH$3,0,0,'Données projet'!$E$11+1,1))-AVERAGE(OFFSET($H$3,0,0,'Données projet'!$E$11+1,1))</f>
        <v>288.82868507674738</v>
      </c>
      <c r="BJ57" s="59">
        <f t="shared" si="38"/>
        <v>283.48738729114024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9.0554739401298026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9.0554739401298026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1.3338500000000011</v>
      </c>
      <c r="BY57" s="12">
        <f>IF('Données projet'!$A$114&gt;35,BY56+BX57-CG56,IF(A57&lt;'Données projet'!$A$114,$BV$205^A57,IF(A57='Données projet'!$A$114,'Données projet'!$B$114,BY56+BX57-CG56)))</f>
        <v>48.234899999999989</v>
      </c>
      <c r="BZ57" s="13">
        <f>BY57*VLOOKUP('Données projet'!$B$12,Paramètres!$A$1:$I$89,3,0)*VLOOKUP('Données projet'!$B$12,Paramètres!$A$1:$I$89,5,0)</f>
        <v>42.138008639999995</v>
      </c>
      <c r="CA57" s="13">
        <f t="shared" si="39"/>
        <v>12.563597608421443</v>
      </c>
      <c r="CB57" s="20">
        <f t="shared" si="10"/>
        <v>95.271964216000683</v>
      </c>
      <c r="CC57" s="59">
        <f t="shared" si="11"/>
        <v>388.60529754933401</v>
      </c>
      <c r="CD57" s="59">
        <f ca="1">AVERAGE(OFFSET($CC$3,0,0,'Données projet'!$E$12+1,1))-AVERAGE(OFFSET($H$3,0,0,'Données projet'!$E$12+1,1))</f>
        <v>93.329407403816901</v>
      </c>
      <c r="CE57" s="59">
        <f t="shared" si="40"/>
        <v>90.925148357295313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1.5005057719550741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1.5005057719550741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15</v>
      </c>
      <c r="CT57" s="12">
        <f>IF('Données projet'!$A$140&gt;35,CT56+CS57-DB56,IF(A57&lt;'Données projet'!$A$140,$CQ$205^A57,IF(A57='Données projet'!$A$140,'Données projet'!$B$140,CT56+CS57-DB56)))</f>
        <v>486.99999999999977</v>
      </c>
      <c r="CU57" s="17">
        <f>CT57*VLOOKUP('Données projet'!$B$13,Paramètres!$A$1:$I$89,3,0)*VLOOKUP('Données projet'!$B$13,Paramètres!$A$1:$I$89,5,0)</f>
        <v>463.42919999999981</v>
      </c>
      <c r="CV57" s="13">
        <f t="shared" si="41"/>
        <v>104.52375235776786</v>
      </c>
      <c r="CW57" s="20">
        <f t="shared" si="13"/>
        <v>989.18472535644526</v>
      </c>
      <c r="CX57" s="59">
        <f t="shared" si="14"/>
        <v>1282.5180586897786</v>
      </c>
      <c r="CY57" s="59">
        <f ca="1">AVERAGE(OFFSET($CX$3,0,0,'Données projet'!$E$13+1,1))-AVERAGE(OFFSET($H$3,0,0,'Données projet'!$E$13+1,1))</f>
        <v>805.04572055352492</v>
      </c>
      <c r="CZ57" s="59">
        <f t="shared" si="42"/>
        <v>708.66645042414962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19.183690002976416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19.183690002976416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9.8000000000000007</v>
      </c>
      <c r="DO57" s="12">
        <f>IF('Données projet'!$A$166&gt;35,DO56+DN57-DW56,IF(A57&lt;'Données projet'!$A$166,$DL$205^A57,IF(A57='Données projet'!$A$166,'Données projet'!$B$166,DO56+DN57-DW56)))</f>
        <v>366.2</v>
      </c>
      <c r="DP57" s="17">
        <f>DO57*VLOOKUP('Données projet'!$B$14,Paramètres!$A$1:$I$89,3,0)*VLOOKUP('Données projet'!$B$14,Paramètres!$A$1:$I$89,5,0)</f>
        <v>245.64695999999998</v>
      </c>
      <c r="DQ57" s="13">
        <f t="shared" si="43"/>
        <v>59.652852057444669</v>
      </c>
      <c r="DR57" s="20">
        <f t="shared" si="16"/>
        <v>531.73050600004944</v>
      </c>
      <c r="DS57" s="59">
        <f t="shared" si="17"/>
        <v>825.0638393333827</v>
      </c>
      <c r="DT57" s="59">
        <f ca="1">AVERAGE(OFFSET($DS$3,0,0,'Données projet'!$E$14+1,1))-AVERAGE(OFFSET($H$3,0,0,'Données projet'!$E$14+1,1))</f>
        <v>482.69499576870095</v>
      </c>
      <c r="DU57" s="59">
        <f t="shared" si="44"/>
        <v>384.28918352579575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8.2947576062985693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8.2947576062985693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1.7053025658242404E-13</v>
      </c>
      <c r="EK57" s="17">
        <f>EJ57*VLOOKUP('Données projet'!$B$15,Paramètres!$A$1:$I$89,3,0)*VLOOKUP('Données projet'!$B$15,Paramètres!$A$1:$I$89,5,0)</f>
        <v>1.250327841262333E-13</v>
      </c>
      <c r="EL57" s="13">
        <f t="shared" si="45"/>
        <v>1.8301318724634299E-12</v>
      </c>
      <c r="EM57" s="20">
        <f t="shared" si="19"/>
        <v>3.405245110226996E-12</v>
      </c>
      <c r="EN57" s="59">
        <f t="shared" si="20"/>
        <v>293.33333333333672</v>
      </c>
      <c r="EO57" s="59">
        <f ca="1">AVERAGE(OFFSET($EN$3,0,0,'Données projet'!$E$15+1,1))-AVERAGE(OFFSET($H$3,0,0,'Données projet'!$E$15+1,1))</f>
        <v>197.34725966440715</v>
      </c>
      <c r="EP57" s="59">
        <f t="shared" si="46"/>
        <v>240.16326570529532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40.419742212863966</v>
      </c>
      <c r="EW57" s="21">
        <f>EXP(-LN(2)/25)*EW56+(1-EXP(-LN(2)/25))/(LN(2)/25)*Calculateur!ER57*Calculateur!ET57*VLOOKUP('Données projet'!$B$15,Paramètres!$A$1:$I$89,3,0)*0.475*44/12</f>
        <v>27.565831129243257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67.985573342107216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2.2737367544323206E-13</v>
      </c>
      <c r="FF57" s="17">
        <f>FE57*VLOOKUP('Données projet'!$B$16,Paramètres!$A$1:$I$89,3,0)*VLOOKUP('Données projet'!$B$16,Paramètres!$A$1:$I$89,5,0)</f>
        <v>1.2710188457276673E-13</v>
      </c>
      <c r="FG57" s="13">
        <f t="shared" si="47"/>
        <v>1.856866851063998E-12</v>
      </c>
      <c r="FH57" s="20">
        <f t="shared" si="22"/>
        <v>3.4554122145673649E-12</v>
      </c>
      <c r="FI57" s="59">
        <f t="shared" si="23"/>
        <v>293.33333333333678</v>
      </c>
      <c r="FJ57" s="59">
        <f ca="1">AVERAGE(OFFSET($FI$3,0,0,'Données projet'!$E$16+1,1))-AVERAGE(OFFSET($H$3,0,0,'Données projet'!$E$16+1,1))</f>
        <v>346.42094266871379</v>
      </c>
      <c r="FK57" s="59">
        <f t="shared" si="48"/>
        <v>453.48153556975973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192.87160551109849</v>
      </c>
      <c r="FR57" s="21">
        <f>EXP(-LN(2)/25)*FR56+(1-EXP(-LN(2)/25))/(LN(2)/25)*Calculateur!FM57*Calculateur!FO57*VLOOKUP('Données projet'!$B$16,Paramètres!$A$1:$I$89,3,0)*0.475*44/12</f>
        <v>124.60111408092831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317.47271959202681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13.500000000000004</v>
      </c>
      <c r="FZ57" s="12">
        <f>IF('Données projet'!$A$244&gt;35,FZ56+FY57-GH56,IF(A57&lt;'Données projet'!$A$244,$FW$205^A57,IF(A57='Données projet'!$A$244,'Données projet'!$B$244,FZ56+FY57-GH56)))</f>
        <v>303.4559999999999</v>
      </c>
      <c r="GA57" s="17">
        <f>FZ57*VLOOKUP('Données projet'!$B$17,Paramètres!$A$1:$I$89,3,0)*VLOOKUP('Données projet'!$B$17,Paramètres!$A$1:$I$89,5,0)</f>
        <v>142.01740799999996</v>
      </c>
      <c r="GB57" s="13">
        <f t="shared" si="49"/>
        <v>36.758779803768832</v>
      </c>
      <c r="GC57" s="20">
        <f t="shared" si="25"/>
        <v>311.36852709156392</v>
      </c>
      <c r="GD57" s="59">
        <f t="shared" si="26"/>
        <v>604.70186042489718</v>
      </c>
      <c r="GE57" s="59">
        <f ca="1">AVERAGE(OFFSET($GD$3,0,0,'Données projet'!$E$17+1,1))-AVERAGE(OFFSET($H$3,0,0,'Données projet'!$E$17+1,1))</f>
        <v>198.26255998041</v>
      </c>
      <c r="GF57" s="59">
        <f t="shared" si="50"/>
        <v>238.62101708181166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20.137549668131786</v>
      </c>
      <c r="GM57" s="21">
        <f>EXP(-LN(2)/25)*GM56+(1-EXP(-LN(2)/25))/(LN(2)/25)*Calculateur!GH57*Calculateur!GJ57*VLOOKUP('Données projet'!$B$17,Paramètres!$A$1:$I$89,3,0)*0.475*44/12</f>
        <v>27.208635196557488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47.346184864689278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15.7</v>
      </c>
      <c r="GU57" s="12">
        <f>IF('Données projet'!$A$270&gt;35,GU56+GT57-HC56,IF(A57&lt;'Données projet'!$A$270,$GR$205^A57,IF(A57='Données projet'!$A$270,'Données projet'!$B$270,GU56+GT57-HC56)))</f>
        <v>298.80000000000007</v>
      </c>
      <c r="GV57" s="17">
        <f>GU57*VLOOKUP('Données projet'!$B$18,Paramètres!$A$1:$I$89,3,0)*VLOOKUP('Données projet'!$B$18,Paramètres!$A$1:$I$89,5,0)</f>
        <v>344.21760000000006</v>
      </c>
      <c r="GW57" s="13">
        <f t="shared" si="51"/>
        <v>80.370703071779545</v>
      </c>
      <c r="GX57" s="20">
        <f t="shared" si="28"/>
        <v>739.49129451668284</v>
      </c>
      <c r="GY57" s="59">
        <f t="shared" si="29"/>
        <v>1032.8246278500162</v>
      </c>
      <c r="GZ57" s="59">
        <f ca="1">AVERAGE(OFFSET($GY$3,0,0,'Données projet'!$E$18+1,1))-AVERAGE(OFFSET($H$3,0,0,'Données projet'!$E$18+1,1))</f>
        <v>604.0566904089452</v>
      </c>
      <c r="HA57" s="59">
        <f t="shared" si="52"/>
        <v>369.5187835902687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23.829495522238542</v>
      </c>
      <c r="HH57" s="21">
        <f>EXP(-LN(2)/25)*HH56+(1-EXP(-LN(2)/25))/(LN(2)/25)*Calculateur!HC57*Calculateur!HE57*VLOOKUP('Données projet'!$B$18,Paramètres!$A$1:$I$89,3,0)*0.475*44/12</f>
        <v>22.30010677226344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46.129602294501979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10.125</v>
      </c>
      <c r="N58" s="13">
        <f>IF('Données projet'!$A$36&gt;35,N57+M58-V57,IF(A58&lt;'Données projet'!$A$36,$K$205^A58,IF(A58='Données projet'!$A$36,'Données projet'!$B$36,N57+M58-V57)))</f>
        <v>199.375</v>
      </c>
      <c r="O58" s="13">
        <f>N58*VLOOKUP('Données projet'!$B$9,Paramètres!$A$1:$I$89,3,0)*VLOOKUP('Données projet'!$B$9,Paramètres!$A$1:$I$89,5,0)</f>
        <v>180.39449999999999</v>
      </c>
      <c r="P58" s="13">
        <f t="shared" si="33"/>
        <v>45.409943962080618</v>
      </c>
      <c r="Q58" s="20">
        <f t="shared" si="53"/>
        <v>393.27607323395705</v>
      </c>
      <c r="R58" s="59">
        <f t="shared" si="0"/>
        <v>686.60940656729031</v>
      </c>
      <c r="S58" s="59">
        <f ca="1">AVERAGE(OFFSET($R$3,0,0,'Données projet'!$E$9+1,1))-AVERAGE(OFFSET($H$3,0,0,'Données projet'!$E$9+1,1))</f>
        <v>528.20489749461376</v>
      </c>
      <c r="T58" s="59">
        <f t="shared" si="34"/>
        <v>276.26988364830532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12.537257420201064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12.537257420201064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2.2737367544323206E-13</v>
      </c>
      <c r="AJ58" s="13">
        <f>AI58*VLOOKUP('Données projet'!$B$10,Paramètres!$A$1:$I$89,3,0)*VLOOKUP('Données projet'!$B$10,Paramètres!$A$1:$I$89,5,0)</f>
        <v>2.0572770154103635E-13</v>
      </c>
      <c r="AK58" s="13">
        <f t="shared" si="35"/>
        <v>2.8416956338469711E-12</v>
      </c>
      <c r="AL58" s="20">
        <f t="shared" si="4"/>
        <v>5.3075956424674458E-12</v>
      </c>
      <c r="AM58" s="59">
        <f t="shared" si="5"/>
        <v>293.3333333333386</v>
      </c>
      <c r="AN58" s="59">
        <f ca="1">AVERAGE(OFFSET($AM$3,0,0,'Données projet'!$E$10+1,1))-AVERAGE(OFFSET($H$3,0,0,'Données projet'!$E$10+1,1))</f>
        <v>436.23918637269577</v>
      </c>
      <c r="AO58" s="59">
        <f t="shared" si="36"/>
        <v>611.43967996341894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59.901421565467892</v>
      </c>
      <c r="AV58" s="21">
        <f>EXP(-LN(2)/25)*AV57+(1-EXP(-LN(2)/25))/(LN(2)/25)*Calculateur!AQ58*Calculateur!AS58*VLOOKUP('Données projet'!$B$10,Paramètres!$A$1:$I$89,3,0)*0.475*44/12</f>
        <v>32.805026155812151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92.706447721280043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9.375</v>
      </c>
      <c r="BD58" s="12">
        <f>IF('Données projet'!$A$88&gt;35,BD57+BC58-BL57,IF(A58&lt;'Données projet'!$A$88,$BA$205^A58,IF(A58='Données projet'!$A$88,'Données projet'!$B$88,BD57+BC58-BL57)))</f>
        <v>250.12499999999989</v>
      </c>
      <c r="BE58" s="13">
        <f>BD58*VLOOKUP('Données projet'!$B$11,Paramètres!$A$1:$I$89,3,0)*VLOOKUP('Données projet'!$B$11,Paramètres!$A$1:$I$89,5,0)</f>
        <v>195.09749999999991</v>
      </c>
      <c r="BF58" s="13">
        <f t="shared" si="37"/>
        <v>48.66519532492579</v>
      </c>
      <c r="BG58" s="20">
        <f t="shared" si="7"/>
        <v>424.55336102424553</v>
      </c>
      <c r="BH58" s="59">
        <f t="shared" si="8"/>
        <v>717.88669435757879</v>
      </c>
      <c r="BI58" s="59">
        <f ca="1">AVERAGE(OFFSET($BH$3,0,0,'Données projet'!$E$11+1,1))-AVERAGE(OFFSET($H$3,0,0,'Données projet'!$E$11+1,1))</f>
        <v>288.82868507674738</v>
      </c>
      <c r="BJ58" s="59">
        <f t="shared" si="38"/>
        <v>283.48738729114024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8.8779016194575799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8.8779016194575799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49.568750000000001</v>
      </c>
      <c r="BW58" s="12">
        <f>VLOOKUP(A58,'Données projet'!$A$113:$I$133,9,0)</f>
        <v>1.3338500000000011</v>
      </c>
      <c r="BX58" s="12">
        <f t="array" ref="BX58">INDEX(BW:BW,MIN(IF(ISNUMBER(BW58:BW254),ROW(BW58:BW254),"")))</f>
        <v>1.3338500000000011</v>
      </c>
      <c r="BY58" s="12">
        <f>IF('Données projet'!$A$114&gt;35,BY57+BX58-CG57,IF(A58&lt;'Données projet'!$A$114,$BV$205^A58,IF(A58='Données projet'!$A$114,'Données projet'!$B$114,BY57+BX58-CG57)))</f>
        <v>49.568749999999987</v>
      </c>
      <c r="BZ58" s="13">
        <f>BY58*VLOOKUP('Données projet'!$B$12,Paramètres!$A$1:$I$89,3,0)*VLOOKUP('Données projet'!$B$12,Paramètres!$A$1:$I$89,5,0)</f>
        <v>43.303259999999995</v>
      </c>
      <c r="CA58" s="13">
        <f t="shared" si="39"/>
        <v>12.870092268733849</v>
      </c>
      <c r="CB58" s="20">
        <f t="shared" si="10"/>
        <v>97.835255201378104</v>
      </c>
      <c r="CC58" s="59">
        <f t="shared" si="11"/>
        <v>391.16858853471143</v>
      </c>
      <c r="CD58" s="59">
        <f ca="1">AVERAGE(OFFSET($CC$3,0,0,'Données projet'!$E$12+1,1))-AVERAGE(OFFSET($H$3,0,0,'Données projet'!$E$12+1,1))</f>
        <v>93.329407403816901</v>
      </c>
      <c r="CE58" s="59">
        <f t="shared" si="40"/>
        <v>90.925148357295313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3.2444999999999999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1.8752826209214437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1.8752826209214437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502</v>
      </c>
      <c r="CR58" s="12">
        <f>VLOOKUP(A58,'Données projet'!$A$139:$I$159,9,0)</f>
        <v>15</v>
      </c>
      <c r="CS58" s="12">
        <f t="array" ref="CS58">INDEX(CR:CR,MIN(IF(ISNUMBER(CR58:CR254),ROW(CR58:CR254),"")))</f>
        <v>15</v>
      </c>
      <c r="CT58" s="12">
        <f>IF('Données projet'!$A$140&gt;35,CT57+CS58-DB57,IF(A58&lt;'Données projet'!$A$140,$CQ$205^A58,IF(A58='Données projet'!$A$140,'Données projet'!$B$140,CT57+CS58-DB57)))</f>
        <v>501.99999999999977</v>
      </c>
      <c r="CU58" s="17">
        <f>CT58*VLOOKUP('Données projet'!$B$13,Paramètres!$A$1:$I$89,3,0)*VLOOKUP('Données projet'!$B$13,Paramètres!$A$1:$I$89,5,0)</f>
        <v>477.70319999999981</v>
      </c>
      <c r="CV58" s="13">
        <f t="shared" si="41"/>
        <v>107.36338771743978</v>
      </c>
      <c r="CW58" s="20">
        <f t="shared" si="13"/>
        <v>1018.9909736078739</v>
      </c>
      <c r="CX58" s="59">
        <f t="shared" si="14"/>
        <v>1312.3243069412072</v>
      </c>
      <c r="CY58" s="59">
        <f ca="1">AVERAGE(OFFSET($CX$3,0,0,'Données projet'!$E$13+1,1))-AVERAGE(OFFSET($H$3,0,0,'Données projet'!$E$13+1,1))</f>
        <v>805.04572055352492</v>
      </c>
      <c r="CZ58" s="59">
        <f t="shared" si="42"/>
        <v>708.66645042414962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58</v>
      </c>
      <c r="DC58" s="16">
        <f>IF(ISNA(VLOOKUP(A58,'Données projet'!$A$139:$I$159,5,0)),0%,VLOOKUP(A58,'Données projet'!$A$139:$I$159,5,0)*VLOOKUP('Données projet'!$B$13,Paramètres!$A$1:$I$89,7,0))</f>
        <v>0.129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26.678316260603303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26.678316260603303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376</v>
      </c>
      <c r="DM58" s="12">
        <f>VLOOKUP(A58,'Données projet'!$A$165:$I$185,9,0)</f>
        <v>9.8000000000000007</v>
      </c>
      <c r="DN58" s="12">
        <f t="array" ref="DN58">INDEX(DM:DM,MIN(IF(ISNUMBER(DM58:DM254),ROW(DM58:DM254),"")))</f>
        <v>9.8000000000000007</v>
      </c>
      <c r="DO58" s="12">
        <f>IF('Données projet'!$A$166&gt;35,DO57+DN58-DW57,IF(A58&lt;'Données projet'!$A$166,$DL$205^A58,IF(A58='Données projet'!$A$166,'Données projet'!$B$166,DO57+DN58-DW57)))</f>
        <v>376</v>
      </c>
      <c r="DP58" s="17">
        <f>DO58*VLOOKUP('Données projet'!$B$14,Paramètres!$A$1:$I$89,3,0)*VLOOKUP('Données projet'!$B$14,Paramètres!$A$1:$I$89,5,0)</f>
        <v>252.22080000000003</v>
      </c>
      <c r="DQ58" s="13">
        <f t="shared" si="43"/>
        <v>61.061246695931622</v>
      </c>
      <c r="DR58" s="20">
        <f t="shared" si="16"/>
        <v>545.63289799541417</v>
      </c>
      <c r="DS58" s="59">
        <f t="shared" si="17"/>
        <v>838.96623132874743</v>
      </c>
      <c r="DT58" s="59">
        <f ca="1">AVERAGE(OFFSET($DS$3,0,0,'Données projet'!$E$14+1,1))-AVERAGE(OFFSET($H$3,0,0,'Données projet'!$E$14+1,1))</f>
        <v>482.69499576870095</v>
      </c>
      <c r="DU58" s="59">
        <f t="shared" si="44"/>
        <v>384.28918352579575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24</v>
      </c>
      <c r="DX58" s="16">
        <f>IF(ISNA(VLOOKUP(A58,'Données projet'!$A$165:$I$185,5,0)),0%,VLOOKUP(A58,'Données projet'!$A$165:$I$185,5,0)*VLOOKUP('Données projet'!$B$14,Paramètres!$A$1:$I$89,7,0))</f>
        <v>0.159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10.961855477675753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10.961855477675753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1.7053025658242404E-13</v>
      </c>
      <c r="EK58" s="17">
        <f>EJ58*VLOOKUP('Données projet'!$B$15,Paramètres!$A$1:$I$89,3,0)*VLOOKUP('Données projet'!$B$15,Paramètres!$A$1:$I$89,5,0)</f>
        <v>1.250327841262333E-13</v>
      </c>
      <c r="EL58" s="13">
        <f t="shared" si="45"/>
        <v>1.8301318724634299E-12</v>
      </c>
      <c r="EM58" s="20">
        <f t="shared" si="19"/>
        <v>3.405245110226996E-12</v>
      </c>
      <c r="EN58" s="59">
        <f t="shared" si="20"/>
        <v>293.33333333333672</v>
      </c>
      <c r="EO58" s="59">
        <f ca="1">AVERAGE(OFFSET($EN$3,0,0,'Données projet'!$E$15+1,1))-AVERAGE(OFFSET($H$3,0,0,'Données projet'!$E$15+1,1))</f>
        <v>197.34725966440715</v>
      </c>
      <c r="EP58" s="59">
        <f t="shared" si="46"/>
        <v>240.16326570529532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39.627135721678108</v>
      </c>
      <c r="EW58" s="21">
        <f>EXP(-LN(2)/25)*EW57+(1-EXP(-LN(2)/25))/(LN(2)/25)*Calculateur!ER58*Calculateur!ET58*VLOOKUP('Données projet'!$B$15,Paramètres!$A$1:$I$89,3,0)*0.475*44/12</f>
        <v>26.812042027390042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66.439177749068151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2.2737367544323206E-13</v>
      </c>
      <c r="FF58" s="17">
        <f>FE58*VLOOKUP('Données projet'!$B$16,Paramètres!$A$1:$I$89,3,0)*VLOOKUP('Données projet'!$B$16,Paramètres!$A$1:$I$89,5,0)</f>
        <v>1.2710188457276673E-13</v>
      </c>
      <c r="FG58" s="13">
        <f t="shared" si="47"/>
        <v>1.856866851063998E-12</v>
      </c>
      <c r="FH58" s="20">
        <f t="shared" si="22"/>
        <v>3.4554122145673649E-12</v>
      </c>
      <c r="FI58" s="59">
        <f t="shared" si="23"/>
        <v>293.33333333333678</v>
      </c>
      <c r="FJ58" s="59">
        <f ca="1">AVERAGE(OFFSET($FI$3,0,0,'Données projet'!$E$16+1,1))-AVERAGE(OFFSET($H$3,0,0,'Données projet'!$E$16+1,1))</f>
        <v>346.42094266871379</v>
      </c>
      <c r="FK58" s="59">
        <f t="shared" si="48"/>
        <v>453.48153556975973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189.08951096708921</v>
      </c>
      <c r="FR58" s="21">
        <f>EXP(-LN(2)/25)*FR57+(1-EXP(-LN(2)/25))/(LN(2)/25)*Calculateur!FM58*Calculateur!FO58*VLOOKUP('Données projet'!$B$16,Paramètres!$A$1:$I$89,3,0)*0.475*44/12</f>
        <v>121.19389006389751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310.28340103098674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13.500000000000004</v>
      </c>
      <c r="FZ58" s="12">
        <f>IF('Données projet'!$A$244&gt;35,FZ57+FY58-GH57,IF(A58&lt;'Données projet'!$A$244,$FW$205^A58,IF(A58='Données projet'!$A$244,'Données projet'!$B$244,FZ57+FY58-GH57)))</f>
        <v>316.9559999999999</v>
      </c>
      <c r="GA58" s="17">
        <f>FZ58*VLOOKUP('Données projet'!$B$17,Paramètres!$A$1:$I$89,3,0)*VLOOKUP('Données projet'!$B$17,Paramètres!$A$1:$I$89,5,0)</f>
        <v>148.33540799999997</v>
      </c>
      <c r="GB58" s="13">
        <f t="shared" si="49"/>
        <v>38.200055781296022</v>
      </c>
      <c r="GC58" s="20">
        <f t="shared" si="25"/>
        <v>324.88259941909052</v>
      </c>
      <c r="GD58" s="59">
        <f t="shared" si="26"/>
        <v>618.2159327524239</v>
      </c>
      <c r="GE58" s="59">
        <f ca="1">AVERAGE(OFFSET($GD$3,0,0,'Données projet'!$E$17+1,1))-AVERAGE(OFFSET($H$3,0,0,'Données projet'!$E$17+1,1))</f>
        <v>198.26255998041</v>
      </c>
      <c r="GF58" s="59">
        <f t="shared" si="50"/>
        <v>238.62101708181166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19.742664601832203</v>
      </c>
      <c r="GM58" s="21">
        <f>EXP(-LN(2)/25)*GM57+(1-EXP(-LN(2)/25))/(LN(2)/25)*Calculateur!GH58*Calculateur!GJ58*VLOOKUP('Données projet'!$B$17,Paramètres!$A$1:$I$89,3,0)*0.475*44/12</f>
        <v>26.464613636267686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46.207278238099889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15.7</v>
      </c>
      <c r="GU58" s="12">
        <f>IF('Données projet'!$A$270&gt;35,GU57+GT58-HC57,IF(A58&lt;'Données projet'!$A$270,$GR$205^A58,IF(A58='Données projet'!$A$270,'Données projet'!$B$270,GU57+GT58-HC57)))</f>
        <v>314.50000000000006</v>
      </c>
      <c r="GV58" s="17">
        <f>GU58*VLOOKUP('Données projet'!$B$18,Paramètres!$A$1:$I$89,3,0)*VLOOKUP('Données projet'!$B$18,Paramètres!$A$1:$I$89,5,0)</f>
        <v>362.30400000000003</v>
      </c>
      <c r="GW58" s="13">
        <f t="shared" si="51"/>
        <v>84.090915665870568</v>
      </c>
      <c r="GX58" s="20">
        <f t="shared" si="28"/>
        <v>777.47114478472452</v>
      </c>
      <c r="GY58" s="59">
        <f t="shared" si="29"/>
        <v>1070.8044781180579</v>
      </c>
      <c r="GZ58" s="59">
        <f ca="1">AVERAGE(OFFSET($GY$3,0,0,'Données projet'!$E$18+1,1))-AVERAGE(OFFSET($H$3,0,0,'Données projet'!$E$18+1,1))</f>
        <v>604.0566904089452</v>
      </c>
      <c r="HA58" s="59">
        <f t="shared" si="52"/>
        <v>369.5187835902687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23.362213649604545</v>
      </c>
      <c r="HH58" s="21">
        <f>EXP(-LN(2)/25)*HH57+(1-EXP(-LN(2)/25))/(LN(2)/25)*Calculateur!HC58*Calculateur!HE58*VLOOKUP('Données projet'!$B$18,Paramètres!$A$1:$I$89,3,0)*0.475*44/12</f>
        <v>21.690309179864251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45.052522829468799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10.125</v>
      </c>
      <c r="N59" s="13">
        <f>IF('Données projet'!$A$36&gt;35,N58+M59-V58,IF(A59&lt;'Données projet'!$A$36,$K$205^A59,IF(A59='Données projet'!$A$36,'Données projet'!$B$36,N58+M59-V58)))</f>
        <v>209.5</v>
      </c>
      <c r="O59" s="13">
        <f>N59*VLOOKUP('Données projet'!$B$9,Paramètres!$A$1:$I$89,3,0)*VLOOKUP('Données projet'!$B$9,Paramètres!$A$1:$I$89,5,0)</f>
        <v>189.5556</v>
      </c>
      <c r="P59" s="13">
        <f t="shared" si="33"/>
        <v>47.441688934734636</v>
      </c>
      <c r="Q59" s="20">
        <f t="shared" si="53"/>
        <v>412.77027822799613</v>
      </c>
      <c r="R59" s="59">
        <f t="shared" si="0"/>
        <v>706.10361156132944</v>
      </c>
      <c r="S59" s="59">
        <f ca="1">AVERAGE(OFFSET($R$3,0,0,'Données projet'!$E$9+1,1))-AVERAGE(OFFSET($H$3,0,0,'Données projet'!$E$9+1,1))</f>
        <v>528.20489749461376</v>
      </c>
      <c r="T59" s="59">
        <f t="shared" si="34"/>
        <v>276.26988364830532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12.291409449162872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12.291409449162872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2.2737367544323206E-13</v>
      </c>
      <c r="AJ59" s="13">
        <f>AI59*VLOOKUP('Données projet'!$B$10,Paramètres!$A$1:$I$89,3,0)*VLOOKUP('Données projet'!$B$10,Paramètres!$A$1:$I$89,5,0)</f>
        <v>2.0572770154103635E-13</v>
      </c>
      <c r="AK59" s="13">
        <f t="shared" si="35"/>
        <v>2.8416956338469711E-12</v>
      </c>
      <c r="AL59" s="20">
        <f t="shared" si="4"/>
        <v>5.3075956424674458E-12</v>
      </c>
      <c r="AM59" s="59">
        <f t="shared" si="5"/>
        <v>293.3333333333386</v>
      </c>
      <c r="AN59" s="59">
        <f ca="1">AVERAGE(OFFSET($AM$3,0,0,'Données projet'!$E$10+1,1))-AVERAGE(OFFSET($H$3,0,0,'Données projet'!$E$10+1,1))</f>
        <v>436.23918637269577</v>
      </c>
      <c r="AO59" s="59">
        <f t="shared" si="36"/>
        <v>611.43967996341894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58.726791224828567</v>
      </c>
      <c r="AV59" s="21">
        <f>EXP(-LN(2)/25)*AV58+(1-EXP(-LN(2)/25))/(LN(2)/25)*Calculateur!AQ59*Calculateur!AS59*VLOOKUP('Données projet'!$B$10,Paramètres!$A$1:$I$89,3,0)*0.475*44/12</f>
        <v>31.90797099044012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90.634762215268694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9.375</v>
      </c>
      <c r="BD59" s="12">
        <f>IF('Données projet'!$A$88&gt;35,BD58+BC59-BL58,IF(A59&lt;'Données projet'!$A$88,$BA$205^A59,IF(A59='Données projet'!$A$88,'Données projet'!$B$88,BD58+BC59-BL58)))</f>
        <v>259.49999999999989</v>
      </c>
      <c r="BE59" s="13">
        <f>BD59*VLOOKUP('Données projet'!$B$11,Paramètres!$A$1:$I$89,3,0)*VLOOKUP('Données projet'!$B$11,Paramètres!$A$1:$I$89,5,0)</f>
        <v>202.40999999999991</v>
      </c>
      <c r="BF59" s="13">
        <f t="shared" si="37"/>
        <v>50.273442991661817</v>
      </c>
      <c r="BG59" s="20">
        <f t="shared" si="7"/>
        <v>440.09032987714414</v>
      </c>
      <c r="BH59" s="59">
        <f t="shared" si="8"/>
        <v>733.42366321047746</v>
      </c>
      <c r="BI59" s="59">
        <f ca="1">AVERAGE(OFFSET($BH$3,0,0,'Données projet'!$E$11+1,1))-AVERAGE(OFFSET($H$3,0,0,'Données projet'!$E$11+1,1))</f>
        <v>288.82868507674738</v>
      </c>
      <c r="BJ59" s="59">
        <f t="shared" si="38"/>
        <v>283.48738729114024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8.7038113836853199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8.7038113836853199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1.11755</v>
      </c>
      <c r="BY59" s="12">
        <f>IF('Données projet'!$A$114&gt;35,BY58+BX59-CG58,IF(A59&lt;'Données projet'!$A$114,$BV$205^A59,IF(A59='Données projet'!$A$114,'Données projet'!$B$114,BY58+BX59-CG58)))</f>
        <v>47.441799999999986</v>
      </c>
      <c r="BZ59" s="13">
        <f>BY59*VLOOKUP('Données projet'!$B$12,Paramètres!$A$1:$I$89,3,0)*VLOOKUP('Données projet'!$B$12,Paramètres!$A$1:$I$89,5,0)</f>
        <v>41.445156479999994</v>
      </c>
      <c r="CA59" s="13">
        <f t="shared" si="39"/>
        <v>12.380891000241204</v>
      </c>
      <c r="CB59" s="20">
        <f t="shared" si="10"/>
        <v>93.747032694753429</v>
      </c>
      <c r="CC59" s="59">
        <f t="shared" si="11"/>
        <v>387.08036602808676</v>
      </c>
      <c r="CD59" s="59">
        <f ca="1">AVERAGE(OFFSET($CC$3,0,0,'Données projet'!$E$12+1,1))-AVERAGE(OFFSET($H$3,0,0,'Données projet'!$E$12+1,1))</f>
        <v>93.329407403816901</v>
      </c>
      <c r="CE59" s="59">
        <f t="shared" si="40"/>
        <v>90.925148357295313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1.8385094725346312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1.8385094725346312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14.8</v>
      </c>
      <c r="CT59" s="12">
        <f>IF('Données projet'!$A$140&gt;35,CT58+CS59-DB58,IF(A59&lt;'Données projet'!$A$140,$CQ$205^A59,IF(A59='Données projet'!$A$140,'Données projet'!$B$140,CT58+CS59-DB58)))</f>
        <v>458.79999999999973</v>
      </c>
      <c r="CU59" s="17">
        <f>CT59*VLOOKUP('Données projet'!$B$13,Paramètres!$A$1:$I$89,3,0)*VLOOKUP('Données projet'!$B$13,Paramètres!$A$1:$I$89,5,0)</f>
        <v>436.59407999999974</v>
      </c>
      <c r="CV59" s="13">
        <f t="shared" si="41"/>
        <v>99.157335146069173</v>
      </c>
      <c r="CW59" s="20">
        <f t="shared" si="13"/>
        <v>933.1003813794033</v>
      </c>
      <c r="CX59" s="59">
        <f t="shared" si="14"/>
        <v>1226.4337147127367</v>
      </c>
      <c r="CY59" s="59">
        <f ca="1">AVERAGE(OFFSET($CX$3,0,0,'Données projet'!$E$13+1,1))-AVERAGE(OFFSET($H$3,0,0,'Données projet'!$E$13+1,1))</f>
        <v>805.04572055352492</v>
      </c>
      <c r="CZ59" s="59">
        <f t="shared" si="42"/>
        <v>708.66645042414962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26.15517075089905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26.15517075089905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9.1999999999999993</v>
      </c>
      <c r="DO59" s="12">
        <f>IF('Données projet'!$A$166&gt;35,DO58+DN59-DW58,IF(A59&lt;'Données projet'!$A$166,$DL$205^A59,IF(A59='Données projet'!$A$166,'Données projet'!$B$166,DO58+DN59-DW58)))</f>
        <v>361.2</v>
      </c>
      <c r="DP59" s="17">
        <f>DO59*VLOOKUP('Données projet'!$B$14,Paramètres!$A$1:$I$89,3,0)*VLOOKUP('Données projet'!$B$14,Paramètres!$A$1:$I$89,5,0)</f>
        <v>242.29296000000002</v>
      </c>
      <c r="DQ59" s="13">
        <f t="shared" si="43"/>
        <v>58.932598647527136</v>
      </c>
      <c r="DR59" s="20">
        <f t="shared" si="16"/>
        <v>524.63451464444313</v>
      </c>
      <c r="DS59" s="59">
        <f t="shared" si="17"/>
        <v>817.9678479777765</v>
      </c>
      <c r="DT59" s="59">
        <f ca="1">AVERAGE(OFFSET($DS$3,0,0,'Données projet'!$E$14+1,1))-AVERAGE(OFFSET($H$3,0,0,'Données projet'!$E$14+1,1))</f>
        <v>482.69499576870095</v>
      </c>
      <c r="DU59" s="59">
        <f t="shared" si="44"/>
        <v>384.28918352579575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10.746900177830177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10.746900177830177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1.7053025658242404E-13</v>
      </c>
      <c r="EK59" s="17">
        <f>EJ59*VLOOKUP('Données projet'!$B$15,Paramètres!$A$1:$I$89,3,0)*VLOOKUP('Données projet'!$B$15,Paramètres!$A$1:$I$89,5,0)</f>
        <v>1.250327841262333E-13</v>
      </c>
      <c r="EL59" s="13">
        <f t="shared" si="45"/>
        <v>1.8301318724634299E-12</v>
      </c>
      <c r="EM59" s="20">
        <f t="shared" si="19"/>
        <v>3.405245110226996E-12</v>
      </c>
      <c r="EN59" s="59">
        <f t="shared" si="20"/>
        <v>293.33333333333672</v>
      </c>
      <c r="EO59" s="59">
        <f ca="1">AVERAGE(OFFSET($EN$3,0,0,'Données projet'!$E$15+1,1))-AVERAGE(OFFSET($H$3,0,0,'Données projet'!$E$15+1,1))</f>
        <v>197.34725966440715</v>
      </c>
      <c r="EP59" s="59">
        <f t="shared" si="46"/>
        <v>240.16326570529532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38.850071760342182</v>
      </c>
      <c r="EW59" s="21">
        <f>EXP(-LN(2)/25)*EW58+(1-EXP(-LN(2)/25))/(LN(2)/25)*Calculateur!ER59*Calculateur!ET59*VLOOKUP('Données projet'!$B$15,Paramètres!$A$1:$I$89,3,0)*0.475*44/12</f>
        <v>26.078865328167051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64.92893708850923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2.2737367544323206E-13</v>
      </c>
      <c r="FF59" s="17">
        <f>FE59*VLOOKUP('Données projet'!$B$16,Paramètres!$A$1:$I$89,3,0)*VLOOKUP('Données projet'!$B$16,Paramètres!$A$1:$I$89,5,0)</f>
        <v>1.2710188457276673E-13</v>
      </c>
      <c r="FG59" s="13">
        <f t="shared" si="47"/>
        <v>1.856866851063998E-12</v>
      </c>
      <c r="FH59" s="20">
        <f t="shared" si="22"/>
        <v>3.4554122145673649E-12</v>
      </c>
      <c r="FI59" s="59">
        <f t="shared" si="23"/>
        <v>293.33333333333678</v>
      </c>
      <c r="FJ59" s="59">
        <f ca="1">AVERAGE(OFFSET($FI$3,0,0,'Données projet'!$E$16+1,1))-AVERAGE(OFFSET($H$3,0,0,'Données projet'!$E$16+1,1))</f>
        <v>346.42094266871379</v>
      </c>
      <c r="FK59" s="59">
        <f t="shared" si="48"/>
        <v>453.48153556975973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185.38158099023806</v>
      </c>
      <c r="FR59" s="21">
        <f>EXP(-LN(2)/25)*FR58+(1-EXP(-LN(2)/25))/(LN(2)/25)*Calculateur!FM59*Calculateur!FO59*VLOOKUP('Données projet'!$B$16,Paramètres!$A$1:$I$89,3,0)*0.475*44/12</f>
        <v>117.87983676679055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303.2614177570286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13.500000000000004</v>
      </c>
      <c r="FZ59" s="12">
        <f>IF('Données projet'!$A$244&gt;35,FZ58+FY59-GH58,IF(A59&lt;'Données projet'!$A$244,$FW$205^A59,IF(A59='Données projet'!$A$244,'Données projet'!$B$244,FZ58+FY59-GH58)))</f>
        <v>330.4559999999999</v>
      </c>
      <c r="GA59" s="17">
        <f>FZ59*VLOOKUP('Données projet'!$B$17,Paramètres!$A$1:$I$89,3,0)*VLOOKUP('Données projet'!$B$17,Paramètres!$A$1:$I$89,5,0)</f>
        <v>154.65340799999996</v>
      </c>
      <c r="GB59" s="13">
        <f t="shared" si="49"/>
        <v>39.634201628177898</v>
      </c>
      <c r="GC59" s="20">
        <f t="shared" si="25"/>
        <v>338.38425343574306</v>
      </c>
      <c r="GD59" s="59">
        <f t="shared" si="26"/>
        <v>631.71758676907643</v>
      </c>
      <c r="GE59" s="59">
        <f ca="1">AVERAGE(OFFSET($GD$3,0,0,'Données projet'!$E$17+1,1))-AVERAGE(OFFSET($H$3,0,0,'Données projet'!$E$17+1,1))</f>
        <v>198.26255998041</v>
      </c>
      <c r="GF59" s="59">
        <f t="shared" si="50"/>
        <v>238.62101708181166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19.35552299082665</v>
      </c>
      <c r="GM59" s="21">
        <f>EXP(-LN(2)/25)*GM58+(1-EXP(-LN(2)/25))/(LN(2)/25)*Calculateur!GH59*Calculateur!GJ59*VLOOKUP('Données projet'!$B$17,Paramètres!$A$1:$I$89,3,0)*0.475*44/12</f>
        <v>25.740937384670399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45.096460375497045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15.7</v>
      </c>
      <c r="GU59" s="12">
        <f>IF('Données projet'!$A$270&gt;35,GU58+GT59-HC58,IF(A59&lt;'Données projet'!$A$270,$GR$205^A59,IF(A59='Données projet'!$A$270,'Données projet'!$B$270,GU58+GT59-HC58)))</f>
        <v>330.20000000000005</v>
      </c>
      <c r="GV59" s="17">
        <f>GU59*VLOOKUP('Données projet'!$B$18,Paramètres!$A$1:$I$89,3,0)*VLOOKUP('Données projet'!$B$18,Paramètres!$A$1:$I$89,5,0)</f>
        <v>380.3904</v>
      </c>
      <c r="GW59" s="13">
        <f t="shared" si="51"/>
        <v>87.789564273674699</v>
      </c>
      <c r="GX59" s="20">
        <f t="shared" si="28"/>
        <v>815.41343777665008</v>
      </c>
      <c r="GY59" s="59">
        <f t="shared" si="29"/>
        <v>1108.7467711099835</v>
      </c>
      <c r="GZ59" s="59">
        <f ca="1">AVERAGE(OFFSET($GY$3,0,0,'Données projet'!$E$18+1,1))-AVERAGE(OFFSET($H$3,0,0,'Données projet'!$E$18+1,1))</f>
        <v>604.0566904089452</v>
      </c>
      <c r="HA59" s="59">
        <f t="shared" si="52"/>
        <v>369.5187835902687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22.904094889479101</v>
      </c>
      <c r="HH59" s="21">
        <f>EXP(-LN(2)/25)*HH58+(1-EXP(-LN(2)/25))/(LN(2)/25)*Calculateur!HC59*Calculateur!HE59*VLOOKUP('Données projet'!$B$18,Paramètres!$A$1:$I$89,3,0)*0.475*44/12</f>
        <v>21.097186534697077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44.001281424176177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10.125</v>
      </c>
      <c r="N60" s="13">
        <f>IF('Données projet'!$A$36&gt;35,N59+M60-V59,IF(A60&lt;'Données projet'!$A$36,$K$205^A60,IF(A60='Données projet'!$A$36,'Données projet'!$B$36,N59+M60-V59)))</f>
        <v>219.625</v>
      </c>
      <c r="O60" s="13">
        <f>N60*VLOOKUP('Données projet'!$B$9,Paramètres!$A$1:$I$89,3,0)*VLOOKUP('Données projet'!$B$9,Paramètres!$A$1:$I$89,5,0)</f>
        <v>198.7167</v>
      </c>
      <c r="P60" s="13">
        <f t="shared" si="33"/>
        <v>49.462031653113236</v>
      </c>
      <c r="Q60" s="20">
        <f t="shared" si="53"/>
        <v>432.24462429583883</v>
      </c>
      <c r="R60" s="59">
        <f t="shared" si="0"/>
        <v>725.57795762917215</v>
      </c>
      <c r="S60" s="59">
        <f ca="1">AVERAGE(OFFSET($R$3,0,0,'Données projet'!$E$9+1,1))-AVERAGE(OFFSET($H$3,0,0,'Données projet'!$E$9+1,1))</f>
        <v>528.20489749461376</v>
      </c>
      <c r="T60" s="59">
        <f t="shared" si="34"/>
        <v>276.26988364830532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12.050382406884284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12.050382406884284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2.2737367544323206E-13</v>
      </c>
      <c r="AJ60" s="13">
        <f>AI60*VLOOKUP('Données projet'!$B$10,Paramètres!$A$1:$I$89,3,0)*VLOOKUP('Données projet'!$B$10,Paramètres!$A$1:$I$89,5,0)</f>
        <v>2.0572770154103635E-13</v>
      </c>
      <c r="AK60" s="13">
        <f t="shared" si="35"/>
        <v>2.8416956338469711E-12</v>
      </c>
      <c r="AL60" s="20">
        <f t="shared" si="4"/>
        <v>5.3075956424674458E-12</v>
      </c>
      <c r="AM60" s="59">
        <f t="shared" si="5"/>
        <v>293.3333333333386</v>
      </c>
      <c r="AN60" s="59">
        <f ca="1">AVERAGE(OFFSET($AM$3,0,0,'Données projet'!$E$10+1,1))-AVERAGE(OFFSET($H$3,0,0,'Données projet'!$E$10+1,1))</f>
        <v>436.23918637269577</v>
      </c>
      <c r="AO60" s="59">
        <f t="shared" si="36"/>
        <v>611.43967996341894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57.575194668715412</v>
      </c>
      <c r="AV60" s="21">
        <f>EXP(-LN(2)/25)*AV59+(1-EXP(-LN(2)/25))/(LN(2)/25)*Calculateur!AQ60*Calculateur!AS60*VLOOKUP('Données projet'!$B$10,Paramètres!$A$1:$I$89,3,0)*0.475*44/12</f>
        <v>31.035445845739268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88.610640514454673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9.375</v>
      </c>
      <c r="BD60" s="12">
        <f>IF('Données projet'!$A$88&gt;35,BD59+BC60-BL59,IF(A60&lt;'Données projet'!$A$88,$BA$205^A60,IF(A60='Données projet'!$A$88,'Données projet'!$B$88,BD59+BC60-BL59)))</f>
        <v>268.87499999999989</v>
      </c>
      <c r="BE60" s="13">
        <f>BD60*VLOOKUP('Données projet'!$B$11,Paramètres!$A$1:$I$89,3,0)*VLOOKUP('Données projet'!$B$11,Paramètres!$A$1:$I$89,5,0)</f>
        <v>209.72249999999991</v>
      </c>
      <c r="BF60" s="13">
        <f t="shared" si="37"/>
        <v>51.874940300502246</v>
      </c>
      <c r="BG60" s="20">
        <f t="shared" si="7"/>
        <v>455.61554185670792</v>
      </c>
      <c r="BH60" s="59">
        <f t="shared" si="8"/>
        <v>748.94887519004124</v>
      </c>
      <c r="BI60" s="59">
        <f ca="1">AVERAGE(OFFSET($BH$3,0,0,'Données projet'!$E$11+1,1))-AVERAGE(OFFSET($H$3,0,0,'Données projet'!$E$11+1,1))</f>
        <v>288.82868507674738</v>
      </c>
      <c r="BJ60" s="59">
        <f t="shared" si="38"/>
        <v>283.48738729114024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8.5331349512519949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8.5331349512519949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1.11755</v>
      </c>
      <c r="BY60" s="12">
        <f>IF('Données projet'!$A$114&gt;35,BY59+BX60-CG59,IF(A60&lt;'Données projet'!$A$114,$BV$205^A60,IF(A60='Données projet'!$A$114,'Données projet'!$B$114,BY59+BX60-CG59)))</f>
        <v>48.559349999999988</v>
      </c>
      <c r="BZ60" s="13">
        <f>BY60*VLOOKUP('Données projet'!$B$12,Paramètres!$A$1:$I$89,3,0)*VLOOKUP('Données projet'!$B$12,Paramètres!$A$1:$I$89,5,0)</f>
        <v>42.421448159999997</v>
      </c>
      <c r="CA60" s="13">
        <f t="shared" si="39"/>
        <v>12.638240163081912</v>
      </c>
      <c r="CB60" s="20">
        <f t="shared" si="10"/>
        <v>95.895623829367651</v>
      </c>
      <c r="CC60" s="59">
        <f t="shared" si="11"/>
        <v>389.22895716270097</v>
      </c>
      <c r="CD60" s="59">
        <f ca="1">AVERAGE(OFFSET($CC$3,0,0,'Données projet'!$E$12+1,1))-AVERAGE(OFFSET($H$3,0,0,'Données projet'!$E$12+1,1))</f>
        <v>93.329407403816901</v>
      </c>
      <c r="CE60" s="59">
        <f t="shared" si="40"/>
        <v>90.925148357295313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1.8024574231582782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1.8024574231582782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14.8</v>
      </c>
      <c r="CT60" s="12">
        <f>IF('Données projet'!$A$140&gt;35,CT59+CS60-DB59,IF(A60&lt;'Données projet'!$A$140,$CQ$205^A60,IF(A60='Données projet'!$A$140,'Données projet'!$B$140,CT59+CS60-DB59)))</f>
        <v>473.59999999999974</v>
      </c>
      <c r="CU60" s="17">
        <f>CT60*VLOOKUP('Données projet'!$B$13,Paramètres!$A$1:$I$89,3,0)*VLOOKUP('Données projet'!$B$13,Paramètres!$A$1:$I$89,5,0)</f>
        <v>450.67775999999975</v>
      </c>
      <c r="CV60" s="13">
        <f t="shared" si="41"/>
        <v>101.97839553337343</v>
      </c>
      <c r="CW60" s="20">
        <f t="shared" si="13"/>
        <v>962.54280422062493</v>
      </c>
      <c r="CX60" s="59">
        <f t="shared" si="14"/>
        <v>1255.8761375539582</v>
      </c>
      <c r="CY60" s="59">
        <f ca="1">AVERAGE(OFFSET($CX$3,0,0,'Données projet'!$E$13+1,1))-AVERAGE(OFFSET($H$3,0,0,'Données projet'!$E$13+1,1))</f>
        <v>805.04572055352492</v>
      </c>
      <c r="CZ60" s="59">
        <f t="shared" si="42"/>
        <v>708.66645042414962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25.642283805552843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25.642283805552843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9.1999999999999993</v>
      </c>
      <c r="DO60" s="12">
        <f>IF('Données projet'!$A$166&gt;35,DO59+DN60-DW59,IF(A60&lt;'Données projet'!$A$166,$DL$205^A60,IF(A60='Données projet'!$A$166,'Données projet'!$B$166,DO59+DN60-DW59)))</f>
        <v>370.4</v>
      </c>
      <c r="DP60" s="17">
        <f>DO60*VLOOKUP('Données projet'!$B$14,Paramètres!$A$1:$I$89,3,0)*VLOOKUP('Données projet'!$B$14,Paramètres!$A$1:$I$89,5,0)</f>
        <v>248.46431999999999</v>
      </c>
      <c r="DQ60" s="13">
        <f t="shared" si="43"/>
        <v>60.256980260353664</v>
      </c>
      <c r="DR60" s="20">
        <f t="shared" si="16"/>
        <v>537.68959795344927</v>
      </c>
      <c r="DS60" s="59">
        <f t="shared" si="17"/>
        <v>831.02293128678252</v>
      </c>
      <c r="DT60" s="59">
        <f ca="1">AVERAGE(OFFSET($DS$3,0,0,'Données projet'!$E$14+1,1))-AVERAGE(OFFSET($H$3,0,0,'Données projet'!$E$14+1,1))</f>
        <v>482.69499576870095</v>
      </c>
      <c r="DU60" s="59">
        <f t="shared" si="44"/>
        <v>384.28918352579575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10.536160020304788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10.536160020304788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1.7053025658242404E-13</v>
      </c>
      <c r="EK60" s="17">
        <f>EJ60*VLOOKUP('Données projet'!$B$15,Paramètres!$A$1:$I$89,3,0)*VLOOKUP('Données projet'!$B$15,Paramètres!$A$1:$I$89,5,0)</f>
        <v>1.250327841262333E-13</v>
      </c>
      <c r="EL60" s="13">
        <f t="shared" si="45"/>
        <v>1.8301318724634299E-12</v>
      </c>
      <c r="EM60" s="20">
        <f t="shared" si="19"/>
        <v>3.405245110226996E-12</v>
      </c>
      <c r="EN60" s="59">
        <f t="shared" si="20"/>
        <v>293.33333333333672</v>
      </c>
      <c r="EO60" s="59">
        <f ca="1">AVERAGE(OFFSET($EN$3,0,0,'Données projet'!$E$15+1,1))-AVERAGE(OFFSET($H$3,0,0,'Données projet'!$E$15+1,1))</f>
        <v>197.34725966440715</v>
      </c>
      <c r="EP60" s="59">
        <f t="shared" si="46"/>
        <v>240.16326570529532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38.08824554932584</v>
      </c>
      <c r="EW60" s="21">
        <f>EXP(-LN(2)/25)*EW59+(1-EXP(-LN(2)/25))/(LN(2)/25)*Calculateur!ER60*Calculateur!ET60*VLOOKUP('Données projet'!$B$15,Paramètres!$A$1:$I$89,3,0)*0.475*44/12</f>
        <v>25.365737384340399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63.453982933666239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2.2737367544323206E-13</v>
      </c>
      <c r="FF60" s="17">
        <f>FE60*VLOOKUP('Données projet'!$B$16,Paramètres!$A$1:$I$89,3,0)*VLOOKUP('Données projet'!$B$16,Paramètres!$A$1:$I$89,5,0)</f>
        <v>1.2710188457276673E-13</v>
      </c>
      <c r="FG60" s="13">
        <f t="shared" si="47"/>
        <v>1.856866851063998E-12</v>
      </c>
      <c r="FH60" s="20">
        <f t="shared" si="22"/>
        <v>3.4554122145673649E-12</v>
      </c>
      <c r="FI60" s="59">
        <f t="shared" si="23"/>
        <v>293.33333333333678</v>
      </c>
      <c r="FJ60" s="59">
        <f ca="1">AVERAGE(OFFSET($FI$3,0,0,'Données projet'!$E$16+1,1))-AVERAGE(OFFSET($H$3,0,0,'Données projet'!$E$16+1,1))</f>
        <v>346.42094266871379</v>
      </c>
      <c r="FK60" s="59">
        <f t="shared" si="48"/>
        <v>453.48153556975973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181.746361258619</v>
      </c>
      <c r="FR60" s="21">
        <f>EXP(-LN(2)/25)*FR59+(1-EXP(-LN(2)/25))/(LN(2)/25)*Calculateur!FM60*Calculateur!FO60*VLOOKUP('Données projet'!$B$16,Paramètres!$A$1:$I$89,3,0)*0.475*44/12</f>
        <v>114.65640643137147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296.40276768999047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13.500000000000004</v>
      </c>
      <c r="FZ60" s="12">
        <f>IF('Données projet'!$A$244&gt;35,FZ59+FY60-GH59,IF(A60&lt;'Données projet'!$A$244,$FW$205^A60,IF(A60='Données projet'!$A$244,'Données projet'!$B$244,FZ59+FY60-GH59)))</f>
        <v>343.9559999999999</v>
      </c>
      <c r="GA60" s="17">
        <f>FZ60*VLOOKUP('Données projet'!$B$17,Paramètres!$A$1:$I$89,3,0)*VLOOKUP('Données projet'!$B$17,Paramètres!$A$1:$I$89,5,0)</f>
        <v>160.97140799999997</v>
      </c>
      <c r="GB60" s="13">
        <f t="shared" si="49"/>
        <v>41.061541946729591</v>
      </c>
      <c r="GC60" s="20">
        <f t="shared" si="25"/>
        <v>351.87405449055399</v>
      </c>
      <c r="GD60" s="59">
        <f t="shared" si="26"/>
        <v>645.2073878238873</v>
      </c>
      <c r="GE60" s="59">
        <f ca="1">AVERAGE(OFFSET($GD$3,0,0,'Données projet'!$E$17+1,1))-AVERAGE(OFFSET($H$3,0,0,'Données projet'!$E$17+1,1))</f>
        <v>198.26255998041</v>
      </c>
      <c r="GF60" s="59">
        <f t="shared" si="50"/>
        <v>238.62101708181166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18.975972990679846</v>
      </c>
      <c r="GM60" s="21">
        <f>EXP(-LN(2)/25)*GM59+(1-EXP(-LN(2)/25))/(LN(2)/25)*Calculateur!GH60*Calculateur!GJ60*VLOOKUP('Données projet'!$B$17,Paramètres!$A$1:$I$89,3,0)*0.475*44/12</f>
        <v>25.037050098229521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44.013023088909364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15.7</v>
      </c>
      <c r="GU60" s="12">
        <f>IF('Données projet'!$A$270&gt;35,GU59+GT60-HC59,IF(A60&lt;'Données projet'!$A$270,$GR$205^A60,IF(A60='Données projet'!$A$270,'Données projet'!$B$270,GU59+GT60-HC59)))</f>
        <v>345.90000000000003</v>
      </c>
      <c r="GV60" s="17">
        <f>GU60*VLOOKUP('Données projet'!$B$18,Paramètres!$A$1:$I$89,3,0)*VLOOKUP('Données projet'!$B$18,Paramètres!$A$1:$I$89,5,0)</f>
        <v>398.47680000000003</v>
      </c>
      <c r="GW60" s="13">
        <f t="shared" si="51"/>
        <v>91.467791260707088</v>
      </c>
      <c r="GX60" s="20">
        <f t="shared" si="28"/>
        <v>853.32016311239829</v>
      </c>
      <c r="GY60" s="59">
        <f t="shared" si="29"/>
        <v>1146.6534964457317</v>
      </c>
      <c r="GZ60" s="59">
        <f ca="1">AVERAGE(OFFSET($GY$3,0,0,'Données projet'!$E$18+1,1))-AVERAGE(OFFSET($H$3,0,0,'Données projet'!$E$18+1,1))</f>
        <v>604.0566904089452</v>
      </c>
      <c r="HA60" s="59">
        <f t="shared" si="52"/>
        <v>369.5187835902687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22.454959558814863</v>
      </c>
      <c r="HH60" s="21">
        <f>EXP(-LN(2)/25)*HH59+(1-EXP(-LN(2)/25))/(LN(2)/25)*Calculateur!HC60*Calculateur!HE60*VLOOKUP('Données projet'!$B$18,Paramètres!$A$1:$I$89,3,0)*0.475*44/12</f>
        <v>20.520282859452962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42.975242418267825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10.125</v>
      </c>
      <c r="N61" s="13">
        <f>IF('Données projet'!$A$36&gt;35,N60+M61-V60,IF(A61&lt;'Données projet'!$A$36,$K$205^A61,IF(A61='Données projet'!$A$36,'Données projet'!$B$36,N60+M61-V60)))</f>
        <v>229.75</v>
      </c>
      <c r="O61" s="13">
        <f>N61*VLOOKUP('Données projet'!$B$9,Paramètres!$A$1:$I$89,3,0)*VLOOKUP('Données projet'!$B$9,Paramètres!$A$1:$I$89,5,0)</f>
        <v>207.87780000000001</v>
      </c>
      <c r="P61" s="13">
        <f t="shared" si="33"/>
        <v>51.471557815090421</v>
      </c>
      <c r="Q61" s="20">
        <f t="shared" si="53"/>
        <v>451.70013152794922</v>
      </c>
      <c r="R61" s="59">
        <f t="shared" si="0"/>
        <v>745.03346486128248</v>
      </c>
      <c r="S61" s="59">
        <f ca="1">AVERAGE(OFFSET($R$3,0,0,'Données projet'!$E$9+1,1))-AVERAGE(OFFSET($H$3,0,0,'Données projet'!$E$9+1,1))</f>
        <v>528.20489749461376</v>
      </c>
      <c r="T61" s="59">
        <f t="shared" si="34"/>
        <v>276.26988364830532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11.814081757892797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11.814081757892797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2.2737367544323206E-13</v>
      </c>
      <c r="AJ61" s="13">
        <f>AI61*VLOOKUP('Données projet'!$B$10,Paramètres!$A$1:$I$89,3,0)*VLOOKUP('Données projet'!$B$10,Paramètres!$A$1:$I$89,5,0)</f>
        <v>2.0572770154103635E-13</v>
      </c>
      <c r="AK61" s="13">
        <f t="shared" si="35"/>
        <v>2.8416956338469711E-12</v>
      </c>
      <c r="AL61" s="20">
        <f t="shared" si="4"/>
        <v>5.3075956424674458E-12</v>
      </c>
      <c r="AM61" s="59">
        <f t="shared" si="5"/>
        <v>293.3333333333386</v>
      </c>
      <c r="AN61" s="59">
        <f ca="1">AVERAGE(OFFSET($AM$3,0,0,'Données projet'!$E$10+1,1))-AVERAGE(OFFSET($H$3,0,0,'Données projet'!$E$10+1,1))</f>
        <v>436.23918637269577</v>
      </c>
      <c r="AO61" s="59">
        <f t="shared" si="36"/>
        <v>611.43967996341894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56.446180218663095</v>
      </c>
      <c r="AV61" s="21">
        <f>EXP(-LN(2)/25)*AV60+(1-EXP(-LN(2)/25))/(LN(2)/25)*Calculateur!AQ61*Calculateur!AS61*VLOOKUP('Données projet'!$B$10,Paramètres!$A$1:$I$89,3,0)*0.475*44/12</f>
        <v>30.186779947004364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86.632960165667455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9.375</v>
      </c>
      <c r="BD61" s="12">
        <f>IF('Données projet'!$A$88&gt;35,BD60+BC61-BL60,IF(A61&lt;'Données projet'!$A$88,$BA$205^A61,IF(A61='Données projet'!$A$88,'Données projet'!$B$88,BD60+BC61-BL60)))</f>
        <v>278.24999999999989</v>
      </c>
      <c r="BE61" s="13">
        <f>BD61*VLOOKUP('Données projet'!$B$11,Paramètres!$A$1:$I$89,3,0)*VLOOKUP('Données projet'!$B$11,Paramètres!$A$1:$I$89,5,0)</f>
        <v>217.03499999999991</v>
      </c>
      <c r="BF61" s="13">
        <f t="shared" si="37"/>
        <v>53.469949591969474</v>
      </c>
      <c r="BG61" s="20">
        <f t="shared" si="7"/>
        <v>471.12945387267996</v>
      </c>
      <c r="BH61" s="59">
        <f t="shared" si="8"/>
        <v>764.46278720601322</v>
      </c>
      <c r="BI61" s="59">
        <f ca="1">AVERAGE(OFFSET($BH$3,0,0,'Données projet'!$E$11+1,1))-AVERAGE(OFFSET($H$3,0,0,'Données projet'!$E$11+1,1))</f>
        <v>288.82868507674738</v>
      </c>
      <c r="BJ61" s="59">
        <f t="shared" si="38"/>
        <v>283.48738729114024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8.3658053795563418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8.3658053795563418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1.11755</v>
      </c>
      <c r="BY61" s="12">
        <f>IF('Données projet'!$A$114&gt;35,BY60+BX61-CG60,IF(A61&lt;'Données projet'!$A$114,$BV$205^A61,IF(A61='Données projet'!$A$114,'Données projet'!$B$114,BY60+BX61-CG60)))</f>
        <v>49.676899999999989</v>
      </c>
      <c r="BZ61" s="13">
        <f>BY61*VLOOKUP('Données projet'!$B$12,Paramètres!$A$1:$I$89,3,0)*VLOOKUP('Données projet'!$B$12,Paramètres!$A$1:$I$89,5,0)</f>
        <v>43.39773984</v>
      </c>
      <c r="CA61" s="13">
        <f t="shared" si="39"/>
        <v>12.894900786539235</v>
      </c>
      <c r="CB61" s="20">
        <f t="shared" si="10"/>
        <v>98.043015757889165</v>
      </c>
      <c r="CC61" s="59">
        <f t="shared" si="11"/>
        <v>391.37634909122249</v>
      </c>
      <c r="CD61" s="59">
        <f ca="1">AVERAGE(OFFSET($CC$3,0,0,'Données projet'!$E$12+1,1))-AVERAGE(OFFSET($H$3,0,0,'Données projet'!$E$12+1,1))</f>
        <v>93.329407403816901</v>
      </c>
      <c r="CE61" s="59">
        <f t="shared" si="40"/>
        <v>90.925148357295313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1.7671123324806166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1.7671123324806166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14.8</v>
      </c>
      <c r="CT61" s="12">
        <f>IF('Données projet'!$A$140&gt;35,CT60+CS61-DB60,IF(A61&lt;'Données projet'!$A$140,$CQ$205^A61,IF(A61='Données projet'!$A$140,'Données projet'!$B$140,CT60+CS61-DB60)))</f>
        <v>488.39999999999975</v>
      </c>
      <c r="CU61" s="17">
        <f>CT61*VLOOKUP('Données projet'!$B$13,Paramètres!$A$1:$I$89,3,0)*VLOOKUP('Données projet'!$B$13,Paramètres!$A$1:$I$89,5,0)</f>
        <v>464.76143999999982</v>
      </c>
      <c r="CV61" s="13">
        <f t="shared" si="41"/>
        <v>104.78921119251746</v>
      </c>
      <c r="CW61" s="20">
        <f t="shared" si="13"/>
        <v>991.96738416030109</v>
      </c>
      <c r="CX61" s="59">
        <f t="shared" si="14"/>
        <v>1285.3007174936345</v>
      </c>
      <c r="CY61" s="59">
        <f ca="1">AVERAGE(OFFSET($CX$3,0,0,'Données projet'!$E$13+1,1))-AVERAGE(OFFSET($H$3,0,0,'Données projet'!$E$13+1,1))</f>
        <v>805.04572055352492</v>
      </c>
      <c r="CZ61" s="59">
        <f t="shared" si="42"/>
        <v>708.66645042414962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25.139454260374727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25.139454260374727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9.1999999999999993</v>
      </c>
      <c r="DO61" s="12">
        <f>IF('Données projet'!$A$166&gt;35,DO60+DN61-DW60,IF(A61&lt;'Données projet'!$A$166,$DL$205^A61,IF(A61='Données projet'!$A$166,'Données projet'!$B$166,DO60+DN61-DW60)))</f>
        <v>379.59999999999997</v>
      </c>
      <c r="DP61" s="17">
        <f>DO61*VLOOKUP('Données projet'!$B$14,Paramètres!$A$1:$I$89,3,0)*VLOOKUP('Données projet'!$B$14,Paramètres!$A$1:$I$89,5,0)</f>
        <v>254.63567999999998</v>
      </c>
      <c r="DQ61" s="13">
        <f t="shared" si="43"/>
        <v>61.57753800850616</v>
      </c>
      <c r="DR61" s="20">
        <f t="shared" si="16"/>
        <v>550.73802136481481</v>
      </c>
      <c r="DS61" s="59">
        <f t="shared" si="17"/>
        <v>844.07135469814807</v>
      </c>
      <c r="DT61" s="59">
        <f ca="1">AVERAGE(OFFSET($DS$3,0,0,'Données projet'!$E$14+1,1))-AVERAGE(OFFSET($H$3,0,0,'Données projet'!$E$14+1,1))</f>
        <v>482.69499576870095</v>
      </c>
      <c r="DU61" s="59">
        <f t="shared" si="44"/>
        <v>384.28918352579575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10.329552348729667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10.329552348729667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1.7053025658242404E-13</v>
      </c>
      <c r="EK61" s="17">
        <f>EJ61*VLOOKUP('Données projet'!$B$15,Paramètres!$A$1:$I$89,3,0)*VLOOKUP('Données projet'!$B$15,Paramètres!$A$1:$I$89,5,0)</f>
        <v>1.250327841262333E-13</v>
      </c>
      <c r="EL61" s="13">
        <f t="shared" si="45"/>
        <v>1.8301318724634299E-12</v>
      </c>
      <c r="EM61" s="20">
        <f t="shared" si="19"/>
        <v>3.405245110226996E-12</v>
      </c>
      <c r="EN61" s="59">
        <f t="shared" si="20"/>
        <v>293.33333333333672</v>
      </c>
      <c r="EO61" s="59">
        <f ca="1">AVERAGE(OFFSET($EN$3,0,0,'Données projet'!$E$15+1,1))-AVERAGE(OFFSET($H$3,0,0,'Données projet'!$E$15+1,1))</f>
        <v>197.34725966440715</v>
      </c>
      <c r="EP61" s="59">
        <f t="shared" si="46"/>
        <v>240.16326570529532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37.341358285639423</v>
      </c>
      <c r="EW61" s="21">
        <f>EXP(-LN(2)/25)*EW60+(1-EXP(-LN(2)/25))/(LN(2)/25)*Calculateur!ER61*Calculateur!ET61*VLOOKUP('Données projet'!$B$15,Paramètres!$A$1:$I$89,3,0)*0.475*44/12</f>
        <v>24.672109961639457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62.01346824727888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2.2737367544323206E-13</v>
      </c>
      <c r="FF61" s="17">
        <f>FE61*VLOOKUP('Données projet'!$B$16,Paramètres!$A$1:$I$89,3,0)*VLOOKUP('Données projet'!$B$16,Paramètres!$A$1:$I$89,5,0)</f>
        <v>1.2710188457276673E-13</v>
      </c>
      <c r="FG61" s="13">
        <f t="shared" si="47"/>
        <v>1.856866851063998E-12</v>
      </c>
      <c r="FH61" s="20">
        <f t="shared" si="22"/>
        <v>3.4554122145673649E-12</v>
      </c>
      <c r="FI61" s="59">
        <f t="shared" si="23"/>
        <v>293.33333333333678</v>
      </c>
      <c r="FJ61" s="59">
        <f ca="1">AVERAGE(OFFSET($FI$3,0,0,'Données projet'!$E$16+1,1))-AVERAGE(OFFSET($H$3,0,0,'Données projet'!$E$16+1,1))</f>
        <v>346.42094266871379</v>
      </c>
      <c r="FK61" s="59">
        <f t="shared" si="48"/>
        <v>453.48153556975973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178.18242596867191</v>
      </c>
      <c r="FR61" s="21">
        <f>EXP(-LN(2)/25)*FR60+(1-EXP(-LN(2)/25))/(LN(2)/25)*Calculateur!FM61*Calculateur!FO61*VLOOKUP('Données projet'!$B$16,Paramètres!$A$1:$I$89,3,0)*0.475*44/12</f>
        <v>111.52112096798724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289.70354693665917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13.500000000000004</v>
      </c>
      <c r="FZ61" s="12">
        <f>IF('Données projet'!$A$244&gt;35,FZ60+FY61-GH60,IF(A61&lt;'Données projet'!$A$244,$FW$205^A61,IF(A61='Données projet'!$A$244,'Données projet'!$B$244,FZ60+FY61-GH60)))</f>
        <v>357.4559999999999</v>
      </c>
      <c r="GA61" s="17">
        <f>FZ61*VLOOKUP('Données projet'!$B$17,Paramètres!$A$1:$I$89,3,0)*VLOOKUP('Données projet'!$B$17,Paramètres!$A$1:$I$89,5,0)</f>
        <v>167.28940799999995</v>
      </c>
      <c r="GB61" s="13">
        <f t="shared" si="49"/>
        <v>42.482374415866772</v>
      </c>
      <c r="GC61" s="20">
        <f t="shared" si="25"/>
        <v>365.35252104096782</v>
      </c>
      <c r="GD61" s="59">
        <f t="shared" si="26"/>
        <v>658.68585437430113</v>
      </c>
      <c r="GE61" s="59">
        <f ca="1">AVERAGE(OFFSET($GD$3,0,0,'Données projet'!$E$17+1,1))-AVERAGE(OFFSET($H$3,0,0,'Données projet'!$E$17+1,1))</f>
        <v>198.26255998041</v>
      </c>
      <c r="GF61" s="59">
        <f t="shared" si="50"/>
        <v>238.62101708181166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18.603865734533283</v>
      </c>
      <c r="GM61" s="21">
        <f>EXP(-LN(2)/25)*GM60+(1-EXP(-LN(2)/25))/(LN(2)/25)*Calculateur!GH61*Calculateur!GJ61*VLOOKUP('Données projet'!$B$17,Paramètres!$A$1:$I$89,3,0)*0.475*44/12</f>
        <v>24.352410646652192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42.956276381185475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15.7</v>
      </c>
      <c r="GU61" s="12">
        <f>IF('Données projet'!$A$270&gt;35,GU60+GT61-HC60,IF(A61&lt;'Données projet'!$A$270,$GR$205^A61,IF(A61='Données projet'!$A$270,'Données projet'!$B$270,GU60+GT61-HC60)))</f>
        <v>361.6</v>
      </c>
      <c r="GV61" s="17">
        <f>GU61*VLOOKUP('Données projet'!$B$18,Paramètres!$A$1:$I$89,3,0)*VLOOKUP('Données projet'!$B$18,Paramètres!$A$1:$I$89,5,0)</f>
        <v>416.56319999999999</v>
      </c>
      <c r="GW61" s="13">
        <f t="shared" si="51"/>
        <v>95.12662942926849</v>
      </c>
      <c r="GX61" s="20">
        <f t="shared" si="28"/>
        <v>891.19311958930928</v>
      </c>
      <c r="GY61" s="59">
        <f t="shared" si="29"/>
        <v>1184.5264529226426</v>
      </c>
      <c r="GZ61" s="59">
        <f ca="1">AVERAGE(OFFSET($GY$3,0,0,'Données projet'!$E$18+1,1))-AVERAGE(OFFSET($H$3,0,0,'Données projet'!$E$18+1,1))</f>
        <v>604.0566904089452</v>
      </c>
      <c r="HA61" s="59">
        <f t="shared" si="52"/>
        <v>369.5187835902687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22.014631498039449</v>
      </c>
      <c r="HH61" s="21">
        <f>EXP(-LN(2)/25)*HH60+(1-EXP(-LN(2)/25))/(LN(2)/25)*Calculateur!HC61*Calculateur!HE61*VLOOKUP('Données projet'!$B$18,Paramètres!$A$1:$I$89,3,0)*0.475*44/12</f>
        <v>19.959154645546445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41.973786143585897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10.125</v>
      </c>
      <c r="N62" s="13">
        <f>IF('Données projet'!$A$36&gt;35,N61+M62-V61,IF(A62&lt;'Données projet'!$A$36,$K$205^A62,IF(A62='Données projet'!$A$36,'Données projet'!$B$36,N61+M62-V61)))</f>
        <v>239.875</v>
      </c>
      <c r="O62" s="13">
        <f>N62*VLOOKUP('Données projet'!$B$9,Paramètres!$A$1:$I$89,3,0)*VLOOKUP('Données projet'!$B$9,Paramètres!$A$1:$I$89,5,0)</f>
        <v>217.03890000000001</v>
      </c>
      <c r="P62" s="13">
        <f t="shared" si="33"/>
        <v>53.470798576660421</v>
      </c>
      <c r="Q62" s="20">
        <f t="shared" si="53"/>
        <v>471.13772502101688</v>
      </c>
      <c r="R62" s="59">
        <f t="shared" si="0"/>
        <v>764.47105835435013</v>
      </c>
      <c r="S62" s="59">
        <f ca="1">AVERAGE(OFFSET($R$3,0,0,'Données projet'!$E$9+1,1))-AVERAGE(OFFSET($H$3,0,0,'Données projet'!$E$9+1,1))</f>
        <v>528.20489749461376</v>
      </c>
      <c r="T62" s="59">
        <f t="shared" si="34"/>
        <v>276.26988364830532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11.582414820498871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11.582414820498871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2.2737367544323206E-13</v>
      </c>
      <c r="AJ62" s="13">
        <f>AI62*VLOOKUP('Données projet'!$B$10,Paramètres!$A$1:$I$89,3,0)*VLOOKUP('Données projet'!$B$10,Paramètres!$A$1:$I$89,5,0)</f>
        <v>2.0572770154103635E-13</v>
      </c>
      <c r="AK62" s="13">
        <f t="shared" si="35"/>
        <v>2.8416956338469711E-12</v>
      </c>
      <c r="AL62" s="20">
        <f t="shared" si="4"/>
        <v>5.3075956424674458E-12</v>
      </c>
      <c r="AM62" s="59">
        <f t="shared" si="5"/>
        <v>293.3333333333386</v>
      </c>
      <c r="AN62" s="59">
        <f ca="1">AVERAGE(OFFSET($AM$3,0,0,'Données projet'!$E$10+1,1))-AVERAGE(OFFSET($H$3,0,0,'Données projet'!$E$10+1,1))</f>
        <v>436.23918637269577</v>
      </c>
      <c r="AO62" s="59">
        <f t="shared" si="36"/>
        <v>611.43967996341894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55.339305053345484</v>
      </c>
      <c r="AV62" s="21">
        <f>EXP(-LN(2)/25)*AV61+(1-EXP(-LN(2)/25))/(LN(2)/25)*Calculateur!AQ62*Calculateur!AS62*VLOOKUP('Données projet'!$B$10,Paramètres!$A$1:$I$89,3,0)*0.475*44/12</f>
        <v>29.361320861899767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84.700625915245254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9.375</v>
      </c>
      <c r="BD62" s="12">
        <f>IF('Données projet'!$A$88&gt;35,BD61+BC62-BL61,IF(A62&lt;'Données projet'!$A$88,$BA$205^A62,IF(A62='Données projet'!$A$88,'Données projet'!$B$88,BD61+BC62-BL61)))</f>
        <v>287.62499999999989</v>
      </c>
      <c r="BE62" s="13">
        <f>BD62*VLOOKUP('Données projet'!$B$11,Paramètres!$A$1:$I$89,3,0)*VLOOKUP('Données projet'!$B$11,Paramètres!$A$1:$I$89,5,0)</f>
        <v>224.34749999999991</v>
      </c>
      <c r="BF62" s="13">
        <f t="shared" si="37"/>
        <v>55.058714525680429</v>
      </c>
      <c r="BG62" s="20">
        <f t="shared" si="7"/>
        <v>486.63249029889329</v>
      </c>
      <c r="BH62" s="59">
        <f t="shared" si="8"/>
        <v>779.9658236322266</v>
      </c>
      <c r="BI62" s="59">
        <f ca="1">AVERAGE(OFFSET($BH$3,0,0,'Données projet'!$E$11+1,1))-AVERAGE(OFFSET($H$3,0,0,'Données projet'!$E$11+1,1))</f>
        <v>288.82868507674738</v>
      </c>
      <c r="BJ62" s="59">
        <f t="shared" si="38"/>
        <v>283.48738729114024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8.2017570387006806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8.2017570387006806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1.11755</v>
      </c>
      <c r="BY62" s="12">
        <f>IF('Données projet'!$A$114&gt;35,BY61+BX62-CG61,IF(A62&lt;'Données projet'!$A$114,$BV$205^A62,IF(A62='Données projet'!$A$114,'Données projet'!$B$114,BY61+BX62-CG61)))</f>
        <v>50.794449999999991</v>
      </c>
      <c r="BZ62" s="13">
        <f>BY62*VLOOKUP('Données projet'!$B$12,Paramètres!$A$1:$I$89,3,0)*VLOOKUP('Données projet'!$B$12,Paramètres!$A$1:$I$89,5,0)</f>
        <v>44.374031519999996</v>
      </c>
      <c r="CA62" s="13">
        <f t="shared" si="39"/>
        <v>13.150890143567427</v>
      </c>
      <c r="CB62" s="20">
        <f t="shared" si="10"/>
        <v>100.1892385640466</v>
      </c>
      <c r="CC62" s="59">
        <f t="shared" si="11"/>
        <v>393.52257189737992</v>
      </c>
      <c r="CD62" s="59">
        <f ca="1">AVERAGE(OFFSET($CC$3,0,0,'Données projet'!$E$12+1,1))-AVERAGE(OFFSET($H$3,0,0,'Données projet'!$E$12+1,1))</f>
        <v>93.329407403816901</v>
      </c>
      <c r="CE62" s="59">
        <f t="shared" si="40"/>
        <v>90.925148357295313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1.7324603374727674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1.7324603374727674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14.8</v>
      </c>
      <c r="CT62" s="12">
        <f>IF('Données projet'!$A$140&gt;35,CT61+CS62-DB61,IF(A62&lt;'Données projet'!$A$140,$CQ$205^A62,IF(A62='Données projet'!$A$140,'Données projet'!$B$140,CT61+CS62-DB61)))</f>
        <v>503.19999999999976</v>
      </c>
      <c r="CU62" s="17">
        <f>CT62*VLOOKUP('Données projet'!$B$13,Paramètres!$A$1:$I$89,3,0)*VLOOKUP('Données projet'!$B$13,Paramètres!$A$1:$I$89,5,0)</f>
        <v>478.84511999999972</v>
      </c>
      <c r="CV62" s="13">
        <f t="shared" si="41"/>
        <v>107.59012820265593</v>
      </c>
      <c r="CW62" s="20">
        <f t="shared" si="13"/>
        <v>1021.3747239529586</v>
      </c>
      <c r="CX62" s="59">
        <f t="shared" si="14"/>
        <v>1314.7080572862919</v>
      </c>
      <c r="CY62" s="59">
        <f ca="1">AVERAGE(OFFSET($CX$3,0,0,'Données projet'!$E$13+1,1))-AVERAGE(OFFSET($H$3,0,0,'Données projet'!$E$13+1,1))</f>
        <v>805.04572055352492</v>
      </c>
      <c r="CZ62" s="59">
        <f t="shared" si="42"/>
        <v>708.66645042414962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24.646484895881816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24.646484895881816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9.1999999999999993</v>
      </c>
      <c r="DO62" s="12">
        <f>IF('Données projet'!$A$166&gt;35,DO61+DN62-DW61,IF(A62&lt;'Données projet'!$A$166,$DL$205^A62,IF(A62='Données projet'!$A$166,'Données projet'!$B$166,DO61+DN62-DW61)))</f>
        <v>388.79999999999995</v>
      </c>
      <c r="DP62" s="17">
        <f>DO62*VLOOKUP('Données projet'!$B$14,Paramètres!$A$1:$I$89,3,0)*VLOOKUP('Données projet'!$B$14,Paramètres!$A$1:$I$89,5,0)</f>
        <v>260.80703999999997</v>
      </c>
      <c r="DQ62" s="13">
        <f t="shared" si="43"/>
        <v>62.894375229379683</v>
      </c>
      <c r="DR62" s="20">
        <f t="shared" si="16"/>
        <v>563.77996485783626</v>
      </c>
      <c r="DS62" s="59">
        <f t="shared" si="17"/>
        <v>857.11329819116963</v>
      </c>
      <c r="DT62" s="59">
        <f ca="1">AVERAGE(OFFSET($DS$3,0,0,'Données projet'!$E$14+1,1))-AVERAGE(OFFSET($H$3,0,0,'Données projet'!$E$14+1,1))</f>
        <v>482.69499576870095</v>
      </c>
      <c r="DU62" s="59">
        <f t="shared" si="44"/>
        <v>384.28918352579575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10.126996127575898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10.126996127575898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1.7053025658242404E-13</v>
      </c>
      <c r="EK62" s="17">
        <f>EJ62*VLOOKUP('Données projet'!$B$15,Paramètres!$A$1:$I$89,3,0)*VLOOKUP('Données projet'!$B$15,Paramètres!$A$1:$I$89,5,0)</f>
        <v>1.250327841262333E-13</v>
      </c>
      <c r="EL62" s="13">
        <f t="shared" si="45"/>
        <v>1.8301318724634299E-12</v>
      </c>
      <c r="EM62" s="20">
        <f t="shared" si="19"/>
        <v>3.405245110226996E-12</v>
      </c>
      <c r="EN62" s="59">
        <f t="shared" si="20"/>
        <v>293.33333333333672</v>
      </c>
      <c r="EO62" s="59">
        <f ca="1">AVERAGE(OFFSET($EN$3,0,0,'Données projet'!$E$15+1,1))-AVERAGE(OFFSET($H$3,0,0,'Données projet'!$E$15+1,1))</f>
        <v>197.34725966440715</v>
      </c>
      <c r="EP62" s="59">
        <f t="shared" si="46"/>
        <v>240.16326570529532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36.609117025637644</v>
      </c>
      <c r="EW62" s="21">
        <f>EXP(-LN(2)/25)*EW61+(1-EXP(-LN(2)/25))/(LN(2)/25)*Calculateur!ER62*Calculateur!ET62*VLOOKUP('Données projet'!$B$15,Paramètres!$A$1:$I$89,3,0)*0.475*44/12</f>
        <v>23.997449817288551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60.606566842926199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2.2737367544323206E-13</v>
      </c>
      <c r="FF62" s="17">
        <f>FE62*VLOOKUP('Données projet'!$B$16,Paramètres!$A$1:$I$89,3,0)*VLOOKUP('Données projet'!$B$16,Paramètres!$A$1:$I$89,5,0)</f>
        <v>1.2710188457276673E-13</v>
      </c>
      <c r="FG62" s="13">
        <f t="shared" si="47"/>
        <v>1.856866851063998E-12</v>
      </c>
      <c r="FH62" s="20">
        <f t="shared" si="22"/>
        <v>3.4554122145673649E-12</v>
      </c>
      <c r="FI62" s="59">
        <f t="shared" si="23"/>
        <v>293.33333333333678</v>
      </c>
      <c r="FJ62" s="59">
        <f ca="1">AVERAGE(OFFSET($FI$3,0,0,'Données projet'!$E$16+1,1))-AVERAGE(OFFSET($H$3,0,0,'Données projet'!$E$16+1,1))</f>
        <v>346.42094266871379</v>
      </c>
      <c r="FK62" s="59">
        <f t="shared" si="48"/>
        <v>453.48153556975973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174.68837727597477</v>
      </c>
      <c r="FR62" s="21">
        <f>EXP(-LN(2)/25)*FR61+(1-EXP(-LN(2)/25))/(LN(2)/25)*Calculateur!FM62*Calculateur!FO62*VLOOKUP('Données projet'!$B$16,Paramètres!$A$1:$I$89,3,0)*0.475*44/12</f>
        <v>108.47157005047677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283.15994732645152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13.500000000000004</v>
      </c>
      <c r="FZ62" s="12">
        <f>IF('Données projet'!$A$244&gt;35,FZ61+FY62-GH61,IF(A62&lt;'Données projet'!$A$244,$FW$205^A62,IF(A62='Données projet'!$A$244,'Données projet'!$B$244,FZ61+FY62-GH61)))</f>
        <v>370.9559999999999</v>
      </c>
      <c r="GA62" s="17">
        <f>FZ62*VLOOKUP('Données projet'!$B$17,Paramètres!$A$1:$I$89,3,0)*VLOOKUP('Données projet'!$B$17,Paramètres!$A$1:$I$89,5,0)</f>
        <v>173.60740799999994</v>
      </c>
      <c r="GB62" s="13">
        <f t="shared" si="49"/>
        <v>43.896972956045019</v>
      </c>
      <c r="GC62" s="20">
        <f t="shared" si="25"/>
        <v>378.82013016511155</v>
      </c>
      <c r="GD62" s="59">
        <f t="shared" si="26"/>
        <v>672.15346349844481</v>
      </c>
      <c r="GE62" s="59">
        <f ca="1">AVERAGE(OFFSET($GD$3,0,0,'Données projet'!$E$17+1,1))-AVERAGE(OFFSET($H$3,0,0,'Données projet'!$E$17+1,1))</f>
        <v>198.26255998041</v>
      </c>
      <c r="GF62" s="59">
        <f t="shared" si="50"/>
        <v>238.62101708181166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18.239055274716737</v>
      </c>
      <c r="GM62" s="21">
        <f>EXP(-LN(2)/25)*GM61+(1-EXP(-LN(2)/25))/(LN(2)/25)*Calculateur!GH62*Calculateur!GJ62*VLOOKUP('Données projet'!$B$17,Paramètres!$A$1:$I$89,3,0)*0.475*44/12</f>
        <v>23.686492696881871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41.925547971598604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15.7</v>
      </c>
      <c r="GU62" s="12">
        <f>IF('Données projet'!$A$270&gt;35,GU61+GT62-HC61,IF(A62&lt;'Données projet'!$A$270,$GR$205^A62,IF(A62='Données projet'!$A$270,'Données projet'!$B$270,GU61+GT62-HC61)))</f>
        <v>377.3</v>
      </c>
      <c r="GV62" s="17">
        <f>GU62*VLOOKUP('Données projet'!$B$18,Paramètres!$A$1:$I$89,3,0)*VLOOKUP('Données projet'!$B$18,Paramètres!$A$1:$I$89,5,0)</f>
        <v>434.64959999999996</v>
      </c>
      <c r="GW62" s="13">
        <f t="shared" si="51"/>
        <v>98.76701682520077</v>
      </c>
      <c r="GX62" s="20">
        <f t="shared" si="28"/>
        <v>929.03394097055798</v>
      </c>
      <c r="GY62" s="59">
        <f t="shared" si="29"/>
        <v>1222.3672743038912</v>
      </c>
      <c r="GZ62" s="59">
        <f ca="1">AVERAGE(OFFSET($GY$3,0,0,'Données projet'!$E$18+1,1))-AVERAGE(OFFSET($H$3,0,0,'Données projet'!$E$18+1,1))</f>
        <v>604.0566904089452</v>
      </c>
      <c r="HA62" s="59">
        <f t="shared" si="52"/>
        <v>369.5187835902687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21.582938001962244</v>
      </c>
      <c r="HH62" s="21">
        <f>EXP(-LN(2)/25)*HH61+(1-EXP(-LN(2)/25))/(LN(2)/25)*Calculateur!HC62*Calculateur!HE62*VLOOKUP('Données projet'!$B$18,Paramètres!$A$1:$I$89,3,0)*0.475*44/12</f>
        <v>19.413370512157652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40.996308514119896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250</v>
      </c>
      <c r="L63" s="12">
        <f>VLOOKUP(A63,'Données projet'!$A$35:$I$55,9,0)</f>
        <v>10.125</v>
      </c>
      <c r="M63" s="12">
        <f t="array" ref="M63">INDEX(L:L,MIN(IF(ISNUMBER(L63:L259),ROW(L63:L259),"")))</f>
        <v>10.125</v>
      </c>
      <c r="N63" s="13">
        <f>IF('Données projet'!$A$36&gt;35,N62+M63-V62,IF(A63&lt;'Données projet'!$A$36,$K$205^A63,IF(A63='Données projet'!$A$36,'Données projet'!$B$36,N62+M63-V62)))</f>
        <v>250</v>
      </c>
      <c r="O63" s="13">
        <f>N63*VLOOKUP('Données projet'!$B$9,Paramètres!$A$1:$I$89,3,0)*VLOOKUP('Données projet'!$B$9,Paramètres!$A$1:$I$89,5,0)</f>
        <v>226.20000000000002</v>
      </c>
      <c r="P63" s="13">
        <f t="shared" si="33"/>
        <v>55.460237717698156</v>
      </c>
      <c r="Q63" s="20">
        <f t="shared" si="53"/>
        <v>490.55824735832431</v>
      </c>
      <c r="R63" s="59">
        <f t="shared" si="0"/>
        <v>783.89158069165762</v>
      </c>
      <c r="S63" s="59">
        <f ca="1">AVERAGE(OFFSET($R$3,0,0,'Données projet'!$E$9+1,1))-AVERAGE(OFFSET($H$3,0,0,'Données projet'!$E$9+1,1))</f>
        <v>528.20489749461376</v>
      </c>
      <c r="T63" s="59">
        <f t="shared" si="34"/>
        <v>276.26988364830532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54</v>
      </c>
      <c r="W63" s="16">
        <f>IF(ISNA(VLOOKUP(A63,'Données projet'!$A$35:$I$55,5,0)),0%,VLOOKUP(A63,'Données projet'!$A$35:$I$55,5,0)*VLOOKUP('Données projet'!$B$9,Paramètres!$A$1:$I$89,7,0))</f>
        <v>0.25800000000000001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25.290489509304848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25.290489509304848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2.2737367544323206E-13</v>
      </c>
      <c r="AJ63" s="13">
        <f>AI63*VLOOKUP('Données projet'!$B$10,Paramètres!$A$1:$I$89,3,0)*VLOOKUP('Données projet'!$B$10,Paramètres!$A$1:$I$89,5,0)</f>
        <v>2.0572770154103635E-13</v>
      </c>
      <c r="AK63" s="13">
        <f t="shared" si="35"/>
        <v>2.8416956338469711E-12</v>
      </c>
      <c r="AL63" s="20">
        <f t="shared" si="4"/>
        <v>5.3075956424674458E-12</v>
      </c>
      <c r="AM63" s="59">
        <f t="shared" si="5"/>
        <v>293.3333333333386</v>
      </c>
      <c r="AN63" s="59">
        <f ca="1">AVERAGE(OFFSET($AM$3,0,0,'Données projet'!$E$10+1,1))-AVERAGE(OFFSET($H$3,0,0,'Données projet'!$E$10+1,1))</f>
        <v>436.23918637269577</v>
      </c>
      <c r="AO63" s="59">
        <f t="shared" si="36"/>
        <v>611.43967996341894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54.254135034892563</v>
      </c>
      <c r="AV63" s="21">
        <f>EXP(-LN(2)/25)*AV62+(1-EXP(-LN(2)/25))/(LN(2)/25)*Calculateur!AQ63*Calculateur!AS63*VLOOKUP('Données projet'!$B$10,Paramètres!$A$1:$I$89,3,0)*0.475*44/12</f>
        <v>28.558433998886361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82.812569033778928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297</v>
      </c>
      <c r="BB63" s="12">
        <f>VLOOKUP(A63,'Données projet'!$A$87:$I$107,9,0)</f>
        <v>9.375</v>
      </c>
      <c r="BC63" s="12">
        <f t="array" ref="BC63">INDEX(BB:BB,MIN(IF(ISNUMBER(BB63:BB259),ROW(BB63:BB259),"")))</f>
        <v>9.375</v>
      </c>
      <c r="BD63" s="12">
        <f>IF('Données projet'!$A$88&gt;35,BD62+BC63-BL62,IF(A63&lt;'Données projet'!$A$88,$BA$205^A63,IF(A63='Données projet'!$A$88,'Données projet'!$B$88,BD62+BC63-BL62)))</f>
        <v>296.99999999999989</v>
      </c>
      <c r="BE63" s="13">
        <f>BD63*VLOOKUP('Données projet'!$B$11,Paramètres!$A$1:$I$89,3,0)*VLOOKUP('Données projet'!$B$11,Paramètres!$A$1:$I$89,5,0)</f>
        <v>231.65999999999991</v>
      </c>
      <c r="BF63" s="13">
        <f t="shared" si="37"/>
        <v>56.641461975682766</v>
      </c>
      <c r="BG63" s="20">
        <f t="shared" si="7"/>
        <v>502.125046274314</v>
      </c>
      <c r="BH63" s="59">
        <f t="shared" si="8"/>
        <v>795.45837960764732</v>
      </c>
      <c r="BI63" s="59">
        <f ca="1">AVERAGE(OFFSET($BH$3,0,0,'Données projet'!$E$11+1,1))-AVERAGE(OFFSET($H$3,0,0,'Données projet'!$E$11+1,1))</f>
        <v>288.82868507674738</v>
      </c>
      <c r="BJ63" s="59">
        <f t="shared" si="38"/>
        <v>283.48738729114024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0.25800000000000001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18.496773967078504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18.496773967078504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51.911999999999999</v>
      </c>
      <c r="BW63" s="12">
        <f>VLOOKUP(A63,'Données projet'!$A$113:$I$133,9,0)</f>
        <v>1.11755</v>
      </c>
      <c r="BX63" s="12">
        <f t="array" ref="BX63">INDEX(BW:BW,MIN(IF(ISNUMBER(BW63:BW259),ROW(BW63:BW259),"")))</f>
        <v>1.11755</v>
      </c>
      <c r="BY63" s="12">
        <f>IF('Données projet'!$A$114&gt;35,BY62+BX63-CG62,IF(A63&lt;'Données projet'!$A$114,$BV$205^A63,IF(A63='Données projet'!$A$114,'Données projet'!$B$114,BY62+BX63-CG62)))</f>
        <v>51.911999999999992</v>
      </c>
      <c r="BZ63" s="13">
        <f>BY63*VLOOKUP('Données projet'!$B$12,Paramètres!$A$1:$I$89,3,0)*VLOOKUP('Données projet'!$B$12,Paramètres!$A$1:$I$89,5,0)</f>
        <v>45.350323199999998</v>
      </c>
      <c r="CA63" s="13">
        <f t="shared" si="39"/>
        <v>13.406224703660472</v>
      </c>
      <c r="CB63" s="20">
        <f t="shared" si="10"/>
        <v>102.33432093220864</v>
      </c>
      <c r="CC63" s="59">
        <f t="shared" si="11"/>
        <v>395.66765426554196</v>
      </c>
      <c r="CD63" s="59">
        <f ca="1">AVERAGE(OFFSET($CC$3,0,0,'Données projet'!$E$12+1,1))-AVERAGE(OFFSET($H$3,0,0,'Données projet'!$E$12+1,1))</f>
        <v>93.329407403816901</v>
      </c>
      <c r="CE63" s="59">
        <f t="shared" si="40"/>
        <v>90.925148357295313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2.5234999999999999</v>
      </c>
      <c r="CH63" s="16">
        <f>IF(ISNA(VLOOKUP(A63,'Données projet'!$A$113:$I$133,5,0)),0%,VLOOKUP(A63,'Données projet'!$A$113:$I$133,5,0)*VLOOKUP('Données projet'!$B$12,Paramètres!$A$1:$I$89,7,0))</f>
        <v>0.25800000000000001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2.3272447277411268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2.3272447277411268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518</v>
      </c>
      <c r="CR63" s="12">
        <f>VLOOKUP(A63,'Données projet'!$A$139:$I$159,9,0)</f>
        <v>14.8</v>
      </c>
      <c r="CS63" s="12">
        <f t="array" ref="CS63">INDEX(CR:CR,MIN(IF(ISNUMBER(CR63:CR259),ROW(CR63:CR259),"")))</f>
        <v>14.8</v>
      </c>
      <c r="CT63" s="12">
        <f>IF('Données projet'!$A$140&gt;35,CT62+CS63-DB62,IF(A63&lt;'Données projet'!$A$140,$CQ$205^A63,IF(A63='Données projet'!$A$140,'Données projet'!$B$140,CT62+CS63-DB62)))</f>
        <v>517.99999999999977</v>
      </c>
      <c r="CU63" s="17">
        <f>CT63*VLOOKUP('Données projet'!$B$13,Paramètres!$A$1:$I$89,3,0)*VLOOKUP('Données projet'!$B$13,Paramètres!$A$1:$I$89,5,0)</f>
        <v>492.9287999999998</v>
      </c>
      <c r="CV63" s="13">
        <f t="shared" si="41"/>
        <v>110.381471127974</v>
      </c>
      <c r="CW63" s="20">
        <f t="shared" si="13"/>
        <v>1050.7653888812208</v>
      </c>
      <c r="CX63" s="59">
        <f t="shared" si="14"/>
        <v>1344.0987222145541</v>
      </c>
      <c r="CY63" s="59">
        <f ca="1">AVERAGE(OFFSET($CX$3,0,0,'Données projet'!$E$13+1,1))-AVERAGE(OFFSET($H$3,0,0,'Données projet'!$E$13+1,1))</f>
        <v>805.04572055352492</v>
      </c>
      <c r="CZ63" s="59">
        <f t="shared" si="42"/>
        <v>708.66645042414962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59</v>
      </c>
      <c r="DC63" s="16">
        <f>IF(ISNA(VLOOKUP(A63,'Données projet'!$A$139:$I$159,5,0)),0%,VLOOKUP(A63,'Données projet'!$A$139:$I$159,5,0)*VLOOKUP('Données projet'!$B$13,Paramètres!$A$1:$I$89,7,0))</f>
        <v>0.25800000000000001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40.176202923520627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40.176202923520627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398</v>
      </c>
      <c r="DM63" s="12">
        <f>VLOOKUP(A63,'Données projet'!$A$165:$I$185,9,0)</f>
        <v>9.1999999999999993</v>
      </c>
      <c r="DN63" s="12">
        <f t="array" ref="DN63">INDEX(DM:DM,MIN(IF(ISNUMBER(DM63:DM259),ROW(DM63:DM259),"")))</f>
        <v>9.1999999999999993</v>
      </c>
      <c r="DO63" s="12">
        <f>IF('Données projet'!$A$166&gt;35,DO62+DN63-DW62,IF(A63&lt;'Données projet'!$A$166,$DL$205^A63,IF(A63='Données projet'!$A$166,'Données projet'!$B$166,DO62+DN63-DW62)))</f>
        <v>397.99999999999994</v>
      </c>
      <c r="DP63" s="17">
        <f>DO63*VLOOKUP('Données projet'!$B$14,Paramètres!$A$1:$I$89,3,0)*VLOOKUP('Données projet'!$B$14,Paramètres!$A$1:$I$89,5,0)</f>
        <v>266.97839999999997</v>
      </c>
      <c r="DQ63" s="13">
        <f t="shared" si="43"/>
        <v>64.207590090960153</v>
      </c>
      <c r="DR63" s="20">
        <f t="shared" si="16"/>
        <v>576.81559940842214</v>
      </c>
      <c r="DS63" s="59">
        <f t="shared" si="17"/>
        <v>870.14893274175552</v>
      </c>
      <c r="DT63" s="59">
        <f ca="1">AVERAGE(OFFSET($DS$3,0,0,'Données projet'!$E$14+1,1))-AVERAGE(OFFSET($H$3,0,0,'Données projet'!$E$14+1,1))</f>
        <v>482.69499576870095</v>
      </c>
      <c r="DU63" s="59">
        <f t="shared" si="44"/>
        <v>384.28918352579575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25</v>
      </c>
      <c r="DX63" s="16">
        <f>IF(ISNA(VLOOKUP(A63,'Données projet'!$A$165:$I$185,5,0)),0%,VLOOKUP(A63,'Données projet'!$A$165:$I$185,5,0)*VLOOKUP('Données projet'!$B$14,Paramètres!$A$1:$I$89,7,0))</f>
        <v>0.318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15.823730678567948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15.823730678567948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1.7053025658242404E-13</v>
      </c>
      <c r="EK63" s="17">
        <f>EJ63*VLOOKUP('Données projet'!$B$15,Paramètres!$A$1:$I$89,3,0)*VLOOKUP('Données projet'!$B$15,Paramètres!$A$1:$I$89,5,0)</f>
        <v>1.250327841262333E-13</v>
      </c>
      <c r="EL63" s="13">
        <f t="shared" si="45"/>
        <v>1.8301318724634299E-12</v>
      </c>
      <c r="EM63" s="20">
        <f t="shared" si="19"/>
        <v>3.405245110226996E-12</v>
      </c>
      <c r="EN63" s="59">
        <f t="shared" si="20"/>
        <v>293.33333333333672</v>
      </c>
      <c r="EO63" s="59">
        <f ca="1">AVERAGE(OFFSET($EN$3,0,0,'Données projet'!$E$15+1,1))-AVERAGE(OFFSET($H$3,0,0,'Données projet'!$E$15+1,1))</f>
        <v>197.34725966440715</v>
      </c>
      <c r="EP63" s="59">
        <f t="shared" si="46"/>
        <v>240.16326570529532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35.891234570121433</v>
      </c>
      <c r="EW63" s="21">
        <f>EXP(-LN(2)/25)*EW62+(1-EXP(-LN(2)/25))/(LN(2)/25)*Calculateur!ER63*Calculateur!ET63*VLOOKUP('Données projet'!$B$15,Paramètres!$A$1:$I$89,3,0)*0.475*44/12</f>
        <v>23.341238290063757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59.23247286018519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2.2737367544323206E-13</v>
      </c>
      <c r="FF63" s="17">
        <f>FE63*VLOOKUP('Données projet'!$B$16,Paramètres!$A$1:$I$89,3,0)*VLOOKUP('Données projet'!$B$16,Paramètres!$A$1:$I$89,5,0)</f>
        <v>1.2710188457276673E-13</v>
      </c>
      <c r="FG63" s="13">
        <f t="shared" si="47"/>
        <v>1.856866851063998E-12</v>
      </c>
      <c r="FH63" s="20">
        <f t="shared" si="22"/>
        <v>3.4554122145673649E-12</v>
      </c>
      <c r="FI63" s="59">
        <f t="shared" si="23"/>
        <v>293.33333333333678</v>
      </c>
      <c r="FJ63" s="59">
        <f ca="1">AVERAGE(OFFSET($FI$3,0,0,'Données projet'!$E$16+1,1))-AVERAGE(OFFSET($H$3,0,0,'Données projet'!$E$16+1,1))</f>
        <v>346.42094266871379</v>
      </c>
      <c r="FK63" s="59">
        <f t="shared" si="48"/>
        <v>453.48153556975973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171.26284474698215</v>
      </c>
      <c r="FR63" s="21">
        <f>EXP(-LN(2)/25)*FR62+(1-EXP(-LN(2)/25))/(LN(2)/25)*Calculateur!FM63*Calculateur!FO63*VLOOKUP('Données projet'!$B$16,Paramètres!$A$1:$I$89,3,0)*0.475*44/12</f>
        <v>105.50540926317453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276.76825401015668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384.45600000000002</v>
      </c>
      <c r="FX63" s="12">
        <f>VLOOKUP(A63,'Données projet'!$A$243:$I$263,9,0)</f>
        <v>13.500000000000004</v>
      </c>
      <c r="FY63" s="12">
        <f t="array" ref="FY63">INDEX(FX:FX,MIN(IF(ISNUMBER(FX63:FX259),ROW(FX63:FX259),"")))</f>
        <v>13.500000000000004</v>
      </c>
      <c r="FZ63" s="12">
        <f>IF('Données projet'!$A$244&gt;35,FZ62+FY63-GH62,IF(A63&lt;'Données projet'!$A$244,$FW$205^A63,IF(A63='Données projet'!$A$244,'Données projet'!$B$244,FZ62+FY63-GH62)))</f>
        <v>384.4559999999999</v>
      </c>
      <c r="GA63" s="17">
        <f>FZ63*VLOOKUP('Données projet'!$B$17,Paramètres!$A$1:$I$89,3,0)*VLOOKUP('Données projet'!$B$17,Paramètres!$A$1:$I$89,5,0)</f>
        <v>179.92540799999995</v>
      </c>
      <c r="GB63" s="13">
        <f t="shared" si="49"/>
        <v>45.30559042053045</v>
      </c>
      <c r="GC63" s="20">
        <f t="shared" si="25"/>
        <v>392.27732224909045</v>
      </c>
      <c r="GD63" s="59">
        <f t="shared" si="26"/>
        <v>685.61065558242376</v>
      </c>
      <c r="GE63" s="59">
        <f ca="1">AVERAGE(OFFSET($GD$3,0,0,'Données projet'!$E$17+1,1))-AVERAGE(OFFSET($H$3,0,0,'Données projet'!$E$17+1,1))</f>
        <v>198.26255998041</v>
      </c>
      <c r="GF63" s="59">
        <f t="shared" si="50"/>
        <v>238.62101708181166</v>
      </c>
      <c r="GG63" s="15">
        <f>IF(ISNA(VLOOKUP(A63,'Données projet'!$A$243:$I$263,3,0)),0,VLOOKUP(A63,'Données projet'!$A$243:$I$263,3,0))</f>
        <v>5</v>
      </c>
      <c r="GH63" s="15">
        <f>IF(ISNA(VLOOKUP(A63,'Données projet'!$A$243:$I$263,4,0)),0,VLOOKUP(A63,'Données projet'!$A$243:$I$263,4,0))</f>
        <v>384.45600000000002</v>
      </c>
      <c r="GI63" s="16">
        <f>IF(ISNA(VLOOKUP(A63,'Données projet'!$A$243:$I$263,5,0)),0%,VLOOKUP(A63,'Données projet'!$A$243:$I$263,5,0)*VLOOKUP('Données projet'!$B$17,Paramètres!$A$1:$I$89,7,0))</f>
        <v>0.38500000000000001</v>
      </c>
      <c r="GJ63" s="16">
        <f>IF(ISNA(VLOOKUP(A63,'Données projet'!$A$243:$I$263,6,0)),0%,VLOOKUP(A63,'Données projet'!$A$243:$I$263,6,0)*VLOOKUP('Données projet'!$B$17,Paramètres!$A$1:$I$89,7,0))</f>
        <v>0.16500000000000001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109.77421911555876</v>
      </c>
      <c r="GM63" s="21">
        <f>EXP(-LN(2)/25)*GM62+(1-EXP(-LN(2)/25))/(LN(2)/25)*Calculateur!GH63*Calculateur!GJ63*VLOOKUP('Données projet'!$B$17,Paramètres!$A$1:$I$89,3,0)*0.475*44/12</f>
        <v>62.266357254816228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172.04057637037499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393</v>
      </c>
      <c r="GS63" s="12">
        <f>VLOOKUP(A63,'Données projet'!$A$269:$I$289,9,0)</f>
        <v>15.7</v>
      </c>
      <c r="GT63" s="12">
        <f t="array" ref="GT63">INDEX(GS:GS,MIN(IF(ISNUMBER(GS63:GS259),ROW(GS63:GS259),"")))</f>
        <v>15.7</v>
      </c>
      <c r="GU63" s="12">
        <f>IF('Données projet'!$A$270&gt;35,GU62+GT63-HC62,IF(A63&lt;'Données projet'!$A$270,$GR$205^A63,IF(A63='Données projet'!$A$270,'Données projet'!$B$270,GU62+GT63-HC62)))</f>
        <v>393</v>
      </c>
      <c r="GV63" s="17">
        <f>GU63*VLOOKUP('Données projet'!$B$18,Paramètres!$A$1:$I$89,3,0)*VLOOKUP('Données projet'!$B$18,Paramètres!$A$1:$I$89,5,0)</f>
        <v>452.73599999999993</v>
      </c>
      <c r="GW63" s="13">
        <f t="shared" si="51"/>
        <v>102.38980901067711</v>
      </c>
      <c r="GX63" s="20">
        <f t="shared" si="28"/>
        <v>966.84411736026232</v>
      </c>
      <c r="GY63" s="59">
        <f t="shared" si="29"/>
        <v>1260.1774506935956</v>
      </c>
      <c r="GZ63" s="59">
        <f ca="1">AVERAGE(OFFSET($GY$3,0,0,'Données projet'!$E$18+1,1))-AVERAGE(OFFSET($H$3,0,0,'Données projet'!$E$18+1,1))</f>
        <v>604.0566904089452</v>
      </c>
      <c r="HA63" s="59">
        <f t="shared" si="52"/>
        <v>369.5187835902687</v>
      </c>
      <c r="HB63" s="15">
        <f>IF(ISNA(VLOOKUP(A63,'Données projet'!$A$269:$I$289,3,0)),0,VLOOKUP(A63,'Données projet'!$A$269:$I$289,3,0))</f>
        <v>6</v>
      </c>
      <c r="HC63" s="15">
        <f>IF(ISNA(VLOOKUP(A63,'Données projet'!$A$269:$I$289,4,0)),0,VLOOKUP(A63,'Données projet'!$A$269:$I$289,4,0))</f>
        <v>88</v>
      </c>
      <c r="HD63" s="16">
        <f>IF(ISNA(VLOOKUP(A63,'Données projet'!$A$269:$I$289,5,0)),0%,VLOOKUP(A63,'Données projet'!$A$269:$I$289,5,0)*VLOOKUP('Données projet'!$B$18,Paramètres!$A$1:$I$89,7,0))</f>
        <v>0.315</v>
      </c>
      <c r="HE63" s="16">
        <f>IF(ISNA(VLOOKUP(A63,'Données projet'!$A$269:$I$289,6,0)),0%,VLOOKUP(A63,'Données projet'!$A$269:$I$289,6,0)*VLOOKUP('Données projet'!$B$18,Paramètres!$A$1:$I$89,7,0))</f>
        <v>0.13500000000000001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44.105666575821331</v>
      </c>
      <c r="HH63" s="21">
        <f>EXP(-LN(2)/25)*HH62+(1-EXP(-LN(2)/25))/(LN(2)/25)*Calculateur!HC63*Calculateur!HE63*VLOOKUP('Données projet'!$B$18,Paramètres!$A$1:$I$89,3,0)*0.475*44/12</f>
        <v>28.677772238315775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72.783438814137099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8.6666666666666661</v>
      </c>
      <c r="N64" s="13">
        <f>IF('Données projet'!$A$36&gt;35,N63+M64-V63,IF(A64&lt;'Données projet'!$A$36,$K$205^A64,IF(A64='Données projet'!$A$36,'Données projet'!$B$36,N63+M64-V63)))</f>
        <v>204.66666666666669</v>
      </c>
      <c r="O64" s="13">
        <f>N64*VLOOKUP('Données projet'!$B$9,Paramètres!$A$1:$I$89,3,0)*VLOOKUP('Données projet'!$B$9,Paramètres!$A$1:$I$89,5,0)</f>
        <v>185.1824</v>
      </c>
      <c r="P64" s="13">
        <f t="shared" si="33"/>
        <v>46.473263079642983</v>
      </c>
      <c r="Q64" s="20">
        <f t="shared" si="53"/>
        <v>403.46694653037821</v>
      </c>
      <c r="R64" s="59">
        <f t="shared" si="0"/>
        <v>696.80027986371147</v>
      </c>
      <c r="S64" s="59">
        <f ca="1">AVERAGE(OFFSET($R$3,0,0,'Données projet'!$E$9+1,1))-AVERAGE(OFFSET($H$3,0,0,'Données projet'!$E$9+1,1))</f>
        <v>528.20489749461376</v>
      </c>
      <c r="T64" s="59">
        <f t="shared" si="34"/>
        <v>276.26988364830532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24.794558435702822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24.794558435702822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2.2737367544323206E-13</v>
      </c>
      <c r="AJ64" s="13">
        <f>AI64*VLOOKUP('Données projet'!$B$10,Paramètres!$A$1:$I$89,3,0)*VLOOKUP('Données projet'!$B$10,Paramètres!$A$1:$I$89,5,0)</f>
        <v>2.0572770154103635E-13</v>
      </c>
      <c r="AK64" s="13">
        <f t="shared" si="35"/>
        <v>2.8416956338469711E-12</v>
      </c>
      <c r="AL64" s="20">
        <f t="shared" si="4"/>
        <v>5.3075956424674458E-12</v>
      </c>
      <c r="AM64" s="59">
        <f t="shared" si="5"/>
        <v>293.3333333333386</v>
      </c>
      <c r="AN64" s="59">
        <f ca="1">AVERAGE(OFFSET($AM$3,0,0,'Données projet'!$E$10+1,1))-AVERAGE(OFFSET($H$3,0,0,'Données projet'!$E$10+1,1))</f>
        <v>436.23918637269577</v>
      </c>
      <c r="AO64" s="59">
        <f t="shared" si="36"/>
        <v>611.43967996341894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53.19024453861315</v>
      </c>
      <c r="AV64" s="21">
        <f>EXP(-LN(2)/25)*AV63+(1-EXP(-LN(2)/25))/(LN(2)/25)*Calculateur!AQ64*Calculateur!AS64*VLOOKUP('Données projet'!$B$10,Paramètres!$A$1:$I$89,3,0)*0.475*44/12</f>
        <v>27.777502119364041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80.967746657977187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8.6666666666666661</v>
      </c>
      <c r="BD64" s="12">
        <f>IF('Données projet'!$A$88&gt;35,BD63+BC64-BL63,IF(A64&lt;'Données projet'!$A$88,$BA$205^A64,IF(A64='Données projet'!$A$88,'Données projet'!$B$88,BD63+BC64-BL63)))</f>
        <v>258.66666666666657</v>
      </c>
      <c r="BE64" s="13">
        <f>BD64*VLOOKUP('Données projet'!$B$11,Paramètres!$A$1:$I$89,3,0)*VLOOKUP('Données projet'!$B$11,Paramètres!$A$1:$I$89,5,0)</f>
        <v>201.75999999999993</v>
      </c>
      <c r="BF64" s="13">
        <f t="shared" si="37"/>
        <v>50.130765000424169</v>
      </c>
      <c r="BG64" s="20">
        <f t="shared" si="7"/>
        <v>438.70974904240529</v>
      </c>
      <c r="BH64" s="59">
        <f t="shared" si="8"/>
        <v>732.04308237573855</v>
      </c>
      <c r="BI64" s="59">
        <f ca="1">AVERAGE(OFFSET($BH$3,0,0,'Données projet'!$E$11+1,1))-AVERAGE(OFFSET($H$3,0,0,'Données projet'!$E$11+1,1))</f>
        <v>288.82868507674738</v>
      </c>
      <c r="BJ64" s="59">
        <f t="shared" si="38"/>
        <v>283.48738729114024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18.134063511502216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18.134063511502216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0.93729999999999902</v>
      </c>
      <c r="BY64" s="12">
        <f>IF('Données projet'!$A$114&gt;35,BY63+BX64-CG63,IF(A64&lt;'Données projet'!$A$114,$BV$205^A64,IF(A64='Données projet'!$A$114,'Données projet'!$B$114,BY63+BX64-CG63)))</f>
        <v>50.325799999999994</v>
      </c>
      <c r="BZ64" s="13">
        <f>BY64*VLOOKUP('Données projet'!$B$12,Paramètres!$A$1:$I$89,3,0)*VLOOKUP('Données projet'!$B$12,Paramètres!$A$1:$I$89,5,0)</f>
        <v>43.964618880000003</v>
      </c>
      <c r="CA64" s="13">
        <f t="shared" si="39"/>
        <v>13.043620419405817</v>
      </c>
      <c r="CB64" s="20">
        <f t="shared" si="10"/>
        <v>99.289350113131817</v>
      </c>
      <c r="CC64" s="59">
        <f t="shared" si="11"/>
        <v>392.62268344646515</v>
      </c>
      <c r="CD64" s="59">
        <f ca="1">AVERAGE(OFFSET($CC$3,0,0,'Données projet'!$E$12+1,1))-AVERAGE(OFFSET($H$3,0,0,'Données projet'!$E$12+1,1))</f>
        <v>93.329407403816901</v>
      </c>
      <c r="CE64" s="59">
        <f t="shared" si="40"/>
        <v>90.925148357295313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2.2816088781092452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2.2816088781092452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14</v>
      </c>
      <c r="CT64" s="12">
        <f>IF('Données projet'!$A$140&gt;35,CT63+CS64-DB63,IF(A64&lt;'Données projet'!$A$140,$CQ$205^A64,IF(A64='Données projet'!$A$140,'Données projet'!$B$140,CT63+CS64-DB63)))</f>
        <v>472.99999999999977</v>
      </c>
      <c r="CU64" s="17">
        <f>CT64*VLOOKUP('Données projet'!$B$13,Paramètres!$A$1:$I$89,3,0)*VLOOKUP('Données projet'!$B$13,Paramètres!$A$1:$I$89,5,0)</f>
        <v>450.10679999999979</v>
      </c>
      <c r="CV64" s="13">
        <f t="shared" si="41"/>
        <v>101.86422987791055</v>
      </c>
      <c r="CW64" s="20">
        <f t="shared" si="13"/>
        <v>961.34954370402704</v>
      </c>
      <c r="CX64" s="59">
        <f t="shared" si="14"/>
        <v>1254.6828770373604</v>
      </c>
      <c r="CY64" s="59">
        <f ca="1">AVERAGE(OFFSET($CX$3,0,0,'Données projet'!$E$13+1,1))-AVERAGE(OFFSET($H$3,0,0,'Données projet'!$E$13+1,1))</f>
        <v>805.04572055352492</v>
      </c>
      <c r="CZ64" s="59">
        <f t="shared" si="42"/>
        <v>708.66645042414962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39.388372089254496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39.388372089254496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8.4</v>
      </c>
      <c r="DO64" s="12">
        <f>IF('Données projet'!$A$166&gt;35,DO63+DN64-DW63,IF(A64&lt;'Données projet'!$A$166,$DL$205^A64,IF(A64='Données projet'!$A$166,'Données projet'!$B$166,DO63+DN64-DW63)))</f>
        <v>381.39999999999992</v>
      </c>
      <c r="DP64" s="17">
        <f>DO64*VLOOKUP('Données projet'!$B$14,Paramètres!$A$1:$I$89,3,0)*VLOOKUP('Données projet'!$B$14,Paramètres!$A$1:$I$89,5,0)</f>
        <v>255.84311999999994</v>
      </c>
      <c r="DQ64" s="13">
        <f t="shared" si="43"/>
        <v>61.835469678313395</v>
      </c>
      <c r="DR64" s="20">
        <f t="shared" si="16"/>
        <v>553.29021035639573</v>
      </c>
      <c r="DS64" s="59">
        <f t="shared" si="17"/>
        <v>846.6235436897291</v>
      </c>
      <c r="DT64" s="59">
        <f ca="1">AVERAGE(OFFSET($DS$3,0,0,'Données projet'!$E$14+1,1))-AVERAGE(OFFSET($H$3,0,0,'Données projet'!$E$14+1,1))</f>
        <v>482.69499576870095</v>
      </c>
      <c r="DU64" s="59">
        <f t="shared" si="44"/>
        <v>384.28918352579575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15.513436971483936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15.513436971483936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1.7053025658242404E-13</v>
      </c>
      <c r="EK64" s="17">
        <f>EJ64*VLOOKUP('Données projet'!$B$15,Paramètres!$A$1:$I$89,3,0)*VLOOKUP('Données projet'!$B$15,Paramètres!$A$1:$I$89,5,0)</f>
        <v>1.250327841262333E-13</v>
      </c>
      <c r="EL64" s="13">
        <f t="shared" si="45"/>
        <v>1.8301318724634299E-12</v>
      </c>
      <c r="EM64" s="20">
        <f t="shared" si="19"/>
        <v>3.405245110226996E-12</v>
      </c>
      <c r="EN64" s="59">
        <f t="shared" si="20"/>
        <v>293.33333333333672</v>
      </c>
      <c r="EO64" s="59">
        <f ca="1">AVERAGE(OFFSET($EN$3,0,0,'Données projet'!$E$15+1,1))-AVERAGE(OFFSET($H$3,0,0,'Données projet'!$E$15+1,1))</f>
        <v>197.34725966440715</v>
      </c>
      <c r="EP64" s="59">
        <f t="shared" si="46"/>
        <v>240.16326570529532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35.187429351692835</v>
      </c>
      <c r="EW64" s="21">
        <f>EXP(-LN(2)/25)*EW63+(1-EXP(-LN(2)/25))/(LN(2)/25)*Calculateur!ER64*Calculateur!ET64*VLOOKUP('Données projet'!$B$15,Paramètres!$A$1:$I$89,3,0)*0.475*44/12</f>
        <v>22.702970901559588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57.890400253252423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2.2737367544323206E-13</v>
      </c>
      <c r="FF64" s="17">
        <f>FE64*VLOOKUP('Données projet'!$B$16,Paramètres!$A$1:$I$89,3,0)*VLOOKUP('Données projet'!$B$16,Paramètres!$A$1:$I$89,5,0)</f>
        <v>1.2710188457276673E-13</v>
      </c>
      <c r="FG64" s="13">
        <f t="shared" si="47"/>
        <v>1.856866851063998E-12</v>
      </c>
      <c r="FH64" s="20">
        <f t="shared" si="22"/>
        <v>3.4554122145673649E-12</v>
      </c>
      <c r="FI64" s="59">
        <f t="shared" si="23"/>
        <v>293.33333333333678</v>
      </c>
      <c r="FJ64" s="59">
        <f ca="1">AVERAGE(OFFSET($FI$3,0,0,'Données projet'!$E$16+1,1))-AVERAGE(OFFSET($H$3,0,0,'Données projet'!$E$16+1,1))</f>
        <v>346.42094266871379</v>
      </c>
      <c r="FK64" s="59">
        <f t="shared" si="48"/>
        <v>453.48153556975973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167.90448482151456</v>
      </c>
      <c r="FR64" s="21">
        <f>EXP(-LN(2)/25)*FR63+(1-EXP(-LN(2)/25))/(LN(2)/25)*Calculateur!FM64*Calculateur!FO64*VLOOKUP('Données projet'!$B$16,Paramètres!$A$1:$I$89,3,0)*0.475*44/12</f>
        <v>102.62035829858468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270.52484312009926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-1.1368683772161603E-13</v>
      </c>
      <c r="GA64" s="17">
        <f>FZ64*VLOOKUP('Données projet'!$B$17,Paramètres!$A$1:$I$89,3,0)*VLOOKUP('Données projet'!$B$17,Paramètres!$A$1:$I$89,5,0)</f>
        <v>-5.3205440053716299E-14</v>
      </c>
      <c r="GB64" s="13" t="e">
        <f t="shared" si="49"/>
        <v>#NUM!</v>
      </c>
      <c r="GC64" s="20" t="e">
        <f t="shared" si="25"/>
        <v>#NUM!</v>
      </c>
      <c r="GD64" s="59" t="e">
        <f t="shared" si="26"/>
        <v>#NUM!</v>
      </c>
      <c r="GE64" s="59">
        <f ca="1">AVERAGE(OFFSET($GD$3,0,0,'Données projet'!$E$17+1,1))-AVERAGE(OFFSET($H$3,0,0,'Données projet'!$E$17+1,1))</f>
        <v>198.26255998041</v>
      </c>
      <c r="GF64" s="59">
        <f t="shared" si="50"/>
        <v>238.62101708181166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107.62161363436499</v>
      </c>
      <c r="GM64" s="21">
        <f>EXP(-LN(2)/25)*GM63+(1-EXP(-LN(2)/25))/(LN(2)/25)*Calculateur!GH64*Calculateur!GJ64*VLOOKUP('Données projet'!$B$17,Paramètres!$A$1:$I$89,3,0)*0.475*44/12</f>
        <v>60.563680441237864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168.18529407560285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14.3</v>
      </c>
      <c r="GU64" s="12">
        <f>IF('Données projet'!$A$270&gt;35,GU63+GT64-HC63,IF(A64&lt;'Données projet'!$A$270,$GR$205^A64,IF(A64='Données projet'!$A$270,'Données projet'!$B$270,GU63+GT64-HC63)))</f>
        <v>319.3</v>
      </c>
      <c r="GV64" s="17">
        <f>GU64*VLOOKUP('Données projet'!$B$18,Paramètres!$A$1:$I$89,3,0)*VLOOKUP('Données projet'!$B$18,Paramètres!$A$1:$I$89,5,0)</f>
        <v>367.83359999999999</v>
      </c>
      <c r="GW64" s="13">
        <f t="shared" si="51"/>
        <v>85.223946192087823</v>
      </c>
      <c r="GX64" s="20">
        <f t="shared" si="28"/>
        <v>789.07522628455274</v>
      </c>
      <c r="GY64" s="59">
        <f t="shared" si="29"/>
        <v>1082.4085596178861</v>
      </c>
      <c r="GZ64" s="59">
        <f ca="1">AVERAGE(OFFSET($GY$3,0,0,'Données projet'!$E$18+1,1))-AVERAGE(OFFSET($H$3,0,0,'Données projet'!$E$18+1,1))</f>
        <v>604.0566904089452</v>
      </c>
      <c r="HA64" s="59">
        <f t="shared" si="52"/>
        <v>369.5187835902687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43.240781356069753</v>
      </c>
      <c r="HH64" s="21">
        <f>EXP(-LN(2)/25)*HH63+(1-EXP(-LN(2)/25))/(LN(2)/25)*Calculateur!HC64*Calculateur!HE64*VLOOKUP('Données projet'!$B$18,Paramètres!$A$1:$I$89,3,0)*0.475*44/12</f>
        <v>27.893577048360534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71.134358404430287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8.6666666666666661</v>
      </c>
      <c r="N65" s="13">
        <f>IF('Données projet'!$A$36&gt;35,N64+M65-V64,IF(A65&lt;'Données projet'!$A$36,$K$205^A65,IF(A65='Données projet'!$A$36,'Données projet'!$B$36,N64+M65-V64)))</f>
        <v>213.33333333333334</v>
      </c>
      <c r="O65" s="13">
        <f>N65*VLOOKUP('Données projet'!$B$9,Paramètres!$A$1:$I$89,3,0)*VLOOKUP('Données projet'!$B$9,Paramètres!$A$1:$I$89,5,0)</f>
        <v>193.024</v>
      </c>
      <c r="P65" s="13">
        <f t="shared" si="33"/>
        <v>48.207900663536861</v>
      </c>
      <c r="Q65" s="20">
        <f t="shared" si="53"/>
        <v>420.14556032232667</v>
      </c>
      <c r="R65" s="59">
        <f t="shared" si="0"/>
        <v>713.47889365565993</v>
      </c>
      <c r="S65" s="59">
        <f ca="1">AVERAGE(OFFSET($R$3,0,0,'Données projet'!$E$9+1,1))-AVERAGE(OFFSET($H$3,0,0,'Données projet'!$E$9+1,1))</f>
        <v>528.20489749461376</v>
      </c>
      <c r="T65" s="59">
        <f t="shared" si="34"/>
        <v>276.26988364830532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24.308352267966043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24.308352267966043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2.2737367544323206E-13</v>
      </c>
      <c r="AJ65" s="13">
        <f>AI65*VLOOKUP('Données projet'!$B$10,Paramètres!$A$1:$I$89,3,0)*VLOOKUP('Données projet'!$B$10,Paramètres!$A$1:$I$89,5,0)</f>
        <v>2.0572770154103635E-13</v>
      </c>
      <c r="AK65" s="13">
        <f t="shared" si="35"/>
        <v>2.8416956338469711E-12</v>
      </c>
      <c r="AL65" s="20">
        <f t="shared" si="4"/>
        <v>5.3075956424674458E-12</v>
      </c>
      <c r="AM65" s="59">
        <f t="shared" si="5"/>
        <v>293.3333333333386</v>
      </c>
      <c r="AN65" s="59">
        <f ca="1">AVERAGE(OFFSET($AM$3,0,0,'Données projet'!$E$10+1,1))-AVERAGE(OFFSET($H$3,0,0,'Données projet'!$E$10+1,1))</f>
        <v>436.23918637269577</v>
      </c>
      <c r="AO65" s="59">
        <f t="shared" si="36"/>
        <v>611.43967996341894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52.147216286056647</v>
      </c>
      <c r="AV65" s="21">
        <f>EXP(-LN(2)/25)*AV64+(1-EXP(-LN(2)/25))/(LN(2)/25)*Calculateur!AQ65*Calculateur!AS65*VLOOKUP('Données projet'!$B$10,Paramètres!$A$1:$I$89,3,0)*0.475*44/12</f>
        <v>27.017924863154679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79.165141149211323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8.6666666666666661</v>
      </c>
      <c r="BD65" s="12">
        <f>IF('Données projet'!$A$88&gt;35,BD64+BC65-BL64,IF(A65&lt;'Données projet'!$A$88,$BA$205^A65,IF(A65='Données projet'!$A$88,'Données projet'!$B$88,BD64+BC65-BL64)))</f>
        <v>267.33333333333326</v>
      </c>
      <c r="BE65" s="13">
        <f>BD65*VLOOKUP('Données projet'!$B$11,Paramètres!$A$1:$I$89,3,0)*VLOOKUP('Données projet'!$B$11,Paramètres!$A$1:$I$89,5,0)</f>
        <v>208.51999999999995</v>
      </c>
      <c r="BF65" s="13">
        <f t="shared" si="37"/>
        <v>51.612035456318459</v>
      </c>
      <c r="BG65" s="20">
        <f t="shared" si="7"/>
        <v>453.06329508642119</v>
      </c>
      <c r="BH65" s="59">
        <f t="shared" si="8"/>
        <v>746.39662841975451</v>
      </c>
      <c r="BI65" s="59">
        <f ca="1">AVERAGE(OFFSET($BH$3,0,0,'Données projet'!$E$11+1,1))-AVERAGE(OFFSET($H$3,0,0,'Données projet'!$E$11+1,1))</f>
        <v>288.82868507674738</v>
      </c>
      <c r="BJ65" s="59">
        <f t="shared" si="38"/>
        <v>283.48738729114024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17.778465586728249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17.778465586728249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0.93729999999999902</v>
      </c>
      <c r="BY65" s="12">
        <f>IF('Données projet'!$A$114&gt;35,BY64+BX65-CG64,IF(A65&lt;'Données projet'!$A$114,$BV$205^A65,IF(A65='Données projet'!$A$114,'Données projet'!$B$114,BY64+BX65-CG64)))</f>
        <v>51.263099999999994</v>
      </c>
      <c r="BZ65" s="13">
        <f>BY65*VLOOKUP('Données projet'!$B$12,Paramètres!$A$1:$I$89,3,0)*VLOOKUP('Données projet'!$B$12,Paramètres!$A$1:$I$89,5,0)</f>
        <v>44.783444159999995</v>
      </c>
      <c r="CA65" s="13">
        <f t="shared" si="39"/>
        <v>13.258044725181191</v>
      </c>
      <c r="CB65" s="20">
        <f t="shared" si="10"/>
        <v>101.08892647502388</v>
      </c>
      <c r="CC65" s="59">
        <f t="shared" si="11"/>
        <v>394.42225980835718</v>
      </c>
      <c r="CD65" s="59">
        <f ca="1">AVERAGE(OFFSET($CC$3,0,0,'Données projet'!$E$12+1,1))-AVERAGE(OFFSET($H$3,0,0,'Données projet'!$E$12+1,1))</f>
        <v>93.329407403816901</v>
      </c>
      <c r="CE65" s="59">
        <f t="shared" si="40"/>
        <v>90.925148357295313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2.236867919653525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2.236867919653525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14</v>
      </c>
      <c r="CT65" s="12">
        <f>IF('Données projet'!$A$140&gt;35,CT64+CS65-DB64,IF(A65&lt;'Données projet'!$A$140,$CQ$205^A65,IF(A65='Données projet'!$A$140,'Données projet'!$B$140,CT64+CS65-DB64)))</f>
        <v>486.99999999999977</v>
      </c>
      <c r="CU65" s="17">
        <f>CT65*VLOOKUP('Données projet'!$B$13,Paramètres!$A$1:$I$89,3,0)*VLOOKUP('Données projet'!$B$13,Paramètres!$A$1:$I$89,5,0)</f>
        <v>463.42919999999981</v>
      </c>
      <c r="CV65" s="13">
        <f t="shared" si="41"/>
        <v>104.52375235776786</v>
      </c>
      <c r="CW65" s="20">
        <f t="shared" si="13"/>
        <v>989.18472535644526</v>
      </c>
      <c r="CX65" s="59">
        <f t="shared" si="14"/>
        <v>1282.5180586897786</v>
      </c>
      <c r="CY65" s="59">
        <f ca="1">AVERAGE(OFFSET($CX$3,0,0,'Données projet'!$E$13+1,1))-AVERAGE(OFFSET($H$3,0,0,'Données projet'!$E$13+1,1))</f>
        <v>805.04572055352492</v>
      </c>
      <c r="CZ65" s="59">
        <f t="shared" si="42"/>
        <v>708.66645042414962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38.615990137118963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38.615990137118963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8.4</v>
      </c>
      <c r="DO65" s="12">
        <f>IF('Données projet'!$A$166&gt;35,DO64+DN65-DW64,IF(A65&lt;'Données projet'!$A$166,$DL$205^A65,IF(A65='Données projet'!$A$166,'Données projet'!$B$166,DO64+DN65-DW64)))</f>
        <v>389.7999999999999</v>
      </c>
      <c r="DP65" s="17">
        <f>DO65*VLOOKUP('Données projet'!$B$14,Paramètres!$A$1:$I$89,3,0)*VLOOKUP('Données projet'!$B$14,Paramètres!$A$1:$I$89,5,0)</f>
        <v>261.4778399999999</v>
      </c>
      <c r="DQ65" s="13">
        <f t="shared" si="43"/>
        <v>63.037289733072903</v>
      </c>
      <c r="DR65" s="20">
        <f t="shared" si="16"/>
        <v>565.1971842851018</v>
      </c>
      <c r="DS65" s="59">
        <f t="shared" si="17"/>
        <v>858.53051761843517</v>
      </c>
      <c r="DT65" s="59">
        <f ca="1">AVERAGE(OFFSET($DS$3,0,0,'Données projet'!$E$14+1,1))-AVERAGE(OFFSET($H$3,0,0,'Données projet'!$E$14+1,1))</f>
        <v>482.69499576870095</v>
      </c>
      <c r="DU65" s="59">
        <f t="shared" si="44"/>
        <v>384.28918352579575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15.209227934735367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15.209227934735367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1.7053025658242404E-13</v>
      </c>
      <c r="EK65" s="17">
        <f>EJ65*VLOOKUP('Données projet'!$B$15,Paramètres!$A$1:$I$89,3,0)*VLOOKUP('Données projet'!$B$15,Paramètres!$A$1:$I$89,5,0)</f>
        <v>1.250327841262333E-13</v>
      </c>
      <c r="EL65" s="13">
        <f t="shared" si="45"/>
        <v>1.8301318724634299E-12</v>
      </c>
      <c r="EM65" s="20">
        <f t="shared" si="19"/>
        <v>3.405245110226996E-12</v>
      </c>
      <c r="EN65" s="59">
        <f t="shared" si="20"/>
        <v>293.33333333333672</v>
      </c>
      <c r="EO65" s="59">
        <f ca="1">AVERAGE(OFFSET($EN$3,0,0,'Données projet'!$E$15+1,1))-AVERAGE(OFFSET($H$3,0,0,'Données projet'!$E$15+1,1))</f>
        <v>197.34725966440715</v>
      </c>
      <c r="EP65" s="59">
        <f t="shared" si="46"/>
        <v>240.16326570529532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34.497425324318826</v>
      </c>
      <c r="EW65" s="21">
        <f>EXP(-LN(2)/25)*EW64+(1-EXP(-LN(2)/25))/(LN(2)/25)*Calculateur!ER65*Calculateur!ET65*VLOOKUP('Données projet'!$B$15,Paramètres!$A$1:$I$89,3,0)*0.475*44/12</f>
        <v>22.08215696835909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56.579582292677912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2.2737367544323206E-13</v>
      </c>
      <c r="FF65" s="17">
        <f>FE65*VLOOKUP('Données projet'!$B$16,Paramètres!$A$1:$I$89,3,0)*VLOOKUP('Données projet'!$B$16,Paramètres!$A$1:$I$89,5,0)</f>
        <v>1.2710188457276673E-13</v>
      </c>
      <c r="FG65" s="13">
        <f t="shared" si="47"/>
        <v>1.856866851063998E-12</v>
      </c>
      <c r="FH65" s="20">
        <f t="shared" si="22"/>
        <v>3.4554122145673649E-12</v>
      </c>
      <c r="FI65" s="59">
        <f t="shared" si="23"/>
        <v>293.33333333333678</v>
      </c>
      <c r="FJ65" s="59">
        <f ca="1">AVERAGE(OFFSET($FI$3,0,0,'Données projet'!$E$16+1,1))-AVERAGE(OFFSET($H$3,0,0,'Données projet'!$E$16+1,1))</f>
        <v>346.42094266871379</v>
      </c>
      <c r="FK65" s="59">
        <f t="shared" si="48"/>
        <v>453.48153556975973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164.61198028578809</v>
      </c>
      <c r="FR65" s="21">
        <f>EXP(-LN(2)/25)*FR64+(1-EXP(-LN(2)/25))/(LN(2)/25)*Calculateur!FM65*Calculateur!FO65*VLOOKUP('Données projet'!$B$16,Paramètres!$A$1:$I$89,3,0)*0.475*44/12</f>
        <v>99.814199204339772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264.42617949012788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-1.1368683772161603E-13</v>
      </c>
      <c r="GA65" s="17">
        <f>FZ65*VLOOKUP('Données projet'!$B$17,Paramètres!$A$1:$I$89,3,0)*VLOOKUP('Données projet'!$B$17,Paramètres!$A$1:$I$89,5,0)</f>
        <v>-5.3205440053716299E-14</v>
      </c>
      <c r="GB65" s="13" t="e">
        <f t="shared" si="49"/>
        <v>#NUM!</v>
      </c>
      <c r="GC65" s="20" t="e">
        <f t="shared" si="25"/>
        <v>#NUM!</v>
      </c>
      <c r="GD65" s="59" t="e">
        <f t="shared" si="26"/>
        <v>#NUM!</v>
      </c>
      <c r="GE65" s="59">
        <f ca="1">AVERAGE(OFFSET($GD$3,0,0,'Données projet'!$E$17+1,1))-AVERAGE(OFFSET($H$3,0,0,'Données projet'!$E$17+1,1))</f>
        <v>198.26255998041</v>
      </c>
      <c r="GF65" s="59">
        <f t="shared" si="50"/>
        <v>238.62101708181166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105.51121943369773</v>
      </c>
      <c r="GM65" s="21">
        <f>EXP(-LN(2)/25)*GM64+(1-EXP(-LN(2)/25))/(LN(2)/25)*Calculateur!GH65*Calculateur!GJ65*VLOOKUP('Données projet'!$B$17,Paramètres!$A$1:$I$89,3,0)*0.475*44/12</f>
        <v>58.907563414666683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164.4187828483644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14.3</v>
      </c>
      <c r="GU65" s="12">
        <f>IF('Données projet'!$A$270&gt;35,GU64+GT65-HC64,IF(A65&lt;'Données projet'!$A$270,$GR$205^A65,IF(A65='Données projet'!$A$270,'Données projet'!$B$270,GU64+GT65-HC64)))</f>
        <v>333.6</v>
      </c>
      <c r="GV65" s="17">
        <f>GU65*VLOOKUP('Données projet'!$B$18,Paramètres!$A$1:$I$89,3,0)*VLOOKUP('Données projet'!$B$18,Paramètres!$A$1:$I$89,5,0)</f>
        <v>384.30720000000002</v>
      </c>
      <c r="GW65" s="13">
        <f t="shared" si="51"/>
        <v>88.587818271438906</v>
      </c>
      <c r="GX65" s="20">
        <f t="shared" si="28"/>
        <v>823.62549015608931</v>
      </c>
      <c r="GY65" s="59">
        <f t="shared" si="29"/>
        <v>1116.9588234894227</v>
      </c>
      <c r="GZ65" s="59">
        <f ca="1">AVERAGE(OFFSET($GY$3,0,0,'Données projet'!$E$18+1,1))-AVERAGE(OFFSET($H$3,0,0,'Données projet'!$E$18+1,1))</f>
        <v>604.0566904089452</v>
      </c>
      <c r="HA65" s="59">
        <f t="shared" si="52"/>
        <v>369.5187835902687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42.392856007949611</v>
      </c>
      <c r="HH65" s="21">
        <f>EXP(-LN(2)/25)*HH64+(1-EXP(-LN(2)/25))/(LN(2)/25)*Calculateur!HC65*Calculateur!HE65*VLOOKUP('Données projet'!$B$18,Paramètres!$A$1:$I$89,3,0)*0.475*44/12</f>
        <v>27.130825717113648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69.523681725063255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8.6666666666666661</v>
      </c>
      <c r="N66" s="13">
        <f>IF('Données projet'!$A$36&gt;35,N65+M66-V65,IF(A66&lt;'Données projet'!$A$36,$K$205^A66,IF(A66='Données projet'!$A$36,'Données projet'!$B$36,N65+M66-V65)))</f>
        <v>222</v>
      </c>
      <c r="O66" s="13">
        <f>N66*VLOOKUP('Données projet'!$B$9,Paramètres!$A$1:$I$89,3,0)*VLOOKUP('Données projet'!$B$9,Paramètres!$A$1:$I$89,5,0)</f>
        <v>200.8656</v>
      </c>
      <c r="P66" s="13">
        <f t="shared" si="33"/>
        <v>49.934352565642911</v>
      </c>
      <c r="Q66" s="20">
        <f t="shared" si="53"/>
        <v>436.80991738516144</v>
      </c>
      <c r="R66" s="59">
        <f t="shared" si="0"/>
        <v>730.14325071849476</v>
      </c>
      <c r="S66" s="59">
        <f ca="1">AVERAGE(OFFSET($R$3,0,0,'Données projet'!$E$9+1,1))-AVERAGE(OFFSET($H$3,0,0,'Données projet'!$E$9+1,1))</f>
        <v>528.20489749461376</v>
      </c>
      <c r="T66" s="59">
        <f t="shared" si="34"/>
        <v>276.26988364830532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23.831680306622104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23.831680306622104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2.2737367544323206E-13</v>
      </c>
      <c r="AJ66" s="13">
        <f>AI66*VLOOKUP('Données projet'!$B$10,Paramètres!$A$1:$I$89,3,0)*VLOOKUP('Données projet'!$B$10,Paramètres!$A$1:$I$89,5,0)</f>
        <v>2.0572770154103635E-13</v>
      </c>
      <c r="AK66" s="13">
        <f t="shared" si="35"/>
        <v>2.8416956338469711E-12</v>
      </c>
      <c r="AL66" s="20">
        <f t="shared" si="4"/>
        <v>5.3075956424674458E-12</v>
      </c>
      <c r="AM66" s="59">
        <f t="shared" si="5"/>
        <v>293.3333333333386</v>
      </c>
      <c r="AN66" s="59">
        <f ca="1">AVERAGE(OFFSET($AM$3,0,0,'Données projet'!$E$10+1,1))-AVERAGE(OFFSET($H$3,0,0,'Données projet'!$E$10+1,1))</f>
        <v>436.23918637269577</v>
      </c>
      <c r="AO66" s="59">
        <f t="shared" si="36"/>
        <v>611.43967996341894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51.124641181348366</v>
      </c>
      <c r="AV66" s="21">
        <f>EXP(-LN(2)/25)*AV65+(1-EXP(-LN(2)/25))/(LN(2)/25)*Calculateur!AQ66*Calculateur!AS66*VLOOKUP('Données projet'!$B$10,Paramètres!$A$1:$I$89,3,0)*0.475*44/12</f>
        <v>26.279118286960795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77.403759468309161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8.6666666666666661</v>
      </c>
      <c r="BD66" s="12">
        <f>IF('Données projet'!$A$88&gt;35,BD65+BC66-BL65,IF(A66&lt;'Données projet'!$A$88,$BA$205^A66,IF(A66='Données projet'!$A$88,'Données projet'!$B$88,BD65+BC66-BL65)))</f>
        <v>275.99999999999994</v>
      </c>
      <c r="BE66" s="13">
        <f>BD66*VLOOKUP('Données projet'!$B$11,Paramètres!$A$1:$I$89,3,0)*VLOOKUP('Données projet'!$B$11,Paramètres!$A$1:$I$89,5,0)</f>
        <v>215.27999999999997</v>
      </c>
      <c r="BF66" s="13">
        <f t="shared" si="37"/>
        <v>53.087725740853138</v>
      </c>
      <c r="BG66" s="20">
        <f t="shared" si="7"/>
        <v>467.40712233198587</v>
      </c>
      <c r="BH66" s="59">
        <f t="shared" si="8"/>
        <v>760.74045566531913</v>
      </c>
      <c r="BI66" s="59">
        <f ca="1">AVERAGE(OFFSET($BH$3,0,0,'Données projet'!$E$11+1,1))-AVERAGE(OFFSET($H$3,0,0,'Données projet'!$E$11+1,1))</f>
        <v>288.82868507674738</v>
      </c>
      <c r="BJ66" s="59">
        <f t="shared" si="38"/>
        <v>283.48738729114024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17.429840720365782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17.429840720365782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0.93729999999999902</v>
      </c>
      <c r="BY66" s="12">
        <f>IF('Données projet'!$A$114&gt;35,BY65+BX66-CG65,IF(A66&lt;'Données projet'!$A$114,$BV$205^A66,IF(A66='Données projet'!$A$114,'Données projet'!$B$114,BY65+BX66-CG65)))</f>
        <v>52.200399999999995</v>
      </c>
      <c r="BZ66" s="13">
        <f>BY66*VLOOKUP('Données projet'!$B$12,Paramètres!$A$1:$I$89,3,0)*VLOOKUP('Données projet'!$B$12,Paramètres!$A$1:$I$89,5,0)</f>
        <v>45.602269440000001</v>
      </c>
      <c r="CA66" s="13">
        <f t="shared" si="39"/>
        <v>13.472013136553441</v>
      </c>
      <c r="CB66" s="20">
        <f t="shared" si="10"/>
        <v>102.88770882083058</v>
      </c>
      <c r="CC66" s="59">
        <f t="shared" si="11"/>
        <v>396.22104215416391</v>
      </c>
      <c r="CD66" s="59">
        <f ca="1">AVERAGE(OFFSET($CC$3,0,0,'Données projet'!$E$12+1,1))-AVERAGE(OFFSET($H$3,0,0,'Données projet'!$E$12+1,1))</f>
        <v>93.329407403816901</v>
      </c>
      <c r="CE66" s="59">
        <f t="shared" si="40"/>
        <v>90.925148357295313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2.1930043041038316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2.1930043041038316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14</v>
      </c>
      <c r="CT66" s="12">
        <f>IF('Données projet'!$A$140&gt;35,CT65+CS66-DB65,IF(A66&lt;'Données projet'!$A$140,$CQ$205^A66,IF(A66='Données projet'!$A$140,'Données projet'!$B$140,CT65+CS66-DB65)))</f>
        <v>500.99999999999977</v>
      </c>
      <c r="CU66" s="17">
        <f>CT66*VLOOKUP('Données projet'!$B$13,Paramètres!$A$1:$I$89,3,0)*VLOOKUP('Données projet'!$B$13,Paramètres!$A$1:$I$89,5,0)</f>
        <v>476.75159999999977</v>
      </c>
      <c r="CV66" s="13">
        <f t="shared" si="41"/>
        <v>107.17438911984773</v>
      </c>
      <c r="CW66" s="20">
        <f t="shared" si="13"/>
        <v>1017.004431050401</v>
      </c>
      <c r="CX66" s="59">
        <f t="shared" si="14"/>
        <v>1310.3377643837343</v>
      </c>
      <c r="CY66" s="59">
        <f ca="1">AVERAGE(OFFSET($CX$3,0,0,'Données projet'!$E$13+1,1))-AVERAGE(OFFSET($H$3,0,0,'Données projet'!$E$13+1,1))</f>
        <v>805.04572055352492</v>
      </c>
      <c r="CZ66" s="59">
        <f t="shared" si="42"/>
        <v>708.66645042414962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37.858754123958335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37.858754123958335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8.4</v>
      </c>
      <c r="DO66" s="12">
        <f>IF('Données projet'!$A$166&gt;35,DO65+DN66-DW65,IF(A66&lt;'Données projet'!$A$166,$DL$205^A66,IF(A66='Données projet'!$A$166,'Données projet'!$B$166,DO65+DN66-DW65)))</f>
        <v>398.19999999999987</v>
      </c>
      <c r="DP66" s="17">
        <f>DO66*VLOOKUP('Données projet'!$B$14,Paramètres!$A$1:$I$89,3,0)*VLOOKUP('Données projet'!$B$14,Paramètres!$A$1:$I$89,5,0)</f>
        <v>267.11255999999992</v>
      </c>
      <c r="DQ66" s="13">
        <f t="shared" si="43"/>
        <v>64.236098717926993</v>
      </c>
      <c r="DR66" s="20">
        <f t="shared" si="16"/>
        <v>577.09891393372266</v>
      </c>
      <c r="DS66" s="59">
        <f t="shared" si="17"/>
        <v>870.43224726705603</v>
      </c>
      <c r="DT66" s="59">
        <f ca="1">AVERAGE(OFFSET($DS$3,0,0,'Données projet'!$E$14+1,1))-AVERAGE(OFFSET($H$3,0,0,'Données projet'!$E$14+1,1))</f>
        <v>482.69499576870095</v>
      </c>
      <c r="DU66" s="59">
        <f t="shared" si="44"/>
        <v>384.28918352579575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14.910984251648246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14.910984251648246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1.7053025658242404E-13</v>
      </c>
      <c r="EK66" s="17">
        <f>EJ66*VLOOKUP('Données projet'!$B$15,Paramètres!$A$1:$I$89,3,0)*VLOOKUP('Données projet'!$B$15,Paramètres!$A$1:$I$89,5,0)</f>
        <v>1.250327841262333E-13</v>
      </c>
      <c r="EL66" s="13">
        <f t="shared" si="45"/>
        <v>1.8301318724634299E-12</v>
      </c>
      <c r="EM66" s="20">
        <f t="shared" si="19"/>
        <v>3.405245110226996E-12</v>
      </c>
      <c r="EN66" s="59">
        <f t="shared" si="20"/>
        <v>293.33333333333672</v>
      </c>
      <c r="EO66" s="59">
        <f ca="1">AVERAGE(OFFSET($EN$3,0,0,'Données projet'!$E$15+1,1))-AVERAGE(OFFSET($H$3,0,0,'Données projet'!$E$15+1,1))</f>
        <v>197.34725966440715</v>
      </c>
      <c r="EP66" s="59">
        <f t="shared" si="46"/>
        <v>240.16326570529532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33.82095185506072</v>
      </c>
      <c r="EW66" s="21">
        <f>EXP(-LN(2)/25)*EW65+(1-EXP(-LN(2)/25))/(LN(2)/25)*Calculateur!ER66*Calculateur!ET66*VLOOKUP('Données projet'!$B$15,Paramètres!$A$1:$I$89,3,0)*0.475*44/12</f>
        <v>21.478319224809145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55.299271079869868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2.2737367544323206E-13</v>
      </c>
      <c r="FF66" s="17">
        <f>FE66*VLOOKUP('Données projet'!$B$16,Paramètres!$A$1:$I$89,3,0)*VLOOKUP('Données projet'!$B$16,Paramètres!$A$1:$I$89,5,0)</f>
        <v>1.2710188457276673E-13</v>
      </c>
      <c r="FG66" s="13">
        <f t="shared" si="47"/>
        <v>1.856866851063998E-12</v>
      </c>
      <c r="FH66" s="20">
        <f t="shared" si="22"/>
        <v>3.4554122145673649E-12</v>
      </c>
      <c r="FI66" s="59">
        <f t="shared" si="23"/>
        <v>293.33333333333678</v>
      </c>
      <c r="FJ66" s="59">
        <f ca="1">AVERAGE(OFFSET($FI$3,0,0,'Données projet'!$E$16+1,1))-AVERAGE(OFFSET($H$3,0,0,'Données projet'!$E$16+1,1))</f>
        <v>346.42094266871379</v>
      </c>
      <c r="FK66" s="59">
        <f t="shared" si="48"/>
        <v>453.48153556975973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161.38403975577776</v>
      </c>
      <c r="FR66" s="21">
        <f>EXP(-LN(2)/25)*FR65+(1-EXP(-LN(2)/25))/(LN(2)/25)*Calculateur!FM66*Calculateur!FO66*VLOOKUP('Données projet'!$B$16,Paramètres!$A$1:$I$89,3,0)*0.475*44/12</f>
        <v>97.084774678096494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258.46881443387429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-1.1368683772161603E-13</v>
      </c>
      <c r="GA66" s="17">
        <f>FZ66*VLOOKUP('Données projet'!$B$17,Paramètres!$A$1:$I$89,3,0)*VLOOKUP('Données projet'!$B$17,Paramètres!$A$1:$I$89,5,0)</f>
        <v>-5.3205440053716299E-14</v>
      </c>
      <c r="GB66" s="13" t="e">
        <f t="shared" si="49"/>
        <v>#NUM!</v>
      </c>
      <c r="GC66" s="20" t="e">
        <f t="shared" si="25"/>
        <v>#NUM!</v>
      </c>
      <c r="GD66" s="59" t="e">
        <f t="shared" si="26"/>
        <v>#NUM!</v>
      </c>
      <c r="GE66" s="59">
        <f ca="1">AVERAGE(OFFSET($GD$3,0,0,'Données projet'!$E$17+1,1))-AVERAGE(OFFSET($H$3,0,0,'Données projet'!$E$17+1,1))</f>
        <v>198.26255998041</v>
      </c>
      <c r="GF66" s="59">
        <f t="shared" si="50"/>
        <v>238.62101708181166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103.4422087760922</v>
      </c>
      <c r="GM66" s="21">
        <f>EXP(-LN(2)/25)*GM65+(1-EXP(-LN(2)/25))/(LN(2)/25)*Calculateur!GH66*Calculateur!GJ66*VLOOKUP('Données projet'!$B$17,Paramètres!$A$1:$I$89,3,0)*0.475*44/12</f>
        <v>57.296732995278497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160.73894177137069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14.3</v>
      </c>
      <c r="GU66" s="12">
        <f>IF('Données projet'!$A$270&gt;35,GU65+GT66-HC65,IF(A66&lt;'Données projet'!$A$270,$GR$205^A66,IF(A66='Données projet'!$A$270,'Données projet'!$B$270,GU65+GT66-HC65)))</f>
        <v>347.90000000000003</v>
      </c>
      <c r="GV66" s="17">
        <f>GU66*VLOOKUP('Données projet'!$B$18,Paramètres!$A$1:$I$89,3,0)*VLOOKUP('Données projet'!$B$18,Paramètres!$A$1:$I$89,5,0)</f>
        <v>400.78080000000006</v>
      </c>
      <c r="GW66" s="13">
        <f t="shared" si="51"/>
        <v>91.934942468377784</v>
      </c>
      <c r="GX66" s="20">
        <f t="shared" si="28"/>
        <v>858.14658479909122</v>
      </c>
      <c r="GY66" s="59">
        <f t="shared" si="29"/>
        <v>1151.4799181324245</v>
      </c>
      <c r="GZ66" s="59">
        <f ca="1">AVERAGE(OFFSET($GY$3,0,0,'Données projet'!$E$18+1,1))-AVERAGE(OFFSET($H$3,0,0,'Données projet'!$E$18+1,1))</f>
        <v>604.0566904089452</v>
      </c>
      <c r="HA66" s="59">
        <f t="shared" si="52"/>
        <v>369.5187835902687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41.561557958722709</v>
      </c>
      <c r="HH66" s="21">
        <f>EXP(-LN(2)/25)*HH65+(1-EXP(-LN(2)/25))/(LN(2)/25)*Calculateur!HC66*Calculateur!HE66*VLOOKUP('Données projet'!$B$18,Paramètres!$A$1:$I$89,3,0)*0.475*44/12</f>
        <v>26.388931861131059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67.950489819853772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8.6666666666666661</v>
      </c>
      <c r="N67" s="13">
        <f>IF('Données projet'!$A$36&gt;35,N66+M67-V66,IF(A67&lt;'Données projet'!$A$36,$K$205^A67,IF(A67='Données projet'!$A$36,'Données projet'!$B$36,N66+M67-V66)))</f>
        <v>230.66666666666666</v>
      </c>
      <c r="O67" s="13">
        <f>N67*VLOOKUP('Données projet'!$B$9,Paramètres!$A$1:$I$89,3,0)*VLOOKUP('Données projet'!$B$9,Paramètres!$A$1:$I$89,5,0)</f>
        <v>208.7072</v>
      </c>
      <c r="P67" s="13">
        <f t="shared" si="33"/>
        <v>51.652974918933275</v>
      </c>
      <c r="Q67" s="20">
        <f t="shared" ref="Q67:Q98" si="54">(O67+P67)*0.475*44/12</f>
        <v>453.46063798380879</v>
      </c>
      <c r="R67" s="59">
        <f t="shared" ref="R67:R130" si="55">Q67+(I67+J67)*44/12</f>
        <v>746.79397131714211</v>
      </c>
      <c r="S67" s="59">
        <f ca="1">AVERAGE(OFFSET($R$3,0,0,'Données projet'!$E$9+1,1))-AVERAGE(OFFSET($H$3,0,0,'Données projet'!$E$9+1,1))</f>
        <v>528.20489749461376</v>
      </c>
      <c r="T67" s="59">
        <f t="shared" si="34"/>
        <v>276.26988364830532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23.364355591698931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23.364355591698931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2.2737367544323206E-13</v>
      </c>
      <c r="AJ67" s="13">
        <f>AI67*VLOOKUP('Données projet'!$B$10,Paramètres!$A$1:$I$89,3,0)*VLOOKUP('Données projet'!$B$10,Paramètres!$A$1:$I$89,5,0)</f>
        <v>2.0572770154103635E-13</v>
      </c>
      <c r="AK67" s="13">
        <f t="shared" si="35"/>
        <v>2.8416956338469711E-12</v>
      </c>
      <c r="AL67" s="20">
        <f t="shared" si="4"/>
        <v>5.3075956424674458E-12</v>
      </c>
      <c r="AM67" s="59">
        <f t="shared" si="5"/>
        <v>293.3333333333386</v>
      </c>
      <c r="AN67" s="59">
        <f ca="1">AVERAGE(OFFSET($AM$3,0,0,'Données projet'!$E$10+1,1))-AVERAGE(OFFSET($H$3,0,0,'Données projet'!$E$10+1,1))</f>
        <v>436.23918637269577</v>
      </c>
      <c r="AO67" s="59">
        <f t="shared" si="36"/>
        <v>611.43967996341894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50.122118150734181</v>
      </c>
      <c r="AV67" s="21">
        <f>EXP(-LN(2)/25)*AV66+(1-EXP(-LN(2)/25))/(LN(2)/25)*Calculateur!AQ67*Calculateur!AS67*VLOOKUP('Données projet'!$B$10,Paramètres!$A$1:$I$89,3,0)*0.475*44/12</f>
        <v>25.560514415445084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75.682632566179265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8.6666666666666661</v>
      </c>
      <c r="BD67" s="12">
        <f>IF('Données projet'!$A$88&gt;35,BD66+BC67-BL66,IF(A67&lt;'Données projet'!$A$88,$BA$205^A67,IF(A67='Données projet'!$A$88,'Données projet'!$B$88,BD66+BC67-BL66)))</f>
        <v>284.66666666666663</v>
      </c>
      <c r="BE67" s="13">
        <f>BD67*VLOOKUP('Données projet'!$B$11,Paramètres!$A$1:$I$89,3,0)*VLOOKUP('Données projet'!$B$11,Paramètres!$A$1:$I$89,5,0)</f>
        <v>222.04</v>
      </c>
      <c r="BF67" s="13">
        <f t="shared" si="37"/>
        <v>54.558031180803546</v>
      </c>
      <c r="BG67" s="20">
        <f t="shared" si="7"/>
        <v>481.74157097323285</v>
      </c>
      <c r="BH67" s="59">
        <f t="shared" si="8"/>
        <v>775.07490430656617</v>
      </c>
      <c r="BI67" s="59">
        <f ca="1">AVERAGE(OFFSET($BH$3,0,0,'Données projet'!$E$11+1,1))-AVERAGE(OFFSET($H$3,0,0,'Données projet'!$E$11+1,1))</f>
        <v>288.82868507674738</v>
      </c>
      <c r="BJ67" s="59">
        <f t="shared" si="38"/>
        <v>283.48738729114024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17.088052174992509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17.088052174992509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0.93729999999999902</v>
      </c>
      <c r="BY67" s="12">
        <f>IF('Données projet'!$A$114&gt;35,BY66+BX67-CG66,IF(A67&lt;'Données projet'!$A$114,$BV$205^A67,IF(A67='Données projet'!$A$114,'Données projet'!$B$114,BY66+BX67-CG66)))</f>
        <v>53.137699999999995</v>
      </c>
      <c r="BZ67" s="13">
        <f>BY67*VLOOKUP('Données projet'!$B$12,Paramètres!$A$1:$I$89,3,0)*VLOOKUP('Données projet'!$B$12,Paramètres!$A$1:$I$89,5,0)</f>
        <v>46.421094719999999</v>
      </c>
      <c r="CA67" s="13">
        <f t="shared" si="39"/>
        <v>13.685534783761881</v>
      </c>
      <c r="CB67" s="20">
        <f t="shared" si="10"/>
        <v>104.68571305238527</v>
      </c>
      <c r="CC67" s="59">
        <f t="shared" si="11"/>
        <v>398.01904638571858</v>
      </c>
      <c r="CD67" s="59">
        <f ca="1">AVERAGE(OFFSET($CC$3,0,0,'Données projet'!$E$12+1,1))-AVERAGE(OFFSET($H$3,0,0,'Données projet'!$E$12+1,1))</f>
        <v>93.329407403816901</v>
      </c>
      <c r="CE67" s="59">
        <f t="shared" si="40"/>
        <v>90.925148357295313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2.1500008273009037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2.1500008273009037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14</v>
      </c>
      <c r="CT67" s="12">
        <f>IF('Données projet'!$A$140&gt;35,CT66+CS67-DB66,IF(A67&lt;'Données projet'!$A$140,$CQ$205^A67,IF(A67='Données projet'!$A$140,'Données projet'!$B$140,CT66+CS67-DB66)))</f>
        <v>514.99999999999977</v>
      </c>
      <c r="CU67" s="17">
        <f>CT67*VLOOKUP('Données projet'!$B$13,Paramètres!$A$1:$I$89,3,0)*VLOOKUP('Données projet'!$B$13,Paramètres!$A$1:$I$89,5,0)</f>
        <v>490.07399999999978</v>
      </c>
      <c r="CV67" s="13">
        <f t="shared" si="41"/>
        <v>109.8164169928102</v>
      </c>
      <c r="CW67" s="20">
        <f t="shared" si="13"/>
        <v>1044.8091429291442</v>
      </c>
      <c r="CX67" s="59">
        <f t="shared" si="14"/>
        <v>1338.1424762624774</v>
      </c>
      <c r="CY67" s="59">
        <f ca="1">AVERAGE(OFFSET($CX$3,0,0,'Données projet'!$E$13+1,1))-AVERAGE(OFFSET($H$3,0,0,'Données projet'!$E$13+1,1))</f>
        <v>805.04572055352492</v>
      </c>
      <c r="CZ67" s="59">
        <f t="shared" si="42"/>
        <v>708.66645042414962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37.116367047147428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37.116367047147428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8.4</v>
      </c>
      <c r="DO67" s="12">
        <f>IF('Données projet'!$A$166&gt;35,DO66+DN67-DW66,IF(A67&lt;'Données projet'!$A$166,$DL$205^A67,IF(A67='Données projet'!$A$166,'Données projet'!$B$166,DO66+DN67-DW66)))</f>
        <v>406.59999999999985</v>
      </c>
      <c r="DP67" s="17">
        <f>DO67*VLOOKUP('Données projet'!$B$14,Paramètres!$A$1:$I$89,3,0)*VLOOKUP('Données projet'!$B$14,Paramètres!$A$1:$I$89,5,0)</f>
        <v>272.74727999999993</v>
      </c>
      <c r="DQ67" s="13">
        <f t="shared" si="43"/>
        <v>65.43196746832551</v>
      </c>
      <c r="DR67" s="20">
        <f t="shared" si="16"/>
        <v>588.9955226740002</v>
      </c>
      <c r="DS67" s="59">
        <f t="shared" si="17"/>
        <v>882.32885600733357</v>
      </c>
      <c r="DT67" s="59">
        <f ca="1">AVERAGE(OFFSET($DS$3,0,0,'Données projet'!$E$14+1,1))-AVERAGE(OFFSET($H$3,0,0,'Données projet'!$E$14+1,1))</f>
        <v>482.69499576870095</v>
      </c>
      <c r="DU67" s="59">
        <f t="shared" si="44"/>
        <v>384.28918352579575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14.61858894527578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14.61858894527578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1.7053025658242404E-13</v>
      </c>
      <c r="EK67" s="17">
        <f>EJ67*VLOOKUP('Données projet'!$B$15,Paramètres!$A$1:$I$89,3,0)*VLOOKUP('Données projet'!$B$15,Paramètres!$A$1:$I$89,5,0)</f>
        <v>1.250327841262333E-13</v>
      </c>
      <c r="EL67" s="13">
        <f t="shared" si="45"/>
        <v>1.8301318724634299E-12</v>
      </c>
      <c r="EM67" s="20">
        <f t="shared" si="19"/>
        <v>3.405245110226996E-12</v>
      </c>
      <c r="EN67" s="59">
        <f t="shared" si="20"/>
        <v>293.33333333333672</v>
      </c>
      <c r="EO67" s="59">
        <f ca="1">AVERAGE(OFFSET($EN$3,0,0,'Données projet'!$E$15+1,1))-AVERAGE(OFFSET($H$3,0,0,'Données projet'!$E$15+1,1))</f>
        <v>197.34725966440715</v>
      </c>
      <c r="EP67" s="59">
        <f t="shared" si="46"/>
        <v>240.16326570529532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33.157743617926691</v>
      </c>
      <c r="EW67" s="21">
        <f>EXP(-LN(2)/25)*EW66+(1-EXP(-LN(2)/25))/(LN(2)/25)*Calculateur!ER67*Calculateur!ET67*VLOOKUP('Données projet'!$B$15,Paramètres!$A$1:$I$89,3,0)*0.475*44/12</f>
        <v>20.890993456111019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54.04873707403771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2.2737367544323206E-13</v>
      </c>
      <c r="FF67" s="17">
        <f>FE67*VLOOKUP('Données projet'!$B$16,Paramètres!$A$1:$I$89,3,0)*VLOOKUP('Données projet'!$B$16,Paramètres!$A$1:$I$89,5,0)</f>
        <v>1.2710188457276673E-13</v>
      </c>
      <c r="FG67" s="13">
        <f t="shared" si="47"/>
        <v>1.856866851063998E-12</v>
      </c>
      <c r="FH67" s="20">
        <f t="shared" si="22"/>
        <v>3.4554122145673649E-12</v>
      </c>
      <c r="FI67" s="59">
        <f t="shared" si="23"/>
        <v>293.33333333333678</v>
      </c>
      <c r="FJ67" s="59">
        <f ca="1">AVERAGE(OFFSET($FI$3,0,0,'Données projet'!$E$16+1,1))-AVERAGE(OFFSET($H$3,0,0,'Données projet'!$E$16+1,1))</f>
        <v>346.42094266871379</v>
      </c>
      <c r="FK67" s="59">
        <f t="shared" si="48"/>
        <v>453.48153556975973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158.2193971707116</v>
      </c>
      <c r="FR67" s="21">
        <f>EXP(-LN(2)/25)*FR66+(1-EXP(-LN(2)/25))/(LN(2)/25)*Calculateur!FM67*Calculateur!FO67*VLOOKUP('Données projet'!$B$16,Paramètres!$A$1:$I$89,3,0)*0.475*44/12</f>
        <v>94.429986409057534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252.64938357976914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-1.1368683772161603E-13</v>
      </c>
      <c r="GA67" s="17">
        <f>FZ67*VLOOKUP('Données projet'!$B$17,Paramètres!$A$1:$I$89,3,0)*VLOOKUP('Données projet'!$B$17,Paramètres!$A$1:$I$89,5,0)</f>
        <v>-5.3205440053716299E-14</v>
      </c>
      <c r="GB67" s="13" t="e">
        <f t="shared" si="49"/>
        <v>#NUM!</v>
      </c>
      <c r="GC67" s="20" t="e">
        <f t="shared" si="25"/>
        <v>#NUM!</v>
      </c>
      <c r="GD67" s="59" t="e">
        <f t="shared" si="26"/>
        <v>#NUM!</v>
      </c>
      <c r="GE67" s="59">
        <f ca="1">AVERAGE(OFFSET($GD$3,0,0,'Données projet'!$E$17+1,1))-AVERAGE(OFFSET($H$3,0,0,'Données projet'!$E$17+1,1))</f>
        <v>198.26255998041</v>
      </c>
      <c r="GF67" s="59">
        <f t="shared" si="50"/>
        <v>238.62101708181166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101.41377015551042</v>
      </c>
      <c r="GM67" s="21">
        <f>EXP(-LN(2)/25)*GM66+(1-EXP(-LN(2)/25))/(LN(2)/25)*Calculateur!GH67*Calculateur!GJ67*VLOOKUP('Données projet'!$B$17,Paramètres!$A$1:$I$89,3,0)*0.475*44/12</f>
        <v>55.729950818418374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157.14372097392879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14.3</v>
      </c>
      <c r="GU67" s="12">
        <f>IF('Données projet'!$A$270&gt;35,GU66+GT67-HC66,IF(A67&lt;'Données projet'!$A$270,$GR$205^A67,IF(A67='Données projet'!$A$270,'Données projet'!$B$270,GU66+GT67-HC66)))</f>
        <v>362.20000000000005</v>
      </c>
      <c r="GV67" s="17">
        <f>GU67*VLOOKUP('Données projet'!$B$18,Paramètres!$A$1:$I$89,3,0)*VLOOKUP('Données projet'!$B$18,Paramètres!$A$1:$I$89,5,0)</f>
        <v>417.25440000000003</v>
      </c>
      <c r="GW67" s="13">
        <f t="shared" si="51"/>
        <v>95.266085918682904</v>
      </c>
      <c r="GX67" s="20">
        <f t="shared" si="28"/>
        <v>892.63984630837274</v>
      </c>
      <c r="GY67" s="59">
        <f t="shared" si="29"/>
        <v>1185.9731796417061</v>
      </c>
      <c r="GZ67" s="59">
        <f ca="1">AVERAGE(OFFSET($GY$3,0,0,'Données projet'!$E$18+1,1))-AVERAGE(OFFSET($H$3,0,0,'Données projet'!$E$18+1,1))</f>
        <v>604.0566904089452</v>
      </c>
      <c r="HA67" s="59">
        <f t="shared" si="52"/>
        <v>369.5187835902687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40.746561157199402</v>
      </c>
      <c r="HH67" s="21">
        <f>EXP(-LN(2)/25)*HH66+(1-EXP(-LN(2)/25))/(LN(2)/25)*Calculateur!HC67*Calculateur!HE67*VLOOKUP('Données projet'!$B$18,Paramètres!$A$1:$I$89,3,0)*0.475*44/12</f>
        <v>25.667325131654817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66.413886288854215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8.6666666666666661</v>
      </c>
      <c r="N68" s="13">
        <f>IF('Données projet'!$A$36&gt;35,N67+M68-V67,IF(A68&lt;'Données projet'!$A$36,$K$205^A68,IF(A68='Données projet'!$A$36,'Données projet'!$B$36,N67+M68-V67)))</f>
        <v>239.33333333333331</v>
      </c>
      <c r="O68" s="13">
        <f>N68*VLOOKUP('Données projet'!$B$9,Paramètres!$A$1:$I$89,3,0)*VLOOKUP('Données projet'!$B$9,Paramètres!$A$1:$I$89,5,0)</f>
        <v>216.54879999999997</v>
      </c>
      <c r="P68" s="13">
        <f t="shared" si="33"/>
        <v>53.364095578940479</v>
      </c>
      <c r="Q68" s="20">
        <f t="shared" si="54"/>
        <v>470.09829313332119</v>
      </c>
      <c r="R68" s="59">
        <f t="shared" si="55"/>
        <v>763.43162646665451</v>
      </c>
      <c r="S68" s="59">
        <f ca="1">AVERAGE(OFFSET($R$3,0,0,'Données projet'!$E$9+1,1))-AVERAGE(OFFSET($H$3,0,0,'Données projet'!$E$9+1,1))</f>
        <v>528.20489749461376</v>
      </c>
      <c r="T68" s="59">
        <f t="shared" si="34"/>
        <v>276.26988364830532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22.906194829395471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22.906194829395471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2.2737367544323206E-13</v>
      </c>
      <c r="AJ68" s="13">
        <f>AI68*VLOOKUP('Données projet'!$B$10,Paramètres!$A$1:$I$89,3,0)*VLOOKUP('Données projet'!$B$10,Paramètres!$A$1:$I$89,5,0)</f>
        <v>2.0572770154103635E-13</v>
      </c>
      <c r="AK68" s="13">
        <f t="shared" si="35"/>
        <v>2.8416956338469711E-12</v>
      </c>
      <c r="AL68" s="20">
        <f t="shared" ref="AL68:AL131" si="58">(AJ68+AK68)*0.475*44/12</f>
        <v>5.3075956424674458E-12</v>
      </c>
      <c r="AM68" s="59">
        <f t="shared" ref="AM68:AM131" si="59">AL68+(AD68+AE68)*44/12</f>
        <v>293.3333333333386</v>
      </c>
      <c r="AN68" s="59">
        <f ca="1">AVERAGE(OFFSET($AM$3,0,0,'Données projet'!$E$10+1,1))-AVERAGE(OFFSET($H$3,0,0,'Données projet'!$E$10+1,1))</f>
        <v>436.23918637269577</v>
      </c>
      <c r="AO68" s="59">
        <f t="shared" si="36"/>
        <v>611.43967996341894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49.139253985271672</v>
      </c>
      <c r="AV68" s="21">
        <f>EXP(-LN(2)/25)*AV67+(1-EXP(-LN(2)/25))/(LN(2)/25)*Calculateur!AQ68*Calculateur!AS68*VLOOKUP('Données projet'!$B$10,Paramètres!$A$1:$I$89,3,0)*0.475*44/12</f>
        <v>24.861560804585704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74.000814789857372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8.6666666666666661</v>
      </c>
      <c r="BD68" s="12">
        <f>IF('Données projet'!$A$88&gt;35,BD67+BC68-BL67,IF(A68&lt;'Données projet'!$A$88,$BA$205^A68,IF(A68='Données projet'!$A$88,'Données projet'!$B$88,BD67+BC68-BL67)))</f>
        <v>293.33333333333331</v>
      </c>
      <c r="BE68" s="13">
        <f>BD68*VLOOKUP('Données projet'!$B$11,Paramètres!$A$1:$I$89,3,0)*VLOOKUP('Données projet'!$B$11,Paramètres!$A$1:$I$89,5,0)</f>
        <v>228.79999999999998</v>
      </c>
      <c r="BF68" s="13">
        <f t="shared" si="37"/>
        <v>56.023134533701196</v>
      </c>
      <c r="BG68" s="20">
        <f t="shared" ref="BG68:BG131" si="61">(BE68+BF68)*0.475*44/12</f>
        <v>496.06695931286293</v>
      </c>
      <c r="BH68" s="59">
        <f t="shared" ref="BH68:BH131" si="62">BG68+(AY68+AZ68)*44/12</f>
        <v>789.40029264619625</v>
      </c>
      <c r="BI68" s="59">
        <f ca="1">AVERAGE(OFFSET($BH$3,0,0,'Données projet'!$E$11+1,1))-AVERAGE(OFFSET($H$3,0,0,'Données projet'!$E$11+1,1))</f>
        <v>288.82868507674738</v>
      </c>
      <c r="BJ68" s="59">
        <f t="shared" si="38"/>
        <v>283.48738729114024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16.752965894523577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16.752965894523577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54.074999999999996</v>
      </c>
      <c r="BW68" s="12">
        <f>VLOOKUP(A68,'Données projet'!$A$113:$I$133,9,0)</f>
        <v>0.93729999999999902</v>
      </c>
      <c r="BX68" s="12">
        <f t="array" ref="BX68">INDEX(BW:BW,MIN(IF(ISNUMBER(BW68:BW264),ROW(BW68:BW264),"")))</f>
        <v>0.93729999999999902</v>
      </c>
      <c r="BY68" s="12">
        <f>IF('Données projet'!$A$114&gt;35,BY67+BX68-CG67,IF(A68&lt;'Données projet'!$A$114,$BV$205^A68,IF(A68='Données projet'!$A$114,'Données projet'!$B$114,BY67+BX68-CG67)))</f>
        <v>54.074999999999996</v>
      </c>
      <c r="BZ68" s="13">
        <f>BY68*VLOOKUP('Données projet'!$B$12,Paramètres!$A$1:$I$89,3,0)*VLOOKUP('Données projet'!$B$12,Paramètres!$A$1:$I$89,5,0)</f>
        <v>47.239920000000005</v>
      </c>
      <c r="CA68" s="13">
        <f t="shared" si="39"/>
        <v>13.898618456498552</v>
      </c>
      <c r="CB68" s="20">
        <f t="shared" ref="CB68:CB131" si="64">(BZ68+CA68)*0.475*44/12</f>
        <v>106.48295447840165</v>
      </c>
      <c r="CC68" s="59">
        <f t="shared" ref="CC68:CC131" si="65">CB68+(BT68+BU68)*44/12</f>
        <v>399.81628781173498</v>
      </c>
      <c r="CD68" s="59">
        <f ca="1">AVERAGE(OFFSET($CC$3,0,0,'Données projet'!$E$12+1,1))-AVERAGE(OFFSET($H$3,0,0,'Données projet'!$E$12+1,1))</f>
        <v>93.329407403816901</v>
      </c>
      <c r="CE68" s="59">
        <f t="shared" si="40"/>
        <v>90.925148357295313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2.1629999999999998</v>
      </c>
      <c r="CH68" s="16">
        <f>IF(ISNA(VLOOKUP(A68,'Données projet'!$A$113:$I$133,5,0)),0%,VLOOKUP(A68,'Données projet'!$A$113:$I$133,5,0)*VLOOKUP('Données projet'!$B$12,Paramètres!$A$1:$I$89,7,0))</f>
        <v>0.25800000000000001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2.6467750916968944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2.6467750916968944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529</v>
      </c>
      <c r="CR68" s="12">
        <f>VLOOKUP(A68,'Données projet'!$A$139:$I$159,9,0)</f>
        <v>14</v>
      </c>
      <c r="CS68" s="12">
        <f t="array" ref="CS68">INDEX(CR:CR,MIN(IF(ISNUMBER(CR68:CR264),ROW(CR68:CR264),"")))</f>
        <v>14</v>
      </c>
      <c r="CT68" s="12">
        <f>IF('Données projet'!$A$140&gt;35,CT67+CS68-DB67,IF(A68&lt;'Données projet'!$A$140,$CQ$205^A68,IF(A68='Données projet'!$A$140,'Données projet'!$B$140,CT67+CS68-DB67)))</f>
        <v>528.99999999999977</v>
      </c>
      <c r="CU68" s="17">
        <f>CT68*VLOOKUP('Données projet'!$B$13,Paramètres!$A$1:$I$89,3,0)*VLOOKUP('Données projet'!$B$13,Paramètres!$A$1:$I$89,5,0)</f>
        <v>503.39639999999974</v>
      </c>
      <c r="CV68" s="13">
        <f t="shared" si="41"/>
        <v>112.45009689772793</v>
      </c>
      <c r="CW68" s="20">
        <f t="shared" ref="CW68:CW131" si="67">(CU68+CV68)*0.475*44/12</f>
        <v>1072.5993154302089</v>
      </c>
      <c r="CX68" s="59">
        <f t="shared" ref="CX68:CX131" si="68">CW68+(CO68+CP68)*44/12</f>
        <v>1365.9326487635421</v>
      </c>
      <c r="CY68" s="59">
        <f ca="1">AVERAGE(OFFSET($CX$3,0,0,'Données projet'!$E$13+1,1))-AVERAGE(OFFSET($H$3,0,0,'Données projet'!$E$13+1,1))</f>
        <v>805.04572055352492</v>
      </c>
      <c r="CZ68" s="59">
        <f t="shared" si="42"/>
        <v>708.66645042414962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58</v>
      </c>
      <c r="DC68" s="16">
        <f>IF(ISNA(VLOOKUP(A68,'Données projet'!$A$139:$I$159,5,0)),0%,VLOOKUP(A68,'Données projet'!$A$139:$I$159,5,0)*VLOOKUP('Données projet'!$B$13,Paramètres!$A$1:$I$89,7,0))</f>
        <v>0.25800000000000001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52.130151163480818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52.130151163480818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415</v>
      </c>
      <c r="DM68" s="12">
        <f>VLOOKUP(A68,'Données projet'!$A$165:$I$185,9,0)</f>
        <v>8.4</v>
      </c>
      <c r="DN68" s="12">
        <f t="array" ref="DN68">INDEX(DM:DM,MIN(IF(ISNUMBER(DM68:DM264),ROW(DM68:DM264),"")))</f>
        <v>8.4</v>
      </c>
      <c r="DO68" s="12">
        <f>IF('Données projet'!$A$166&gt;35,DO67+DN68-DW67,IF(A68&lt;'Données projet'!$A$166,$DL$205^A68,IF(A68='Données projet'!$A$166,'Données projet'!$B$166,DO67+DN68-DW67)))</f>
        <v>414.99999999999983</v>
      </c>
      <c r="DP68" s="17">
        <f>DO68*VLOOKUP('Données projet'!$B$14,Paramètres!$A$1:$I$89,3,0)*VLOOKUP('Données projet'!$B$14,Paramètres!$A$1:$I$89,5,0)</f>
        <v>278.38199999999989</v>
      </c>
      <c r="DQ68" s="13">
        <f t="shared" si="43"/>
        <v>66.624963725642488</v>
      </c>
      <c r="DR68" s="20">
        <f t="shared" ref="DR68:DR131" si="70">(DP68+DQ68)*0.475*44/12</f>
        <v>600.88712848882722</v>
      </c>
      <c r="DS68" s="59">
        <f t="shared" ref="DS68:DS131" si="71">DR68+(DJ68+DK68)*44/12</f>
        <v>894.22046182216059</v>
      </c>
      <c r="DT68" s="59">
        <f ca="1">AVERAGE(OFFSET($DS$3,0,0,'Données projet'!$E$14+1,1))-AVERAGE(OFFSET($H$3,0,0,'Données projet'!$E$14+1,1))</f>
        <v>482.69499576870095</v>
      </c>
      <c r="DU68" s="59">
        <f t="shared" si="44"/>
        <v>384.28918352579575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24</v>
      </c>
      <c r="DX68" s="16">
        <f>IF(ISNA(VLOOKUP(A68,'Données projet'!$A$165:$I$185,5,0)),0%,VLOOKUP(A68,'Données projet'!$A$165:$I$185,5,0)*VLOOKUP('Données projet'!$B$14,Paramètres!$A$1:$I$89,7,0))</f>
        <v>0.318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19.991433349985996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19.991433349985996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1.7053025658242404E-13</v>
      </c>
      <c r="EK68" s="17">
        <f>EJ68*VLOOKUP('Données projet'!$B$15,Paramètres!$A$1:$I$89,3,0)*VLOOKUP('Données projet'!$B$15,Paramètres!$A$1:$I$89,5,0)</f>
        <v>1.250327841262333E-13</v>
      </c>
      <c r="EL68" s="13">
        <f t="shared" si="45"/>
        <v>1.8301318724634299E-12</v>
      </c>
      <c r="EM68" s="20">
        <f t="shared" ref="EM68:EM131" si="73">(EK68+EL68)*0.475*44/12</f>
        <v>3.405245110226996E-12</v>
      </c>
      <c r="EN68" s="59">
        <f t="shared" ref="EN68:EN131" si="74">EM68+(EE68+EF68)*44/12</f>
        <v>293.33333333333672</v>
      </c>
      <c r="EO68" s="59">
        <f ca="1">AVERAGE(OFFSET($EN$3,0,0,'Données projet'!$E$15+1,1))-AVERAGE(OFFSET($H$3,0,0,'Données projet'!$E$15+1,1))</f>
        <v>197.34725966440715</v>
      </c>
      <c r="EP68" s="59">
        <f t="shared" si="46"/>
        <v>240.16326570529532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32.507540489805777</v>
      </c>
      <c r="EW68" s="21">
        <f>EXP(-LN(2)/25)*EW67+(1-EXP(-LN(2)/25))/(LN(2)/25)*Calculateur!ER68*Calculateur!ET68*VLOOKUP('Données projet'!$B$15,Paramètres!$A$1:$I$89,3,0)*0.475*44/12</f>
        <v>20.319728141444063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52.827268631249837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2.2737367544323206E-13</v>
      </c>
      <c r="FF68" s="17">
        <f>FE68*VLOOKUP('Données projet'!$B$16,Paramètres!$A$1:$I$89,3,0)*VLOOKUP('Données projet'!$B$16,Paramètres!$A$1:$I$89,5,0)</f>
        <v>1.2710188457276673E-13</v>
      </c>
      <c r="FG68" s="13">
        <f t="shared" si="47"/>
        <v>1.856866851063998E-12</v>
      </c>
      <c r="FH68" s="20">
        <f t="shared" ref="FH68:FH131" si="76">(FF68+FG68)*0.475*44/12</f>
        <v>3.4554122145673649E-12</v>
      </c>
      <c r="FI68" s="59">
        <f t="shared" ref="FI68:FI131" si="77">FH68+(EZ68+FA68)*44/12</f>
        <v>293.33333333333678</v>
      </c>
      <c r="FJ68" s="59">
        <f ca="1">AVERAGE(OFFSET($FI$3,0,0,'Données projet'!$E$16+1,1))-AVERAGE(OFFSET($H$3,0,0,'Données projet'!$E$16+1,1))</f>
        <v>346.42094266871379</v>
      </c>
      <c r="FK68" s="59">
        <f t="shared" si="48"/>
        <v>453.48153556975973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155.11681129649722</v>
      </c>
      <c r="FR68" s="21">
        <f>EXP(-LN(2)/25)*FR67+(1-EXP(-LN(2)/25))/(LN(2)/25)*Calculateur!FM68*Calculateur!FO68*VLOOKUP('Données projet'!$B$16,Paramètres!$A$1:$I$89,3,0)*0.475*44/12</f>
        <v>91.847793464844699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246.96460476134192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-1.1368683772161603E-13</v>
      </c>
      <c r="GA68" s="17">
        <f>FZ68*VLOOKUP('Données projet'!$B$17,Paramètres!$A$1:$I$89,3,0)*VLOOKUP('Données projet'!$B$17,Paramètres!$A$1:$I$89,5,0)</f>
        <v>-5.3205440053716299E-14</v>
      </c>
      <c r="GB68" s="13" t="e">
        <f t="shared" si="49"/>
        <v>#NUM!</v>
      </c>
      <c r="GC68" s="20" t="e">
        <f t="shared" ref="GC68:GC131" si="79">(GA68+GB68)*0.475*44/12</f>
        <v>#NUM!</v>
      </c>
      <c r="GD68" s="59" t="e">
        <f t="shared" ref="GD68:GD131" si="80">GC68+(FU68+FV68)*44/12</f>
        <v>#NUM!</v>
      </c>
      <c r="GE68" s="59">
        <f ca="1">AVERAGE(OFFSET($GD$3,0,0,'Données projet'!$E$17+1,1))-AVERAGE(OFFSET($H$3,0,0,'Données projet'!$E$17+1,1))</f>
        <v>198.26255998041</v>
      </c>
      <c r="GF68" s="59">
        <f t="shared" si="50"/>
        <v>238.62101708181166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99.425107979052854</v>
      </c>
      <c r="GM68" s="21">
        <f>EXP(-LN(2)/25)*GM67+(1-EXP(-LN(2)/25))/(LN(2)/25)*Calculateur!GH68*Calculateur!GJ68*VLOOKUP('Données projet'!$B$17,Paramètres!$A$1:$I$89,3,0)*0.475*44/12</f>
        <v>54.206012382577981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153.63112036163085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14.3</v>
      </c>
      <c r="GU68" s="12">
        <f>IF('Données projet'!$A$270&gt;35,GU67+GT68-HC67,IF(A68&lt;'Données projet'!$A$270,$GR$205^A68,IF(A68='Données projet'!$A$270,'Données projet'!$B$270,GU67+GT68-HC67)))</f>
        <v>376.50000000000006</v>
      </c>
      <c r="GV68" s="17">
        <f>GU68*VLOOKUP('Données projet'!$B$18,Paramètres!$A$1:$I$89,3,0)*VLOOKUP('Données projet'!$B$18,Paramètres!$A$1:$I$89,5,0)</f>
        <v>433.72800000000007</v>
      </c>
      <c r="GW68" s="13">
        <f t="shared" si="51"/>
        <v>98.581951754369243</v>
      </c>
      <c r="GX68" s="20">
        <f t="shared" ref="GX68:GX131" si="82">(GV68+GW68)*0.475*44/12</f>
        <v>927.10649930552654</v>
      </c>
      <c r="GY68" s="59">
        <f t="shared" ref="GY68:GY131" si="83">GX68+(GP68+GQ68)*44/12</f>
        <v>1220.4398326388598</v>
      </c>
      <c r="GZ68" s="59">
        <f ca="1">AVERAGE(OFFSET($GY$3,0,0,'Données projet'!$E$18+1,1))-AVERAGE(OFFSET($H$3,0,0,'Données projet'!$E$18+1,1))</f>
        <v>604.0566904089452</v>
      </c>
      <c r="HA68" s="59">
        <f t="shared" si="52"/>
        <v>369.5187835902687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39.947545945855005</v>
      </c>
      <c r="HH68" s="21">
        <f>EXP(-LN(2)/25)*HH67+(1-EXP(-LN(2)/25))/(LN(2)/25)*Calculateur!HC68*Calculateur!HE68*VLOOKUP('Données projet'!$B$18,Paramètres!$A$1:$I$89,3,0)*0.475*44/12</f>
        <v>24.965450776143751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64.912996721998752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8.6666666666666661</v>
      </c>
      <c r="N69" s="13">
        <f>IF('Données projet'!$A$36&gt;35,N68+M69-V68,IF(A69&lt;'Données projet'!$A$36,$K$205^A69,IF(A69='Données projet'!$A$36,'Données projet'!$B$36,N68+M69-V68)))</f>
        <v>247.99999999999997</v>
      </c>
      <c r="O69" s="13">
        <f>N69*VLOOKUP('Données projet'!$B$9,Paramètres!$A$1:$I$89,3,0)*VLOOKUP('Données projet'!$B$9,Paramètres!$A$1:$I$89,5,0)</f>
        <v>224.39039999999997</v>
      </c>
      <c r="P69" s="13">
        <f t="shared" ref="P69:P132" si="87">EXP(-1.0587+0.8836*LN(O69)+0.284)</f>
        <v>55.068017311015858</v>
      </c>
      <c r="Q69" s="20">
        <f t="shared" si="54"/>
        <v>486.72341015001916</v>
      </c>
      <c r="R69" s="59">
        <f t="shared" si="55"/>
        <v>780.05674348335242</v>
      </c>
      <c r="S69" s="59">
        <f ca="1">AVERAGE(OFFSET($R$3,0,0,'Données projet'!$E$9+1,1))-AVERAGE(OFFSET($H$3,0,0,'Données projet'!$E$9+1,1))</f>
        <v>528.20489749461376</v>
      </c>
      <c r="T69" s="59">
        <f t="shared" ref="T69:T132" si="88">$T$3</f>
        <v>276.26988364830532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22.457018320190311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22.457018320190311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2.2737367544323206E-13</v>
      </c>
      <c r="AJ69" s="13">
        <f>AI69*VLOOKUP('Données projet'!$B$10,Paramètres!$A$1:$I$89,3,0)*VLOOKUP('Données projet'!$B$10,Paramètres!$A$1:$I$89,5,0)</f>
        <v>2.0572770154103635E-13</v>
      </c>
      <c r="AK69" s="13">
        <f t="shared" ref="AK69:AK132" si="89">EXP(-1.0587+0.8836*LN(AJ69)+0.284)</f>
        <v>2.8416956338469711E-12</v>
      </c>
      <c r="AL69" s="20">
        <f t="shared" si="58"/>
        <v>5.3075956424674458E-12</v>
      </c>
      <c r="AM69" s="59">
        <f t="shared" si="59"/>
        <v>293.3333333333386</v>
      </c>
      <c r="AN69" s="59">
        <f ca="1">AVERAGE(OFFSET($AM$3,0,0,'Données projet'!$E$10+1,1))-AVERAGE(OFFSET($H$3,0,0,'Données projet'!$E$10+1,1))</f>
        <v>436.23918637269577</v>
      </c>
      <c r="AO69" s="59">
        <f t="shared" ref="AO69:AO132" si="90">$AO$3</f>
        <v>611.43967996341894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48.175663186605938</v>
      </c>
      <c r="AV69" s="21">
        <f>EXP(-LN(2)/25)*AV68+(1-EXP(-LN(2)/25))/(LN(2)/25)*Calculateur!AQ69*Calculateur!AS69*VLOOKUP('Données projet'!$B$10,Paramètres!$A$1:$I$89,3,0)*0.475*44/12</f>
        <v>24.181720116971647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72.357383303577592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8.6666666666666661</v>
      </c>
      <c r="BD69" s="12">
        <f>IF('Données projet'!$A$88&gt;35,BD68+BC69-BL68,IF(A69&lt;'Données projet'!$A$88,$BA$205^A69,IF(A69='Données projet'!$A$88,'Données projet'!$B$88,BD68+BC69-BL68)))</f>
        <v>302</v>
      </c>
      <c r="BE69" s="13">
        <f>BD69*VLOOKUP('Données projet'!$B$11,Paramètres!$A$1:$I$89,3,0)*VLOOKUP('Données projet'!$B$11,Paramètres!$A$1:$I$89,5,0)</f>
        <v>235.56</v>
      </c>
      <c r="BF69" s="13">
        <f t="shared" ref="BF69:BF132" si="91">EXP(-1.0587+0.8836*LN(BE69)+0.284)</f>
        <v>57.483207143847721</v>
      </c>
      <c r="BG69" s="20">
        <f t="shared" si="61"/>
        <v>510.38358577553481</v>
      </c>
      <c r="BH69" s="59">
        <f t="shared" si="62"/>
        <v>803.71691910886807</v>
      </c>
      <c r="BI69" s="59">
        <f ca="1">AVERAGE(OFFSET($BH$3,0,0,'Données projet'!$E$11+1,1))-AVERAGE(OFFSET($H$3,0,0,'Données projet'!$E$11+1,1))</f>
        <v>288.82868507674738</v>
      </c>
      <c r="BJ69" s="59">
        <f t="shared" ref="BJ69:BJ132" si="92">$BJ$3</f>
        <v>283.48738729114024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16.424450451632193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16.424450451632193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0.79309999999999969</v>
      </c>
      <c r="BY69" s="12">
        <f>IF('Données projet'!$A$114&gt;35,BY68+BX69-CG68,IF(A69&lt;'Données projet'!$A$114,$BV$205^A69,IF(A69='Données projet'!$A$114,'Données projet'!$B$114,BY68+BX69-CG68)))</f>
        <v>52.705100000000002</v>
      </c>
      <c r="BZ69" s="13">
        <f>BY69*VLOOKUP('Données projet'!$B$12,Paramètres!$A$1:$I$89,3,0)*VLOOKUP('Données projet'!$B$12,Paramètres!$A$1:$I$89,5,0)</f>
        <v>46.043175360000006</v>
      </c>
      <c r="CA69" s="13">
        <f t="shared" ref="CA69:CA132" si="93">EXP(-1.0587+0.8836*LN(BZ69)+0.284)</f>
        <v>13.587041278464602</v>
      </c>
      <c r="CB69" s="20">
        <f t="shared" si="64"/>
        <v>103.85596064532587</v>
      </c>
      <c r="CC69" s="59">
        <f t="shared" si="65"/>
        <v>397.18929397865918</v>
      </c>
      <c r="CD69" s="59">
        <f ca="1">AVERAGE(OFFSET($CC$3,0,0,'Données projet'!$E$12+1,1))-AVERAGE(OFFSET($H$3,0,0,'Données projet'!$E$12+1,1))</f>
        <v>93.329407403816901</v>
      </c>
      <c r="CE69" s="59">
        <f t="shared" ref="CE69:CE132" si="94">$CE$3</f>
        <v>90.925148357295313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2.5948734465221182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2.5948734465221182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13.6</v>
      </c>
      <c r="CT69" s="12">
        <f>IF('Données projet'!$A$140&gt;35,CT68+CS69-DB68,IF(A69&lt;'Données projet'!$A$140,$CQ$205^A69,IF(A69='Données projet'!$A$140,'Données projet'!$B$140,CT68+CS69-DB68)))</f>
        <v>484.5999999999998</v>
      </c>
      <c r="CU69" s="17">
        <f>CT69*VLOOKUP('Données projet'!$B$13,Paramètres!$A$1:$I$89,3,0)*VLOOKUP('Données projet'!$B$13,Paramètres!$A$1:$I$89,5,0)</f>
        <v>461.14535999999981</v>
      </c>
      <c r="CV69" s="13">
        <f t="shared" ref="CV69:CV132" si="95">EXP(-1.0587+0.8836*LN(CU69)+0.284)</f>
        <v>104.06847321563372</v>
      </c>
      <c r="CW69" s="20">
        <f t="shared" si="67"/>
        <v>984.41409285056159</v>
      </c>
      <c r="CX69" s="59">
        <f t="shared" si="68"/>
        <v>1277.747426183895</v>
      </c>
      <c r="CY69" s="59">
        <f ca="1">AVERAGE(OFFSET($CX$3,0,0,'Données projet'!$E$13+1,1))-AVERAGE(OFFSET($H$3,0,0,'Données projet'!$E$13+1,1))</f>
        <v>805.04572055352492</v>
      </c>
      <c r="CZ69" s="59">
        <f t="shared" ref="CZ69:CZ132" si="96">$CZ$3</f>
        <v>708.66645042414962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51.107910695417551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51.107910695417551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</v>
      </c>
      <c r="DO69" s="12">
        <f>IF('Données projet'!$A$166&gt;35,DO68+DN69-DW68,IF(A69&lt;'Données projet'!$A$166,$DL$205^A69,IF(A69='Données projet'!$A$166,'Données projet'!$B$166,DO68+DN69-DW68)))</f>
        <v>398.99999999999983</v>
      </c>
      <c r="DP69" s="17">
        <f>DO69*VLOOKUP('Données projet'!$B$14,Paramètres!$A$1:$I$89,3,0)*VLOOKUP('Données projet'!$B$14,Paramètres!$A$1:$I$89,5,0)</f>
        <v>267.64919999999989</v>
      </c>
      <c r="DQ69" s="13">
        <f t="shared" ref="DQ69:DQ132" si="97">EXP(-1.0587+0.8836*LN(DP69)+0.284)</f>
        <v>64.350116568593577</v>
      </c>
      <c r="DR69" s="20">
        <f t="shared" si="70"/>
        <v>578.23214302363363</v>
      </c>
      <c r="DS69" s="59">
        <f t="shared" si="71"/>
        <v>871.56547635696688</v>
      </c>
      <c r="DT69" s="59">
        <f ca="1">AVERAGE(OFFSET($DS$3,0,0,'Données projet'!$E$14+1,1))-AVERAGE(OFFSET($H$3,0,0,'Données projet'!$E$14+1,1))</f>
        <v>482.69499576870095</v>
      </c>
      <c r="DU69" s="59">
        <f t="shared" ref="DU69:DU132" si="98">$DU$3</f>
        <v>384.28918352579575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19.599413535563098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19.599413535563098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1.7053025658242404E-13</v>
      </c>
      <c r="EK69" s="17">
        <f>EJ69*VLOOKUP('Données projet'!$B$15,Paramètres!$A$1:$I$89,3,0)*VLOOKUP('Données projet'!$B$15,Paramètres!$A$1:$I$89,5,0)</f>
        <v>1.250327841262333E-13</v>
      </c>
      <c r="EL69" s="13">
        <f t="shared" ref="EL69:EL132" si="99">EXP(-1.0587+0.8836*LN(EK69)+0.284)</f>
        <v>1.8301318724634299E-12</v>
      </c>
      <c r="EM69" s="20">
        <f t="shared" si="73"/>
        <v>3.405245110226996E-12</v>
      </c>
      <c r="EN69" s="59">
        <f t="shared" si="74"/>
        <v>293.33333333333672</v>
      </c>
      <c r="EO69" s="59">
        <f ca="1">AVERAGE(OFFSET($EN$3,0,0,'Données projet'!$E$15+1,1))-AVERAGE(OFFSET($H$3,0,0,'Données projet'!$E$15+1,1))</f>
        <v>197.34725966440715</v>
      </c>
      <c r="EP69" s="59">
        <f t="shared" ref="EP69:EP132" si="100">$EP$3</f>
        <v>240.16326570529532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31.870087448442568</v>
      </c>
      <c r="EW69" s="21">
        <f>EXP(-LN(2)/25)*EW68+(1-EXP(-LN(2)/25))/(LN(2)/25)*Calculateur!ER69*Calculateur!ET69*VLOOKUP('Données projet'!$B$15,Paramètres!$A$1:$I$89,3,0)*0.475*44/12</f>
        <v>19.764084106848212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51.634171555290777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2.2737367544323206E-13</v>
      </c>
      <c r="FF69" s="17">
        <f>FE69*VLOOKUP('Données projet'!$B$16,Paramètres!$A$1:$I$89,3,0)*VLOOKUP('Données projet'!$B$16,Paramètres!$A$1:$I$89,5,0)</f>
        <v>1.2710188457276673E-13</v>
      </c>
      <c r="FG69" s="13">
        <f t="shared" ref="FG69:FG132" si="101">EXP(-1.0587+0.8836*LN(FF69)+0.284)</f>
        <v>1.856866851063998E-12</v>
      </c>
      <c r="FH69" s="20">
        <f t="shared" si="76"/>
        <v>3.4554122145673649E-12</v>
      </c>
      <c r="FI69" s="59">
        <f t="shared" si="77"/>
        <v>293.33333333333678</v>
      </c>
      <c r="FJ69" s="59">
        <f ca="1">AVERAGE(OFFSET($FI$3,0,0,'Données projet'!$E$16+1,1))-AVERAGE(OFFSET($H$3,0,0,'Données projet'!$E$16+1,1))</f>
        <v>346.42094266871379</v>
      </c>
      <c r="FK69" s="59">
        <f t="shared" ref="FK69:FK132" si="102">$FK$3</f>
        <v>453.48153556975973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152.07506523888566</v>
      </c>
      <c r="FR69" s="21">
        <f>EXP(-LN(2)/25)*FR68+(1-EXP(-LN(2)/25))/(LN(2)/25)*Calculateur!FM69*Calculateur!FO69*VLOOKUP('Données projet'!$B$16,Paramètres!$A$1:$I$89,3,0)*0.475*44/12</f>
        <v>89.336210722482988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241.41127596136863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-1.1368683772161603E-13</v>
      </c>
      <c r="GA69" s="17">
        <f>FZ69*VLOOKUP('Données projet'!$B$17,Paramètres!$A$1:$I$89,3,0)*VLOOKUP('Données projet'!$B$17,Paramètres!$A$1:$I$89,5,0)</f>
        <v>-5.3205440053716299E-14</v>
      </c>
      <c r="GB69" s="13" t="e">
        <f t="shared" ref="GB69:GB132" si="103">EXP(-1.0587+0.8836*LN(GA69)+0.284)</f>
        <v>#NUM!</v>
      </c>
      <c r="GC69" s="20" t="e">
        <f t="shared" si="79"/>
        <v>#NUM!</v>
      </c>
      <c r="GD69" s="59" t="e">
        <f t="shared" si="80"/>
        <v>#NUM!</v>
      </c>
      <c r="GE69" s="59">
        <f ca="1">AVERAGE(OFFSET($GD$3,0,0,'Données projet'!$E$17+1,1))-AVERAGE(OFFSET($H$3,0,0,'Données projet'!$E$17+1,1))</f>
        <v>198.26255998041</v>
      </c>
      <c r="GF69" s="59">
        <f t="shared" ref="GF69:GF132" si="104">$GF$3</f>
        <v>238.62101708181166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97.475442254911457</v>
      </c>
      <c r="GM69" s="21">
        <f>EXP(-LN(2)/25)*GM68+(1-EXP(-LN(2)/25))/(LN(2)/25)*Calculateur!GH69*Calculateur!GJ69*VLOOKUP('Données projet'!$B$17,Paramètres!$A$1:$I$89,3,0)*0.475*44/12</f>
        <v>52.723746123406087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150.19918837831756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14.3</v>
      </c>
      <c r="GU69" s="12">
        <f>IF('Données projet'!$A$270&gt;35,GU68+GT69-HC68,IF(A69&lt;'Données projet'!$A$270,$GR$205^A69,IF(A69='Données projet'!$A$270,'Données projet'!$B$270,GU68+GT69-HC68)))</f>
        <v>390.80000000000007</v>
      </c>
      <c r="GV69" s="17">
        <f>GU69*VLOOKUP('Données projet'!$B$18,Paramètres!$A$1:$I$89,3,0)*VLOOKUP('Données projet'!$B$18,Paramètres!$A$1:$I$89,5,0)</f>
        <v>450.20160000000004</v>
      </c>
      <c r="GW69" s="13">
        <f t="shared" ref="GW69:GW132" si="105">EXP(-1.0587+0.8836*LN(GV69)+0.284)</f>
        <v>101.88318667028335</v>
      </c>
      <c r="GX69" s="20">
        <f t="shared" si="82"/>
        <v>961.54767011741023</v>
      </c>
      <c r="GY69" s="59">
        <f t="shared" si="83"/>
        <v>1254.8810034507435</v>
      </c>
      <c r="GZ69" s="59">
        <f ca="1">AVERAGE(OFFSET($GY$3,0,0,'Données projet'!$E$18+1,1))-AVERAGE(OFFSET($H$3,0,0,'Données projet'!$E$18+1,1))</f>
        <v>604.0566904089452</v>
      </c>
      <c r="HA69" s="59">
        <f t="shared" ref="HA69:HA132" si="106">$HA$3</f>
        <v>369.5187835902687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39.164198935453911</v>
      </c>
      <c r="HH69" s="21">
        <f>EXP(-LN(2)/25)*HH68+(1-EXP(-LN(2)/25))/(LN(2)/25)*Calculateur!HC69*Calculateur!HE69*VLOOKUP('Données projet'!$B$18,Paramètres!$A$1:$I$89,3,0)*0.475*44/12</f>
        <v>24.282769211794104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63.446968147248015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8.6666666666666661</v>
      </c>
      <c r="N70" s="13">
        <f>IF('Données projet'!$A$36&gt;35,N69+M70-V69,IF(A70&lt;'Données projet'!$A$36,$K$205^A70,IF(A70='Données projet'!$A$36,'Données projet'!$B$36,N69+M70-V69)))</f>
        <v>256.66666666666663</v>
      </c>
      <c r="O70" s="13">
        <f>N70*VLOOKUP('Données projet'!$B$9,Paramètres!$A$1:$I$89,3,0)*VLOOKUP('Données projet'!$B$9,Paramètres!$A$1:$I$89,5,0)</f>
        <v>232.23199999999997</v>
      </c>
      <c r="P70" s="13">
        <f t="shared" si="87"/>
        <v>56.765020519538929</v>
      </c>
      <c r="Q70" s="20">
        <f t="shared" si="54"/>
        <v>503.33647740486361</v>
      </c>
      <c r="R70" s="59">
        <f t="shared" si="55"/>
        <v>796.66981073819693</v>
      </c>
      <c r="S70" s="59">
        <f ca="1">AVERAGE(OFFSET($R$3,0,0,'Données projet'!$E$9+1,1))-AVERAGE(OFFSET($H$3,0,0,'Données projet'!$E$9+1,1))</f>
        <v>528.20489749461376</v>
      </c>
      <c r="T70" s="59">
        <f t="shared" si="88"/>
        <v>276.26988364830532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22.016649888360046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22.016649888360046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2.2737367544323206E-13</v>
      </c>
      <c r="AJ70" s="13">
        <f>AI70*VLOOKUP('Données projet'!$B$10,Paramètres!$A$1:$I$89,3,0)*VLOOKUP('Données projet'!$B$10,Paramètres!$A$1:$I$89,5,0)</f>
        <v>2.0572770154103635E-13</v>
      </c>
      <c r="AK70" s="13">
        <f t="shared" si="89"/>
        <v>2.8416956338469711E-12</v>
      </c>
      <c r="AL70" s="20">
        <f t="shared" si="58"/>
        <v>5.3075956424674458E-12</v>
      </c>
      <c r="AM70" s="59">
        <f t="shared" si="59"/>
        <v>293.3333333333386</v>
      </c>
      <c r="AN70" s="59">
        <f ca="1">AVERAGE(OFFSET($AM$3,0,0,'Données projet'!$E$10+1,1))-AVERAGE(OFFSET($H$3,0,0,'Données projet'!$E$10+1,1))</f>
        <v>436.23918637269577</v>
      </c>
      <c r="AO70" s="59">
        <f t="shared" si="90"/>
        <v>611.43967996341894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47.230967815769688</v>
      </c>
      <c r="AV70" s="21">
        <f>EXP(-LN(2)/25)*AV69+(1-EXP(-LN(2)/25))/(LN(2)/25)*Calculateur!AQ70*Calculateur!AS70*VLOOKUP('Données projet'!$B$10,Paramètres!$A$1:$I$89,3,0)*0.475*44/12</f>
        <v>23.520469708711666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70.751437524481361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8.6666666666666661</v>
      </c>
      <c r="BD70" s="12">
        <f>IF('Données projet'!$A$88&gt;35,BD69+BC70-BL69,IF(A70&lt;'Données projet'!$A$88,$BA$205^A70,IF(A70='Données projet'!$A$88,'Données projet'!$B$88,BD69+BC70-BL69)))</f>
        <v>310.66666666666669</v>
      </c>
      <c r="BE70" s="13">
        <f>BD70*VLOOKUP('Données projet'!$B$11,Paramètres!$A$1:$I$89,3,0)*VLOOKUP('Données projet'!$B$11,Paramètres!$A$1:$I$89,5,0)</f>
        <v>242.32000000000002</v>
      </c>
      <c r="BF70" s="13">
        <f t="shared" si="91"/>
        <v>58.938409961900859</v>
      </c>
      <c r="BG70" s="20">
        <f t="shared" si="61"/>
        <v>524.69173068364398</v>
      </c>
      <c r="BH70" s="59">
        <f t="shared" si="62"/>
        <v>818.02506401697724</v>
      </c>
      <c r="BI70" s="59">
        <f ca="1">AVERAGE(OFFSET($BH$3,0,0,'Données projet'!$E$11+1,1))-AVERAGE(OFFSET($H$3,0,0,'Données projet'!$E$11+1,1))</f>
        <v>288.82868507674738</v>
      </c>
      <c r="BJ70" s="59">
        <f t="shared" si="92"/>
        <v>283.48738729114024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16.102376996201272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16.102376996201272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0.79309999999999969</v>
      </c>
      <c r="BY70" s="12">
        <f>IF('Données projet'!$A$114&gt;35,BY69+BX70-CG69,IF(A70&lt;'Données projet'!$A$114,$BV$205^A70,IF(A70='Données projet'!$A$114,'Données projet'!$B$114,BY69+BX70-CG69)))</f>
        <v>53.498200000000004</v>
      </c>
      <c r="BZ70" s="13">
        <f>BY70*VLOOKUP('Données projet'!$B$12,Paramètres!$A$1:$I$89,3,0)*VLOOKUP('Données projet'!$B$12,Paramètres!$A$1:$I$89,5,0)</f>
        <v>46.736027520000007</v>
      </c>
      <c r="CA70" s="13">
        <f t="shared" si="93"/>
        <v>13.767541404388586</v>
      </c>
      <c r="CB70" s="20">
        <f t="shared" si="64"/>
        <v>105.3770492099768</v>
      </c>
      <c r="CC70" s="59">
        <f t="shared" si="65"/>
        <v>398.71038254331012</v>
      </c>
      <c r="CD70" s="59">
        <f ca="1">AVERAGE(OFFSET($CC$3,0,0,'Données projet'!$E$12+1,1))-AVERAGE(OFFSET($H$3,0,0,'Données projet'!$E$12+1,1))</f>
        <v>93.329407403816901</v>
      </c>
      <c r="CE70" s="59">
        <f t="shared" si="94"/>
        <v>90.925148357295313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2.5439895609523413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2.5439895609523413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13.6</v>
      </c>
      <c r="CT70" s="12">
        <f>IF('Données projet'!$A$140&gt;35,CT69+CS70-DB69,IF(A70&lt;'Données projet'!$A$140,$CQ$205^A70,IF(A70='Données projet'!$A$140,'Données projet'!$B$140,CT69+CS70-DB69)))</f>
        <v>498.19999999999982</v>
      </c>
      <c r="CU70" s="17">
        <f>CT70*VLOOKUP('Données projet'!$B$13,Paramètres!$A$1:$I$89,3,0)*VLOOKUP('Données projet'!$B$13,Paramètres!$A$1:$I$89,5,0)</f>
        <v>474.0871199999998</v>
      </c>
      <c r="CV70" s="13">
        <f t="shared" si="95"/>
        <v>106.6449590991953</v>
      </c>
      <c r="CW70" s="20">
        <f t="shared" si="67"/>
        <v>1011.4417044310981</v>
      </c>
      <c r="CX70" s="59">
        <f t="shared" si="68"/>
        <v>1304.7750377644313</v>
      </c>
      <c r="CY70" s="59">
        <f ca="1">AVERAGE(OFFSET($CX$3,0,0,'Données projet'!$E$13+1,1))-AVERAGE(OFFSET($H$3,0,0,'Données projet'!$E$13+1,1))</f>
        <v>805.04572055352492</v>
      </c>
      <c r="CZ70" s="59">
        <f t="shared" si="96"/>
        <v>708.66645042414962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50.105715739427886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50.105715739427886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</v>
      </c>
      <c r="DO70" s="12">
        <f>IF('Données projet'!$A$166&gt;35,DO69+DN70-DW69,IF(A70&lt;'Données projet'!$A$166,$DL$205^A70,IF(A70='Données projet'!$A$166,'Données projet'!$B$166,DO69+DN70-DW69)))</f>
        <v>406.99999999999983</v>
      </c>
      <c r="DP70" s="17">
        <f>DO70*VLOOKUP('Données projet'!$B$14,Paramètres!$A$1:$I$89,3,0)*VLOOKUP('Données projet'!$B$14,Paramètres!$A$1:$I$89,5,0)</f>
        <v>273.01559999999989</v>
      </c>
      <c r="DQ70" s="13">
        <f t="shared" si="97"/>
        <v>65.488841425445457</v>
      </c>
      <c r="DR70" s="20">
        <f t="shared" si="70"/>
        <v>589.56190214931723</v>
      </c>
      <c r="DS70" s="59">
        <f t="shared" si="71"/>
        <v>882.89523548265061</v>
      </c>
      <c r="DT70" s="59">
        <f ca="1">AVERAGE(OFFSET($DS$3,0,0,'Données projet'!$E$14+1,1))-AVERAGE(OFFSET($H$3,0,0,'Données projet'!$E$14+1,1))</f>
        <v>482.69499576870095</v>
      </c>
      <c r="DU70" s="59">
        <f t="shared" si="98"/>
        <v>384.28918352579575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19.215080990592558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19.215080990592558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1.7053025658242404E-13</v>
      </c>
      <c r="EK70" s="17">
        <f>EJ70*VLOOKUP('Données projet'!$B$15,Paramètres!$A$1:$I$89,3,0)*VLOOKUP('Données projet'!$B$15,Paramètres!$A$1:$I$89,5,0)</f>
        <v>1.250327841262333E-13</v>
      </c>
      <c r="EL70" s="13">
        <f t="shared" si="99"/>
        <v>1.8301318724634299E-12</v>
      </c>
      <c r="EM70" s="20">
        <f t="shared" si="73"/>
        <v>3.405245110226996E-12</v>
      </c>
      <c r="EN70" s="59">
        <f t="shared" si="74"/>
        <v>293.33333333333672</v>
      </c>
      <c r="EO70" s="59">
        <f ca="1">AVERAGE(OFFSET($EN$3,0,0,'Données projet'!$E$15+1,1))-AVERAGE(OFFSET($H$3,0,0,'Données projet'!$E$15+1,1))</f>
        <v>197.34725966440715</v>
      </c>
      <c r="EP70" s="59">
        <f t="shared" si="100"/>
        <v>240.16326570529532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31.245134472412527</v>
      </c>
      <c r="EW70" s="21">
        <f>EXP(-LN(2)/25)*EW69+(1-EXP(-LN(2)/25))/(LN(2)/25)*Calculateur!ER70*Calculateur!ET70*VLOOKUP('Données projet'!$B$15,Paramètres!$A$1:$I$89,3,0)*0.475*44/12</f>
        <v>19.223634187598435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50.468768660010966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2.2737367544323206E-13</v>
      </c>
      <c r="FF70" s="17">
        <f>FE70*VLOOKUP('Données projet'!$B$16,Paramètres!$A$1:$I$89,3,0)*VLOOKUP('Données projet'!$B$16,Paramètres!$A$1:$I$89,5,0)</f>
        <v>1.2710188457276673E-13</v>
      </c>
      <c r="FG70" s="13">
        <f t="shared" si="101"/>
        <v>1.856866851063998E-12</v>
      </c>
      <c r="FH70" s="20">
        <f t="shared" si="76"/>
        <v>3.4554122145673649E-12</v>
      </c>
      <c r="FI70" s="59">
        <f t="shared" si="77"/>
        <v>293.33333333333678</v>
      </c>
      <c r="FJ70" s="59">
        <f ca="1">AVERAGE(OFFSET($FI$3,0,0,'Données projet'!$E$16+1,1))-AVERAGE(OFFSET($H$3,0,0,'Données projet'!$E$16+1,1))</f>
        <v>346.42094266871379</v>
      </c>
      <c r="FK70" s="59">
        <f t="shared" si="102"/>
        <v>453.48153556975973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149.09296596618194</v>
      </c>
      <c r="FR70" s="21">
        <f>EXP(-LN(2)/25)*FR69+(1-EXP(-LN(2)/25))/(LN(2)/25)*Calculateur!FM70*Calculateur!FO70*VLOOKUP('Données projet'!$B$16,Paramètres!$A$1:$I$89,3,0)*0.475*44/12</f>
        <v>86.893307342289546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235.98627330847148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-1.1368683772161603E-13</v>
      </c>
      <c r="GA70" s="17">
        <f>FZ70*VLOOKUP('Données projet'!$B$17,Paramètres!$A$1:$I$89,3,0)*VLOOKUP('Données projet'!$B$17,Paramètres!$A$1:$I$89,5,0)</f>
        <v>-5.3205440053716299E-14</v>
      </c>
      <c r="GB70" s="13" t="e">
        <f t="shared" si="103"/>
        <v>#NUM!</v>
      </c>
      <c r="GC70" s="20" t="e">
        <f t="shared" si="79"/>
        <v>#NUM!</v>
      </c>
      <c r="GD70" s="59" t="e">
        <f t="shared" si="80"/>
        <v>#NUM!</v>
      </c>
      <c r="GE70" s="59">
        <f ca="1">AVERAGE(OFFSET($GD$3,0,0,'Données projet'!$E$17+1,1))-AVERAGE(OFFSET($H$3,0,0,'Données projet'!$E$17+1,1))</f>
        <v>198.26255998041</v>
      </c>
      <c r="GF70" s="59">
        <f t="shared" si="104"/>
        <v>238.62101708181166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95.564008286441805</v>
      </c>
      <c r="GM70" s="21">
        <f>EXP(-LN(2)/25)*GM69+(1-EXP(-LN(2)/25))/(LN(2)/25)*Calculateur!GH70*Calculateur!GJ70*VLOOKUP('Données projet'!$B$17,Paramètres!$A$1:$I$89,3,0)*0.475*44/12</f>
        <v>51.282012513040243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146.84602079948206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14.3</v>
      </c>
      <c r="GU70" s="12">
        <f>IF('Données projet'!$A$270&gt;35,GU69+GT70-HC69,IF(A70&lt;'Données projet'!$A$270,$GR$205^A70,IF(A70='Données projet'!$A$270,'Données projet'!$B$270,GU69+GT70-HC69)))</f>
        <v>405.10000000000008</v>
      </c>
      <c r="GV70" s="17">
        <f>GU70*VLOOKUP('Données projet'!$B$18,Paramètres!$A$1:$I$89,3,0)*VLOOKUP('Données projet'!$B$18,Paramètres!$A$1:$I$89,5,0)</f>
        <v>466.67520000000007</v>
      </c>
      <c r="GW70" s="13">
        <f t="shared" si="105"/>
        <v>105.17038735207352</v>
      </c>
      <c r="GX70" s="20">
        <f t="shared" si="82"/>
        <v>995.964397971528</v>
      </c>
      <c r="GY70" s="59">
        <f t="shared" si="83"/>
        <v>1289.2977313048614</v>
      </c>
      <c r="GZ70" s="59">
        <f ca="1">AVERAGE(OFFSET($GY$3,0,0,'Données projet'!$E$18+1,1))-AVERAGE(OFFSET($H$3,0,0,'Données projet'!$E$18+1,1))</f>
        <v>604.0566904089452</v>
      </c>
      <c r="HA70" s="59">
        <f t="shared" si="106"/>
        <v>369.5187835902687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38.396212882132282</v>
      </c>
      <c r="HH70" s="21">
        <f>EXP(-LN(2)/25)*HH69+(1-EXP(-LN(2)/25))/(LN(2)/25)*Calculateur!HC70*Calculateur!HE70*VLOOKUP('Données projet'!$B$18,Paramètres!$A$1:$I$89,3,0)*0.475*44/12</f>
        <v>23.61875561072226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62.014968492854543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8.6666666666666661</v>
      </c>
      <c r="N71" s="13">
        <f>IF('Données projet'!$A$36&gt;35,N70+M71-V70,IF(A71&lt;'Données projet'!$A$36,$K$205^A71,IF(A71='Données projet'!$A$36,'Données projet'!$B$36,N70+M71-V70)))</f>
        <v>265.33333333333331</v>
      </c>
      <c r="O71" s="13">
        <f>N71*VLOOKUP('Données projet'!$B$9,Paramètres!$A$1:$I$89,3,0)*VLOOKUP('Données projet'!$B$9,Paramètres!$A$1:$I$89,5,0)</f>
        <v>240.07359999999997</v>
      </c>
      <c r="P71" s="13">
        <f t="shared" si="87"/>
        <v>58.455365598151033</v>
      </c>
      <c r="Q71" s="20">
        <f t="shared" si="54"/>
        <v>519.93794841677959</v>
      </c>
      <c r="R71" s="59">
        <f t="shared" si="55"/>
        <v>813.27128175011285</v>
      </c>
      <c r="S71" s="59">
        <f ca="1">AVERAGE(OFFSET($R$3,0,0,'Données projet'!$E$9+1,1))-AVERAGE(OFFSET($H$3,0,0,'Données projet'!$E$9+1,1))</f>
        <v>528.20489749461376</v>
      </c>
      <c r="T71" s="59">
        <f t="shared" si="88"/>
        <v>276.26988364830532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21.584916812879751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21.584916812879751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2.2737367544323206E-13</v>
      </c>
      <c r="AJ71" s="13">
        <f>AI71*VLOOKUP('Données projet'!$B$10,Paramètres!$A$1:$I$89,3,0)*VLOOKUP('Données projet'!$B$10,Paramètres!$A$1:$I$89,5,0)</f>
        <v>2.0572770154103635E-13</v>
      </c>
      <c r="AK71" s="13">
        <f t="shared" si="89"/>
        <v>2.8416956338469711E-12</v>
      </c>
      <c r="AL71" s="20">
        <f t="shared" si="58"/>
        <v>5.3075956424674458E-12</v>
      </c>
      <c r="AM71" s="59">
        <f t="shared" si="59"/>
        <v>293.3333333333386</v>
      </c>
      <c r="AN71" s="59">
        <f ca="1">AVERAGE(OFFSET($AM$3,0,0,'Données projet'!$E$10+1,1))-AVERAGE(OFFSET($H$3,0,0,'Données projet'!$E$10+1,1))</f>
        <v>436.23918637269577</v>
      </c>
      <c r="AO71" s="59">
        <f t="shared" si="90"/>
        <v>611.43967996341894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46.304797344948255</v>
      </c>
      <c r="AV71" s="21">
        <f>EXP(-LN(2)/25)*AV70+(1-EXP(-LN(2)/25))/(LN(2)/25)*Calculateur!AQ71*Calculateur!AS71*VLOOKUP('Données projet'!$B$10,Paramètres!$A$1:$I$89,3,0)*0.475*44/12</f>
        <v>22.877301227639201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69.182098572587449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8.6666666666666661</v>
      </c>
      <c r="BD71" s="12">
        <f>IF('Données projet'!$A$88&gt;35,BD70+BC71-BL70,IF(A71&lt;'Données projet'!$A$88,$BA$205^A71,IF(A71='Données projet'!$A$88,'Données projet'!$B$88,BD70+BC71-BL70)))</f>
        <v>319.33333333333337</v>
      </c>
      <c r="BE71" s="13">
        <f>BD71*VLOOKUP('Données projet'!$B$11,Paramètres!$A$1:$I$89,3,0)*VLOOKUP('Données projet'!$B$11,Paramètres!$A$1:$I$89,5,0)</f>
        <v>249.08000000000004</v>
      </c>
      <c r="BF71" s="13">
        <f t="shared" si="91"/>
        <v>60.388894447487807</v>
      </c>
      <c r="BG71" s="20">
        <f t="shared" si="61"/>
        <v>538.99165782937473</v>
      </c>
      <c r="BH71" s="59">
        <f t="shared" si="62"/>
        <v>832.3249911627081</v>
      </c>
      <c r="BI71" s="59">
        <f ca="1">AVERAGE(OFFSET($BH$3,0,0,'Données projet'!$E$11+1,1))-AVERAGE(OFFSET($H$3,0,0,'Données projet'!$E$11+1,1))</f>
        <v>288.82868507674738</v>
      </c>
      <c r="BJ71" s="59">
        <f t="shared" si="92"/>
        <v>283.48738729114024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15.786619204785943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15.786619204785943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0.79309999999999969</v>
      </c>
      <c r="BY71" s="12">
        <f>IF('Données projet'!$A$114&gt;35,BY70+BX71-CG70,IF(A71&lt;'Données projet'!$A$114,$BV$205^A71,IF(A71='Données projet'!$A$114,'Données projet'!$B$114,BY70+BX71-CG70)))</f>
        <v>54.291300000000007</v>
      </c>
      <c r="BZ71" s="13">
        <f>BY71*VLOOKUP('Données projet'!$B$12,Paramètres!$A$1:$I$89,3,0)*VLOOKUP('Données projet'!$B$12,Paramètres!$A$1:$I$89,5,0)</f>
        <v>47.428879680000009</v>
      </c>
      <c r="CA71" s="13">
        <f t="shared" si="93"/>
        <v>13.947730314659077</v>
      </c>
      <c r="CB71" s="20">
        <f t="shared" si="64"/>
        <v>106.89759574069791</v>
      </c>
      <c r="CC71" s="59">
        <f t="shared" si="65"/>
        <v>400.23092907403122</v>
      </c>
      <c r="CD71" s="59">
        <f ca="1">AVERAGE(OFFSET($CC$3,0,0,'Données projet'!$E$12+1,1))-AVERAGE(OFFSET($H$3,0,0,'Données projet'!$E$12+1,1))</f>
        <v>93.329407403816901</v>
      </c>
      <c r="CE71" s="59">
        <f t="shared" si="94"/>
        <v>90.925148357295313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2.4941034773424824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2.4941034773424824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13.6</v>
      </c>
      <c r="CT71" s="12">
        <f>IF('Données projet'!$A$140&gt;35,CT70+CS71-DB70,IF(A71&lt;'Données projet'!$A$140,$CQ$205^A71,IF(A71='Données projet'!$A$140,'Données projet'!$B$140,CT70+CS71-DB70)))</f>
        <v>511.79999999999984</v>
      </c>
      <c r="CU71" s="17">
        <f>CT71*VLOOKUP('Données projet'!$B$13,Paramètres!$A$1:$I$89,3,0)*VLOOKUP('Données projet'!$B$13,Paramètres!$A$1:$I$89,5,0)</f>
        <v>487.0288799999999</v>
      </c>
      <c r="CV71" s="13">
        <f t="shared" si="95"/>
        <v>109.21327006997751</v>
      </c>
      <c r="CW71" s="20">
        <f t="shared" si="67"/>
        <v>1038.4550780385441</v>
      </c>
      <c r="CX71" s="59">
        <f t="shared" si="68"/>
        <v>1331.7884113718774</v>
      </c>
      <c r="CY71" s="59">
        <f ca="1">AVERAGE(OFFSET($CX$3,0,0,'Données projet'!$E$13+1,1))-AVERAGE(OFFSET($H$3,0,0,'Données projet'!$E$13+1,1))</f>
        <v>805.04572055352492</v>
      </c>
      <c r="CZ71" s="59">
        <f t="shared" si="96"/>
        <v>708.66645042414962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49.123173215246609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49.123173215246609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</v>
      </c>
      <c r="DO71" s="12">
        <f>IF('Données projet'!$A$166&gt;35,DO70+DN71-DW70,IF(A71&lt;'Données projet'!$A$166,$DL$205^A71,IF(A71='Données projet'!$A$166,'Données projet'!$B$166,DO70+DN71-DW70)))</f>
        <v>414.99999999999983</v>
      </c>
      <c r="DP71" s="17">
        <f>DO71*VLOOKUP('Données projet'!$B$14,Paramètres!$A$1:$I$89,3,0)*VLOOKUP('Données projet'!$B$14,Paramètres!$A$1:$I$89,5,0)</f>
        <v>278.38199999999989</v>
      </c>
      <c r="DQ71" s="13">
        <f t="shared" si="97"/>
        <v>66.624963725642488</v>
      </c>
      <c r="DR71" s="20">
        <f t="shared" si="70"/>
        <v>600.88712848882722</v>
      </c>
      <c r="DS71" s="59">
        <f t="shared" si="71"/>
        <v>894.22046182216059</v>
      </c>
      <c r="DT71" s="59">
        <f ca="1">AVERAGE(OFFSET($DS$3,0,0,'Données projet'!$E$14+1,1))-AVERAGE(OFFSET($H$3,0,0,'Données projet'!$E$14+1,1))</f>
        <v>482.69499576870095</v>
      </c>
      <c r="DU71" s="59">
        <f t="shared" si="98"/>
        <v>384.28918352579575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18.838284972409184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18.838284972409184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1.7053025658242404E-13</v>
      </c>
      <c r="EK71" s="17">
        <f>EJ71*VLOOKUP('Données projet'!$B$15,Paramètres!$A$1:$I$89,3,0)*VLOOKUP('Données projet'!$B$15,Paramètres!$A$1:$I$89,5,0)</f>
        <v>1.250327841262333E-13</v>
      </c>
      <c r="EL71" s="13">
        <f t="shared" si="99"/>
        <v>1.8301318724634299E-12</v>
      </c>
      <c r="EM71" s="20">
        <f t="shared" si="73"/>
        <v>3.405245110226996E-12</v>
      </c>
      <c r="EN71" s="59">
        <f t="shared" si="74"/>
        <v>293.33333333333672</v>
      </c>
      <c r="EO71" s="59">
        <f ca="1">AVERAGE(OFFSET($EN$3,0,0,'Données projet'!$E$15+1,1))-AVERAGE(OFFSET($H$3,0,0,'Données projet'!$E$15+1,1))</f>
        <v>197.34725966440715</v>
      </c>
      <c r="EP71" s="59">
        <f t="shared" si="100"/>
        <v>240.16326570529532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30.632436443058758</v>
      </c>
      <c r="EW71" s="21">
        <f>EXP(-LN(2)/25)*EW70+(1-EXP(-LN(2)/25))/(LN(2)/25)*Calculateur!ER71*Calculateur!ET71*VLOOKUP('Données projet'!$B$15,Paramètres!$A$1:$I$89,3,0)*0.475*44/12</f>
        <v>18.697962899811571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49.330399342870329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2.2737367544323206E-13</v>
      </c>
      <c r="FF71" s="17">
        <f>FE71*VLOOKUP('Données projet'!$B$16,Paramètres!$A$1:$I$89,3,0)*VLOOKUP('Données projet'!$B$16,Paramètres!$A$1:$I$89,5,0)</f>
        <v>1.2710188457276673E-13</v>
      </c>
      <c r="FG71" s="13">
        <f t="shared" si="101"/>
        <v>1.856866851063998E-12</v>
      </c>
      <c r="FH71" s="20">
        <f t="shared" si="76"/>
        <v>3.4554122145673649E-12</v>
      </c>
      <c r="FI71" s="59">
        <f t="shared" si="77"/>
        <v>293.33333333333678</v>
      </c>
      <c r="FJ71" s="59">
        <f ca="1">AVERAGE(OFFSET($FI$3,0,0,'Données projet'!$E$16+1,1))-AVERAGE(OFFSET($H$3,0,0,'Données projet'!$E$16+1,1))</f>
        <v>346.42094266871379</v>
      </c>
      <c r="FK71" s="59">
        <f t="shared" si="102"/>
        <v>453.48153556975973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146.169343841315</v>
      </c>
      <c r="FR71" s="21">
        <f>EXP(-LN(2)/25)*FR70+(1-EXP(-LN(2)/25))/(LN(2)/25)*Calculateur!FM71*Calculateur!FO71*VLOOKUP('Données projet'!$B$16,Paramètres!$A$1:$I$89,3,0)*0.475*44/12</f>
        <v>84.517205283494206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230.6865491248092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-1.1368683772161603E-13</v>
      </c>
      <c r="GA71" s="17">
        <f>FZ71*VLOOKUP('Données projet'!$B$17,Paramètres!$A$1:$I$89,3,0)*VLOOKUP('Données projet'!$B$17,Paramètres!$A$1:$I$89,5,0)</f>
        <v>-5.3205440053716299E-14</v>
      </c>
      <c r="GB71" s="13" t="e">
        <f t="shared" si="103"/>
        <v>#NUM!</v>
      </c>
      <c r="GC71" s="20" t="e">
        <f t="shared" si="79"/>
        <v>#NUM!</v>
      </c>
      <c r="GD71" s="59" t="e">
        <f t="shared" si="80"/>
        <v>#NUM!</v>
      </c>
      <c r="GE71" s="59">
        <f ca="1">AVERAGE(OFFSET($GD$3,0,0,'Données projet'!$E$17+1,1))-AVERAGE(OFFSET($H$3,0,0,'Données projet'!$E$17+1,1))</f>
        <v>198.26255998041</v>
      </c>
      <c r="GF71" s="59">
        <f t="shared" si="104"/>
        <v>238.62101708181166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93.690056372234238</v>
      </c>
      <c r="GM71" s="21">
        <f>EXP(-LN(2)/25)*GM70+(1-EXP(-LN(2)/25))/(LN(2)/25)*Calculateur!GH71*Calculateur!GJ71*VLOOKUP('Données projet'!$B$17,Paramètres!$A$1:$I$89,3,0)*0.475*44/12</f>
        <v>49.879703184067324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143.56975955630156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14.3</v>
      </c>
      <c r="GU71" s="12">
        <f>IF('Données projet'!$A$270&gt;35,GU70+GT71-HC70,IF(A71&lt;'Données projet'!$A$270,$GR$205^A71,IF(A71='Données projet'!$A$270,'Données projet'!$B$270,GU70+GT71-HC70)))</f>
        <v>419.40000000000009</v>
      </c>
      <c r="GV71" s="17">
        <f>GU71*VLOOKUP('Données projet'!$B$18,Paramètres!$A$1:$I$89,3,0)*VLOOKUP('Données projet'!$B$18,Paramètres!$A$1:$I$89,5,0)</f>
        <v>483.14880000000005</v>
      </c>
      <c r="GW71" s="13">
        <f t="shared" si="105"/>
        <v>108.44410597102831</v>
      </c>
      <c r="GX71" s="20">
        <f t="shared" si="82"/>
        <v>1030.3576445662077</v>
      </c>
      <c r="GY71" s="59">
        <f t="shared" si="83"/>
        <v>1323.6909778995409</v>
      </c>
      <c r="GZ71" s="59">
        <f ca="1">AVERAGE(OFFSET($GY$3,0,0,'Données projet'!$E$18+1,1))-AVERAGE(OFFSET($H$3,0,0,'Données projet'!$E$18+1,1))</f>
        <v>604.0566904089452</v>
      </c>
      <c r="HA71" s="59">
        <f t="shared" si="106"/>
        <v>369.5187835902687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37.643286566891057</v>
      </c>
      <c r="HH71" s="21">
        <f>EXP(-LN(2)/25)*HH70+(1-EXP(-LN(2)/25))/(LN(2)/25)*Calculateur!HC71*Calculateur!HE71*VLOOKUP('Données projet'!$B$18,Paramètres!$A$1:$I$89,3,0)*0.475*44/12</f>
        <v>22.972899496490683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60.61618606338174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274</v>
      </c>
      <c r="L72" s="12">
        <f>VLOOKUP(A72,'Données projet'!$A$35:$I$55,9,0)</f>
        <v>8.6666666666666661</v>
      </c>
      <c r="M72" s="12">
        <f t="array" ref="M72">INDEX(L:L,MIN(IF(ISNUMBER(L72:L268),ROW(L72:L268),"")))</f>
        <v>8.6666666666666661</v>
      </c>
      <c r="N72" s="13">
        <f>IF('Données projet'!$A$36&gt;35,N71+M72-V71,IF(A72&lt;'Données projet'!$A$36,$K$205^A72,IF(A72='Données projet'!$A$36,'Données projet'!$B$36,N71+M72-V71)))</f>
        <v>274</v>
      </c>
      <c r="O72" s="13">
        <f>N72*VLOOKUP('Données projet'!$B$9,Paramètres!$A$1:$I$89,3,0)*VLOOKUP('Données projet'!$B$9,Paramètres!$A$1:$I$89,5,0)</f>
        <v>247.9152</v>
      </c>
      <c r="P72" s="13">
        <f t="shared" si="87"/>
        <v>60.139294964297406</v>
      </c>
      <c r="Q72" s="20">
        <f t="shared" si="54"/>
        <v>536.52824539615131</v>
      </c>
      <c r="R72" s="59">
        <f t="shared" si="55"/>
        <v>829.86157872948456</v>
      </c>
      <c r="S72" s="59">
        <f ca="1">AVERAGE(OFFSET($R$3,0,0,'Données projet'!$E$9+1,1))-AVERAGE(OFFSET($H$3,0,0,'Données projet'!$E$9+1,1))</f>
        <v>528.20489749461376</v>
      </c>
      <c r="T72" s="59">
        <f t="shared" si="88"/>
        <v>276.26988364830532</v>
      </c>
      <c r="U72" s="15">
        <f>IF(ISNA(VLOOKUP(A72,'Données projet'!$A$35:$I$55,3,0)),0,VLOOKUP(A72,'Données projet'!$A$35:$I$55,3,0))</f>
        <v>5</v>
      </c>
      <c r="V72" s="15">
        <f>IF(ISNA(VLOOKUP(A72,'Données projet'!$A$35:$I$55,4,0)),0,VLOOKUP(A72,'Données projet'!$A$35:$I$55,4,0))</f>
        <v>51</v>
      </c>
      <c r="W72" s="16">
        <f>IF(ISNA(VLOOKUP(A72,'Données projet'!$A$35:$I$55,5,0)),0%,VLOOKUP(A72,'Données projet'!$A$35:$I$55,5,0)*VLOOKUP('Données projet'!$B$9,Paramètres!$A$1:$I$89,7,0))</f>
        <v>0.25800000000000001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34.322670828602249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34.322670828602249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2.2737367544323206E-13</v>
      </c>
      <c r="AJ72" s="13">
        <f>AI72*VLOOKUP('Données projet'!$B$10,Paramètres!$A$1:$I$89,3,0)*VLOOKUP('Données projet'!$B$10,Paramètres!$A$1:$I$89,5,0)</f>
        <v>2.0572770154103635E-13</v>
      </c>
      <c r="AK72" s="13">
        <f t="shared" si="89"/>
        <v>2.8416956338469711E-12</v>
      </c>
      <c r="AL72" s="20">
        <f t="shared" si="58"/>
        <v>5.3075956424674458E-12</v>
      </c>
      <c r="AM72" s="59">
        <f t="shared" si="59"/>
        <v>293.3333333333386</v>
      </c>
      <c r="AN72" s="59">
        <f ca="1">AVERAGE(OFFSET($AM$3,0,0,'Données projet'!$E$10+1,1))-AVERAGE(OFFSET($H$3,0,0,'Données projet'!$E$10+1,1))</f>
        <v>436.23918637269577</v>
      </c>
      <c r="AO72" s="59">
        <f t="shared" si="90"/>
        <v>611.43967996341894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45.396788512151424</v>
      </c>
      <c r="AV72" s="21">
        <f>EXP(-LN(2)/25)*AV71+(1-EXP(-LN(2)/25))/(LN(2)/25)*Calculateur!AQ72*Calculateur!AS72*VLOOKUP('Données projet'!$B$10,Paramètres!$A$1:$I$89,3,0)*0.475*44/12</f>
        <v>22.251720222504421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67.648508734655849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328</v>
      </c>
      <c r="BB72" s="12">
        <f>VLOOKUP(A72,'Données projet'!$A$87:$I$107,9,0)</f>
        <v>8.6666666666666661</v>
      </c>
      <c r="BC72" s="12">
        <f t="array" ref="BC72">INDEX(BB:BB,MIN(IF(ISNUMBER(BB72:BB268),ROW(BB72:BB268),"")))</f>
        <v>8.6666666666666661</v>
      </c>
      <c r="BD72" s="12">
        <f>IF('Données projet'!$A$88&gt;35,BD71+BC72-BL71,IF(A72&lt;'Données projet'!$A$88,$BA$205^A72,IF(A72='Données projet'!$A$88,'Données projet'!$B$88,BD71+BC72-BL71)))</f>
        <v>328.00000000000006</v>
      </c>
      <c r="BE72" s="13">
        <f>BD72*VLOOKUP('Données projet'!$B$11,Paramètres!$A$1:$I$89,3,0)*VLOOKUP('Données projet'!$B$11,Paramètres!$A$1:$I$89,5,0)</f>
        <v>255.84000000000006</v>
      </c>
      <c r="BF72" s="13">
        <f t="shared" si="91"/>
        <v>61.834803371075836</v>
      </c>
      <c r="BG72" s="20">
        <f t="shared" si="61"/>
        <v>553.28361587129041</v>
      </c>
      <c r="BH72" s="59">
        <f t="shared" si="62"/>
        <v>846.61694920462378</v>
      </c>
      <c r="BI72" s="59">
        <f ca="1">AVERAGE(OFFSET($BH$3,0,0,'Données projet'!$E$11+1,1))-AVERAGE(OFFSET($H$3,0,0,'Données projet'!$E$11+1,1))</f>
        <v>288.82868507674738</v>
      </c>
      <c r="BJ72" s="59">
        <f t="shared" si="92"/>
        <v>283.48738729114024</v>
      </c>
      <c r="BK72" s="15">
        <f>IF(ISNA(VLOOKUP(A72,'Données projet'!$A$87:$I$107,3,0)),0,VLOOKUP(A72,'Données projet'!$A$87:$I$107,3,0))</f>
        <v>9</v>
      </c>
      <c r="BL72" s="15">
        <f>IF(ISNA(VLOOKUP(A72,'Données projet'!$A$87:$I$107,4,0)),0,VLOOKUP(A72,'Données projet'!$A$87:$I$107,4,0))</f>
        <v>328</v>
      </c>
      <c r="BM72" s="16">
        <f>IF(ISNA(VLOOKUP(A72,'Données projet'!$A$87:$I$107,5,0)),0%,VLOOKUP(A72,'Données projet'!$A$87:$I$107,5,0)*VLOOKUP('Données projet'!$B$11,Paramètres!$A$1:$I$89,7,0))</f>
        <v>0.25800000000000001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88.445527041192207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88.445527041192207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0.79309999999999969</v>
      </c>
      <c r="BY72" s="12">
        <f>IF('Données projet'!$A$114&gt;35,BY71+BX72-CG71,IF(A72&lt;'Données projet'!$A$114,$BV$205^A72,IF(A72='Données projet'!$A$114,'Données projet'!$B$114,BY71+BX72-CG71)))</f>
        <v>55.084400000000009</v>
      </c>
      <c r="BZ72" s="13">
        <f>BY72*VLOOKUP('Données projet'!$B$12,Paramètres!$A$1:$I$89,3,0)*VLOOKUP('Données projet'!$B$12,Paramètres!$A$1:$I$89,5,0)</f>
        <v>48.121731840000017</v>
      </c>
      <c r="CA72" s="13">
        <f t="shared" si="93"/>
        <v>14.127613080828077</v>
      </c>
      <c r="CB72" s="20">
        <f t="shared" si="64"/>
        <v>108.41760907044227</v>
      </c>
      <c r="CC72" s="59">
        <f t="shared" si="65"/>
        <v>401.75094240377558</v>
      </c>
      <c r="CD72" s="59">
        <f ca="1">AVERAGE(OFFSET($CC$3,0,0,'Données projet'!$E$12+1,1))-AVERAGE(OFFSET($H$3,0,0,'Données projet'!$E$12+1,1))</f>
        <v>93.329407403816901</v>
      </c>
      <c r="CE72" s="59">
        <f t="shared" si="94"/>
        <v>90.925148357295313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2.4451956294047061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2.4451956294047061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13.6</v>
      </c>
      <c r="CT72" s="12">
        <f>IF('Données projet'!$A$140&gt;35,CT71+CS72-DB71,IF(A72&lt;'Données projet'!$A$140,$CQ$205^A72,IF(A72='Données projet'!$A$140,'Données projet'!$B$140,CT71+CS72-DB71)))</f>
        <v>525.39999999999986</v>
      </c>
      <c r="CU72" s="17">
        <f>CT72*VLOOKUP('Données projet'!$B$13,Paramètres!$A$1:$I$89,3,0)*VLOOKUP('Données projet'!$B$13,Paramètres!$A$1:$I$89,5,0)</f>
        <v>499.97063999999989</v>
      </c>
      <c r="CV72" s="13">
        <f t="shared" si="95"/>
        <v>111.77364832767337</v>
      </c>
      <c r="CW72" s="20">
        <f t="shared" si="67"/>
        <v>1065.4546355040309</v>
      </c>
      <c r="CX72" s="59">
        <f t="shared" si="68"/>
        <v>1358.7879688373641</v>
      </c>
      <c r="CY72" s="59">
        <f ca="1">AVERAGE(OFFSET($CX$3,0,0,'Données projet'!$E$13+1,1))-AVERAGE(OFFSET($H$3,0,0,'Données projet'!$E$13+1,1))</f>
        <v>805.04572055352492</v>
      </c>
      <c r="CZ72" s="59">
        <f t="shared" si="96"/>
        <v>708.66645042414962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48.159897750672762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48.159897750672762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</v>
      </c>
      <c r="DO72" s="12">
        <f>IF('Données projet'!$A$166&gt;35,DO71+DN72-DW71,IF(A72&lt;'Données projet'!$A$166,$DL$205^A72,IF(A72='Données projet'!$A$166,'Données projet'!$B$166,DO71+DN72-DW71)))</f>
        <v>422.99999999999983</v>
      </c>
      <c r="DP72" s="17">
        <f>DO72*VLOOKUP('Données projet'!$B$14,Paramètres!$A$1:$I$89,3,0)*VLOOKUP('Données projet'!$B$14,Paramètres!$A$1:$I$89,5,0)</f>
        <v>283.74839999999989</v>
      </c>
      <c r="DQ72" s="13">
        <f t="shared" si="97"/>
        <v>67.758539422912406</v>
      </c>
      <c r="DR72" s="20">
        <f t="shared" si="70"/>
        <v>612.20791949490558</v>
      </c>
      <c r="DS72" s="59">
        <f t="shared" si="71"/>
        <v>905.54125282823884</v>
      </c>
      <c r="DT72" s="59">
        <f ca="1">AVERAGE(OFFSET($DS$3,0,0,'Données projet'!$E$14+1,1))-AVERAGE(OFFSET($H$3,0,0,'Données projet'!$E$14+1,1))</f>
        <v>482.69499576870095</v>
      </c>
      <c r="DU72" s="59">
        <f t="shared" si="98"/>
        <v>384.28918352579575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18.468877694319509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18.468877694319509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1.7053025658242404E-13</v>
      </c>
      <c r="EK72" s="17">
        <f>EJ72*VLOOKUP('Données projet'!$B$15,Paramètres!$A$1:$I$89,3,0)*VLOOKUP('Données projet'!$B$15,Paramètres!$A$1:$I$89,5,0)</f>
        <v>1.250327841262333E-13</v>
      </c>
      <c r="EL72" s="13">
        <f t="shared" si="99"/>
        <v>1.8301318724634299E-12</v>
      </c>
      <c r="EM72" s="20">
        <f t="shared" si="73"/>
        <v>3.405245110226996E-12</v>
      </c>
      <c r="EN72" s="59">
        <f t="shared" si="74"/>
        <v>293.33333333333672</v>
      </c>
      <c r="EO72" s="59">
        <f ca="1">AVERAGE(OFFSET($EN$3,0,0,'Données projet'!$E$15+1,1))-AVERAGE(OFFSET($H$3,0,0,'Données projet'!$E$15+1,1))</f>
        <v>197.34725966440715</v>
      </c>
      <c r="EP72" s="59">
        <f t="shared" si="100"/>
        <v>240.16326570529532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30.031753048351721</v>
      </c>
      <c r="EW72" s="21">
        <f>EXP(-LN(2)/25)*EW71+(1-EXP(-LN(2)/25))/(LN(2)/25)*Calculateur!ER72*Calculateur!ET72*VLOOKUP('Données projet'!$B$15,Paramètres!$A$1:$I$89,3,0)*0.475*44/12</f>
        <v>18.186666121033088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48.218419169384809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2.2737367544323206E-13</v>
      </c>
      <c r="FF72" s="17">
        <f>FE72*VLOOKUP('Données projet'!$B$16,Paramètres!$A$1:$I$89,3,0)*VLOOKUP('Données projet'!$B$16,Paramètres!$A$1:$I$89,5,0)</f>
        <v>1.2710188457276673E-13</v>
      </c>
      <c r="FG72" s="13">
        <f t="shared" si="101"/>
        <v>1.856866851063998E-12</v>
      </c>
      <c r="FH72" s="20">
        <f t="shared" si="76"/>
        <v>3.4554122145673649E-12</v>
      </c>
      <c r="FI72" s="59">
        <f t="shared" si="77"/>
        <v>293.33333333333678</v>
      </c>
      <c r="FJ72" s="59">
        <f ca="1">AVERAGE(OFFSET($FI$3,0,0,'Données projet'!$E$16+1,1))-AVERAGE(OFFSET($H$3,0,0,'Données projet'!$E$16+1,1))</f>
        <v>346.42094266871379</v>
      </c>
      <c r="FK72" s="59">
        <f t="shared" si="102"/>
        <v>453.48153556975973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143.30305216308327</v>
      </c>
      <c r="FR72" s="21">
        <f>EXP(-LN(2)/25)*FR71+(1-EXP(-LN(2)/25))/(LN(2)/25)*Calculateur!FM72*Calculateur!FO72*VLOOKUP('Données projet'!$B$16,Paramètres!$A$1:$I$89,3,0)*0.475*44/12</f>
        <v>82.206077860450392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225.50913002353366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-1.1368683772161603E-13</v>
      </c>
      <c r="GA72" s="17">
        <f>FZ72*VLOOKUP('Données projet'!$B$17,Paramètres!$A$1:$I$89,3,0)*VLOOKUP('Données projet'!$B$17,Paramètres!$A$1:$I$89,5,0)</f>
        <v>-5.3205440053716299E-14</v>
      </c>
      <c r="GB72" s="13" t="e">
        <f t="shared" si="103"/>
        <v>#NUM!</v>
      </c>
      <c r="GC72" s="20" t="e">
        <f t="shared" si="79"/>
        <v>#NUM!</v>
      </c>
      <c r="GD72" s="59" t="e">
        <f t="shared" si="80"/>
        <v>#NUM!</v>
      </c>
      <c r="GE72" s="59">
        <f ca="1">AVERAGE(OFFSET($GD$3,0,0,'Données projet'!$E$17+1,1))-AVERAGE(OFFSET($H$3,0,0,'Données projet'!$E$17+1,1))</f>
        <v>198.26255998041</v>
      </c>
      <c r="GF72" s="59">
        <f t="shared" si="104"/>
        <v>238.62101708181166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91.852851512066479</v>
      </c>
      <c r="GM72" s="21">
        <f>EXP(-LN(2)/25)*GM71+(1-EXP(-LN(2)/25))/(LN(2)/25)*Calculateur!GH72*Calculateur!GJ72*VLOOKUP('Données projet'!$B$17,Paramètres!$A$1:$I$89,3,0)*0.475*44/12</f>
        <v>48.515740077439418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140.36859158950591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14.3</v>
      </c>
      <c r="GU72" s="12">
        <f>IF('Données projet'!$A$270&gt;35,GU71+GT72-HC71,IF(A72&lt;'Données projet'!$A$270,$GR$205^A72,IF(A72='Données projet'!$A$270,'Données projet'!$B$270,GU71+GT72-HC71)))</f>
        <v>433.7000000000001</v>
      </c>
      <c r="GV72" s="17">
        <f>GU72*VLOOKUP('Données projet'!$B$18,Paramètres!$A$1:$I$89,3,0)*VLOOKUP('Données projet'!$B$18,Paramètres!$A$1:$I$89,5,0)</f>
        <v>499.62240000000008</v>
      </c>
      <c r="GW72" s="13">
        <f t="shared" si="105"/>
        <v>111.70485490844844</v>
      </c>
      <c r="GX72" s="20">
        <f t="shared" si="82"/>
        <v>1064.7283022988811</v>
      </c>
      <c r="GY72" s="59">
        <f t="shared" si="83"/>
        <v>1358.0616356322143</v>
      </c>
      <c r="GZ72" s="59">
        <f ca="1">AVERAGE(OFFSET($GY$3,0,0,'Données projet'!$E$18+1,1))-AVERAGE(OFFSET($H$3,0,0,'Données projet'!$E$18+1,1))</f>
        <v>604.0566904089452</v>
      </c>
      <c r="HA72" s="59">
        <f t="shared" si="106"/>
        <v>369.5187835902687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36.905124677452001</v>
      </c>
      <c r="HH72" s="21">
        <f>EXP(-LN(2)/25)*HH71+(1-EXP(-LN(2)/25))/(LN(2)/25)*Calculateur!HC72*Calculateur!HE72*VLOOKUP('Données projet'!$B$18,Paramètres!$A$1:$I$89,3,0)*0.475*44/12</f>
        <v>22.344704351666866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59.249829029118871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8.1111111111111107</v>
      </c>
      <c r="N73" s="13">
        <f>IF('Données projet'!$A$36&gt;35,N72+M73-V72,IF(A73&lt;'Données projet'!$A$36,$K$205^A73,IF(A73='Données projet'!$A$36,'Données projet'!$B$36,N72+M73-V72)))</f>
        <v>231.11111111111109</v>
      </c>
      <c r="O73" s="13">
        <f>N73*VLOOKUP('Données projet'!$B$9,Paramètres!$A$1:$I$89,3,0)*VLOOKUP('Données projet'!$B$9,Paramètres!$A$1:$I$89,5,0)</f>
        <v>209.1093333333333</v>
      </c>
      <c r="P73" s="13">
        <f t="shared" si="87"/>
        <v>51.740904503189689</v>
      </c>
      <c r="Q73" s="20">
        <f t="shared" si="54"/>
        <v>454.31416423194418</v>
      </c>
      <c r="R73" s="59">
        <f t="shared" si="55"/>
        <v>747.64749756527749</v>
      </c>
      <c r="S73" s="59">
        <f ca="1">AVERAGE(OFFSET($R$3,0,0,'Données projet'!$E$9+1,1))-AVERAGE(OFFSET($H$3,0,0,'Données projet'!$E$9+1,1))</f>
        <v>528.20489749461376</v>
      </c>
      <c r="T73" s="59">
        <f t="shared" si="88"/>
        <v>276.26988364830532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33.64962418841543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33.64962418841543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2.2737367544323206E-13</v>
      </c>
      <c r="AJ73" s="13">
        <f>AI73*VLOOKUP('Données projet'!$B$10,Paramètres!$A$1:$I$89,3,0)*VLOOKUP('Données projet'!$B$10,Paramètres!$A$1:$I$89,5,0)</f>
        <v>2.0572770154103635E-13</v>
      </c>
      <c r="AK73" s="13">
        <f t="shared" si="89"/>
        <v>2.8416956338469711E-12</v>
      </c>
      <c r="AL73" s="20">
        <f t="shared" si="58"/>
        <v>5.3075956424674458E-12</v>
      </c>
      <c r="AM73" s="59">
        <f t="shared" si="59"/>
        <v>293.3333333333386</v>
      </c>
      <c r="AN73" s="59">
        <f ca="1">AVERAGE(OFFSET($AM$3,0,0,'Données projet'!$E$10+1,1))-AVERAGE(OFFSET($H$3,0,0,'Données projet'!$E$10+1,1))</f>
        <v>436.23918637269577</v>
      </c>
      <c r="AO73" s="59">
        <f t="shared" si="90"/>
        <v>611.43967996341894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44.506585178735037</v>
      </c>
      <c r="AV73" s="21">
        <f>EXP(-LN(2)/25)*AV72+(1-EXP(-LN(2)/25))/(LN(2)/25)*Calculateur!AQ73*Calculateur!AS73*VLOOKUP('Données projet'!$B$10,Paramètres!$A$1:$I$89,3,0)*0.475*44/12</f>
        <v>21.643245762852928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66.149830941587965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5.6843418860808015E-14</v>
      </c>
      <c r="BE73" s="13">
        <f>BD73*VLOOKUP('Données projet'!$B$11,Paramètres!$A$1:$I$89,3,0)*VLOOKUP('Données projet'!$B$11,Paramètres!$A$1:$I$89,5,0)</f>
        <v>4.4337866711430253E-14</v>
      </c>
      <c r="BF73" s="13">
        <f t="shared" si="91"/>
        <v>7.3222115536967035E-13</v>
      </c>
      <c r="BG73" s="20">
        <f t="shared" si="61"/>
        <v>1.3525069634579169E-12</v>
      </c>
      <c r="BH73" s="59">
        <f t="shared" si="62"/>
        <v>293.33333333333468</v>
      </c>
      <c r="BI73" s="59">
        <f ca="1">AVERAGE(OFFSET($BH$3,0,0,'Données projet'!$E$11+1,1))-AVERAGE(OFFSET($H$3,0,0,'Données projet'!$E$11+1,1))</f>
        <v>288.82868507674738</v>
      </c>
      <c r="BJ73" s="59">
        <f t="shared" si="92"/>
        <v>283.48738729114024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86.711164202359157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86.711164202359157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55.877499999999998</v>
      </c>
      <c r="BW73" s="12">
        <f>VLOOKUP(A73,'Données projet'!$A$113:$I$133,9,0)</f>
        <v>0.79309999999999969</v>
      </c>
      <c r="BX73" s="12">
        <f t="array" ref="BX73">INDEX(BW:BW,MIN(IF(ISNUMBER(BW73:BW269),ROW(BW73:BW269),"")))</f>
        <v>0.79309999999999969</v>
      </c>
      <c r="BY73" s="12">
        <f>IF('Données projet'!$A$114&gt;35,BY72+BX73-CG72,IF(A73&lt;'Données projet'!$A$114,$BV$205^A73,IF(A73='Données projet'!$A$114,'Données projet'!$B$114,BY72+BX73-CG72)))</f>
        <v>55.877500000000012</v>
      </c>
      <c r="BZ73" s="13">
        <f>BY73*VLOOKUP('Données projet'!$B$12,Paramètres!$A$1:$I$89,3,0)*VLOOKUP('Données projet'!$B$12,Paramètres!$A$1:$I$89,5,0)</f>
        <v>48.814584000000018</v>
      </c>
      <c r="CA73" s="13">
        <f t="shared" si="93"/>
        <v>14.30719462002215</v>
      </c>
      <c r="CB73" s="20">
        <f t="shared" si="64"/>
        <v>109.93709776320527</v>
      </c>
      <c r="CC73" s="59">
        <f t="shared" si="65"/>
        <v>403.27043109653857</v>
      </c>
      <c r="CD73" s="59">
        <f ca="1">AVERAGE(OFFSET($CC$3,0,0,'Données projet'!$E$12+1,1))-AVERAGE(OFFSET($H$3,0,0,'Données projet'!$E$12+1,1))</f>
        <v>93.329407403816901</v>
      </c>
      <c r="CE73" s="59">
        <f t="shared" si="94"/>
        <v>90.925148357295313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1.8025</v>
      </c>
      <c r="CH73" s="16">
        <f>IF(ISNA(VLOOKUP(A73,'Données projet'!$A$113:$I$133,5,0)),0%,VLOOKUP(A73,'Données projet'!$A$113:$I$133,5,0)*VLOOKUP('Données projet'!$B$12,Paramètres!$A$1:$I$89,7,0))</f>
        <v>0.25800000000000001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2.8463588922411014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2.8463588922411014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539</v>
      </c>
      <c r="CR73" s="12">
        <f>VLOOKUP(A73,'Données projet'!$A$139:$I$159,9,0)</f>
        <v>13.6</v>
      </c>
      <c r="CS73" s="12">
        <f t="array" ref="CS73">INDEX(CR:CR,MIN(IF(ISNUMBER(CR73:CR269),ROW(CR73:CR269),"")))</f>
        <v>13.6</v>
      </c>
      <c r="CT73" s="12">
        <f>IF('Données projet'!$A$140&gt;35,CT72+CS73-DB72,IF(A73&lt;'Données projet'!$A$140,$CQ$205^A73,IF(A73='Données projet'!$A$140,'Données projet'!$B$140,CT72+CS73-DB72)))</f>
        <v>538.99999999999989</v>
      </c>
      <c r="CU73" s="17">
        <f>CT73*VLOOKUP('Données projet'!$B$13,Paramètres!$A$1:$I$89,3,0)*VLOOKUP('Données projet'!$B$13,Paramètres!$A$1:$I$89,5,0)</f>
        <v>512.91239999999982</v>
      </c>
      <c r="CV73" s="13">
        <f t="shared" si="95"/>
        <v>114.32632281902957</v>
      </c>
      <c r="CW73" s="20">
        <f t="shared" si="67"/>
        <v>1092.4407755764762</v>
      </c>
      <c r="CX73" s="59">
        <f t="shared" si="68"/>
        <v>1385.7741089098095</v>
      </c>
      <c r="CY73" s="59">
        <f ca="1">AVERAGE(OFFSET($CX$3,0,0,'Données projet'!$E$13+1,1))-AVERAGE(OFFSET($H$3,0,0,'Données projet'!$E$13+1,1))</f>
        <v>805.04572055352492</v>
      </c>
      <c r="CZ73" s="59">
        <f t="shared" si="96"/>
        <v>708.66645042414962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58</v>
      </c>
      <c r="DC73" s="16">
        <f>IF(ISNA(VLOOKUP(A73,'Données projet'!$A$139:$I$159,5,0)),0%,VLOOKUP(A73,'Données projet'!$A$139:$I$159,5,0)*VLOOKUP('Données projet'!$B$13,Paramètres!$A$1:$I$89,7,0))</f>
        <v>0.25800000000000001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62.957124965798634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62.957124965798634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431</v>
      </c>
      <c r="DM73" s="12">
        <f>VLOOKUP(A73,'Données projet'!$A$165:$I$185,9,0)</f>
        <v>8</v>
      </c>
      <c r="DN73" s="12">
        <f t="array" ref="DN73">INDEX(DM:DM,MIN(IF(ISNUMBER(DM73:DM269),ROW(DM73:DM269),"")))</f>
        <v>8</v>
      </c>
      <c r="DO73" s="12">
        <f>IF('Données projet'!$A$166&gt;35,DO72+DN73-DW72,IF(A73&lt;'Données projet'!$A$166,$DL$205^A73,IF(A73='Données projet'!$A$166,'Données projet'!$B$166,DO72+DN73-DW72)))</f>
        <v>430.99999999999983</v>
      </c>
      <c r="DP73" s="17">
        <f>DO73*VLOOKUP('Données projet'!$B$14,Paramètres!$A$1:$I$89,3,0)*VLOOKUP('Données projet'!$B$14,Paramètres!$A$1:$I$89,5,0)</f>
        <v>289.11479999999989</v>
      </c>
      <c r="DQ73" s="13">
        <f t="shared" si="97"/>
        <v>68.889622233416091</v>
      </c>
      <c r="DR73" s="20">
        <f t="shared" si="70"/>
        <v>623.52436872319947</v>
      </c>
      <c r="DS73" s="59">
        <f t="shared" si="71"/>
        <v>916.85770205653284</v>
      </c>
      <c r="DT73" s="59">
        <f ca="1">AVERAGE(OFFSET($DS$3,0,0,'Données projet'!$E$14+1,1))-AVERAGE(OFFSET($H$3,0,0,'Données projet'!$E$14+1,1))</f>
        <v>482.69499576870095</v>
      </c>
      <c r="DU73" s="59">
        <f t="shared" si="98"/>
        <v>384.28918352579575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23</v>
      </c>
      <c r="DX73" s="16">
        <f>IF(ISNA(VLOOKUP(A73,'Données projet'!$A$165:$I$185,5,0)),0%,VLOOKUP(A73,'Données projet'!$A$165:$I$185,5,0)*VLOOKUP('Données projet'!$B$14,Paramètres!$A$1:$I$89,7,0))</f>
        <v>0.318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23.530407534377382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23.530407534377382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1.7053025658242404E-13</v>
      </c>
      <c r="EK73" s="17">
        <f>EJ73*VLOOKUP('Données projet'!$B$15,Paramètres!$A$1:$I$89,3,0)*VLOOKUP('Données projet'!$B$15,Paramètres!$A$1:$I$89,5,0)</f>
        <v>1.250327841262333E-13</v>
      </c>
      <c r="EL73" s="13">
        <f t="shared" si="99"/>
        <v>1.8301318724634299E-12</v>
      </c>
      <c r="EM73" s="20">
        <f t="shared" si="73"/>
        <v>3.405245110226996E-12</v>
      </c>
      <c r="EN73" s="59">
        <f t="shared" si="74"/>
        <v>293.33333333333672</v>
      </c>
      <c r="EO73" s="59">
        <f ca="1">AVERAGE(OFFSET($EN$3,0,0,'Données projet'!$E$15+1,1))-AVERAGE(OFFSET($H$3,0,0,'Données projet'!$E$15+1,1))</f>
        <v>197.34725966440715</v>
      </c>
      <c r="EP73" s="59">
        <f t="shared" si="100"/>
        <v>240.16326570529532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29.442848688634193</v>
      </c>
      <c r="EW73" s="21">
        <f>EXP(-LN(2)/25)*EW72+(1-EXP(-LN(2)/25))/(LN(2)/25)*Calculateur!ER73*Calculateur!ET73*VLOOKUP('Données projet'!$B$15,Paramètres!$A$1:$I$89,3,0)*0.475*44/12</f>
        <v>17.689350779558232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47.132199468192425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2.2737367544323206E-13</v>
      </c>
      <c r="FF73" s="17">
        <f>FE73*VLOOKUP('Données projet'!$B$16,Paramètres!$A$1:$I$89,3,0)*VLOOKUP('Données projet'!$B$16,Paramètres!$A$1:$I$89,5,0)</f>
        <v>1.2710188457276673E-13</v>
      </c>
      <c r="FG73" s="13">
        <f t="shared" si="101"/>
        <v>1.856866851063998E-12</v>
      </c>
      <c r="FH73" s="20">
        <f t="shared" si="76"/>
        <v>3.4554122145673649E-12</v>
      </c>
      <c r="FI73" s="59">
        <f t="shared" si="77"/>
        <v>293.33333333333678</v>
      </c>
      <c r="FJ73" s="59">
        <f ca="1">AVERAGE(OFFSET($FI$3,0,0,'Données projet'!$E$16+1,1))-AVERAGE(OFFSET($H$3,0,0,'Données projet'!$E$16+1,1))</f>
        <v>346.42094266871379</v>
      </c>
      <c r="FK73" s="59">
        <f t="shared" si="102"/>
        <v>453.48153556975973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140.49296671639638</v>
      </c>
      <c r="FR73" s="21">
        <f>EXP(-LN(2)/25)*FR72+(1-EXP(-LN(2)/25))/(LN(2)/25)*Calculateur!FM73*Calculateur!FO73*VLOOKUP('Données projet'!$B$16,Paramètres!$A$1:$I$89,3,0)*0.475*44/12</f>
        <v>79.958148338326623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220.451115054723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-1.1368683772161603E-13</v>
      </c>
      <c r="GA73" s="17">
        <f>FZ73*VLOOKUP('Données projet'!$B$17,Paramètres!$A$1:$I$89,3,0)*VLOOKUP('Données projet'!$B$17,Paramètres!$A$1:$I$89,5,0)</f>
        <v>-5.3205440053716299E-14</v>
      </c>
      <c r="GB73" s="13" t="e">
        <f t="shared" si="103"/>
        <v>#NUM!</v>
      </c>
      <c r="GC73" s="20" t="e">
        <f t="shared" si="79"/>
        <v>#NUM!</v>
      </c>
      <c r="GD73" s="59" t="e">
        <f t="shared" si="80"/>
        <v>#NUM!</v>
      </c>
      <c r="GE73" s="59">
        <f ca="1">AVERAGE(OFFSET($GD$3,0,0,'Données projet'!$E$17+1,1))-AVERAGE(OFFSET($H$3,0,0,'Données projet'!$E$17+1,1))</f>
        <v>198.26255998041</v>
      </c>
      <c r="GF73" s="59">
        <f t="shared" si="104"/>
        <v>238.62101708181166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90.051673118622304</v>
      </c>
      <c r="GM73" s="21">
        <f>EXP(-LN(2)/25)*GM72+(1-EXP(-LN(2)/25))/(LN(2)/25)*Calculateur!GH73*Calculateur!GJ73*VLOOKUP('Données projet'!$B$17,Paramètres!$A$1:$I$89,3,0)*0.475*44/12</f>
        <v>47.189074613689954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137.24074773231226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448</v>
      </c>
      <c r="GS73" s="12">
        <f>VLOOKUP(A73,'Données projet'!$A$269:$I$289,9,0)</f>
        <v>14.3</v>
      </c>
      <c r="GT73" s="12">
        <f t="array" ref="GT73">INDEX(GS:GS,MIN(IF(ISNUMBER(GS73:GS269),ROW(GS73:GS269),"")))</f>
        <v>14.3</v>
      </c>
      <c r="GU73" s="12">
        <f>IF('Données projet'!$A$270&gt;35,GU72+GT73-HC72,IF(A73&lt;'Données projet'!$A$270,$GR$205^A73,IF(A73='Données projet'!$A$270,'Données projet'!$B$270,GU72+GT73-HC72)))</f>
        <v>448.00000000000011</v>
      </c>
      <c r="GV73" s="17">
        <f>GU73*VLOOKUP('Données projet'!$B$18,Paramètres!$A$1:$I$89,3,0)*VLOOKUP('Données projet'!$B$18,Paramètres!$A$1:$I$89,5,0)</f>
        <v>516.09600000000012</v>
      </c>
      <c r="GW73" s="13">
        <f t="shared" si="105"/>
        <v>114.95311083942308</v>
      </c>
      <c r="GX73" s="20">
        <f t="shared" si="82"/>
        <v>1099.077201378662</v>
      </c>
      <c r="GY73" s="59">
        <f t="shared" si="83"/>
        <v>1392.4105347119953</v>
      </c>
      <c r="GZ73" s="59">
        <f ca="1">AVERAGE(OFFSET($GY$3,0,0,'Données projet'!$E$18+1,1))-AVERAGE(OFFSET($H$3,0,0,'Données projet'!$E$18+1,1))</f>
        <v>604.0566904089452</v>
      </c>
      <c r="HA73" s="59">
        <f t="shared" si="106"/>
        <v>369.5187835902687</v>
      </c>
      <c r="HB73" s="15">
        <f>IF(ISNA(VLOOKUP(A73,'Données projet'!$A$269:$I$289,3,0)),0,VLOOKUP(A73,'Données projet'!$A$269:$I$289,3,0))</f>
        <v>7</v>
      </c>
      <c r="HC73" s="15">
        <f>IF(ISNA(VLOOKUP(A73,'Données projet'!$A$269:$I$289,4,0)),0,VLOOKUP(A73,'Données projet'!$A$269:$I$289,4,0))</f>
        <v>78</v>
      </c>
      <c r="HD73" s="16">
        <f>IF(ISNA(VLOOKUP(A73,'Données projet'!$A$269:$I$289,5,0)),0%,VLOOKUP(A73,'Données projet'!$A$269:$I$289,5,0)*VLOOKUP('Données projet'!$B$18,Paramètres!$A$1:$I$89,7,0))</f>
        <v>0.315</v>
      </c>
      <c r="HE73" s="16">
        <f>IF(ISNA(VLOOKUP(A73,'Données projet'!$A$269:$I$289,6,0)),0%,VLOOKUP(A73,'Données projet'!$A$269:$I$289,6,0)*VLOOKUP('Données projet'!$B$18,Paramètres!$A$1:$I$89,7,0))</f>
        <v>0.13500000000000001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56.519899422603842</v>
      </c>
      <c r="HH73" s="21">
        <f>EXP(-LN(2)/25)*HH72+(1-EXP(-LN(2)/25))/(LN(2)/25)*Calculateur!HC73*Calculateur!HE73*VLOOKUP('Données projet'!$B$18,Paramètres!$A$1:$I$89,3,0)*0.475*44/12</f>
        <v>30.4158507175908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86.935750140194642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8.1111111111111107</v>
      </c>
      <c r="N74" s="13">
        <f>IF('Données projet'!$A$36&gt;35,N73+M74-V73,IF(A74&lt;'Données projet'!$A$36,$K$205^A74,IF(A74='Données projet'!$A$36,'Données projet'!$B$36,N73+M74-V73)))</f>
        <v>239.2222222222222</v>
      </c>
      <c r="O74" s="13">
        <f>N74*VLOOKUP('Données projet'!$B$9,Paramètres!$A$1:$I$89,3,0)*VLOOKUP('Données projet'!$B$9,Paramètres!$A$1:$I$89,5,0)</f>
        <v>216.44826666666665</v>
      </c>
      <c r="P74" s="13">
        <f t="shared" si="87"/>
        <v>53.342204311943696</v>
      </c>
      <c r="Q74" s="20">
        <f t="shared" si="54"/>
        <v>469.88507028774637</v>
      </c>
      <c r="R74" s="59">
        <f t="shared" si="55"/>
        <v>763.21840362107969</v>
      </c>
      <c r="S74" s="59">
        <f ca="1">AVERAGE(OFFSET($R$3,0,0,'Données projet'!$E$9+1,1))-AVERAGE(OFFSET($H$3,0,0,'Données projet'!$E$9+1,1))</f>
        <v>528.20489749461376</v>
      </c>
      <c r="T74" s="59">
        <f t="shared" si="88"/>
        <v>276.26988364830532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32.989775582324761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32.989775582324761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2.2737367544323206E-13</v>
      </c>
      <c r="AJ74" s="13">
        <f>AI74*VLOOKUP('Données projet'!$B$10,Paramètres!$A$1:$I$89,3,0)*VLOOKUP('Données projet'!$B$10,Paramètres!$A$1:$I$89,5,0)</f>
        <v>2.0572770154103635E-13</v>
      </c>
      <c r="AK74" s="13">
        <f t="shared" si="89"/>
        <v>2.8416956338469711E-12</v>
      </c>
      <c r="AL74" s="20">
        <f t="shared" si="58"/>
        <v>5.3075956424674458E-12</v>
      </c>
      <c r="AM74" s="59">
        <f t="shared" si="59"/>
        <v>293.3333333333386</v>
      </c>
      <c r="AN74" s="59">
        <f ca="1">AVERAGE(OFFSET($AM$3,0,0,'Données projet'!$E$10+1,1))-AVERAGE(OFFSET($H$3,0,0,'Données projet'!$E$10+1,1))</f>
        <v>436.23918637269577</v>
      </c>
      <c r="AO74" s="59">
        <f t="shared" si="90"/>
        <v>611.43967996341894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43.633838189716521</v>
      </c>
      <c r="AV74" s="21">
        <f>EXP(-LN(2)/25)*AV73+(1-EXP(-LN(2)/25))/(LN(2)/25)*Calculateur!AQ74*Calculateur!AS74*VLOOKUP('Données projet'!$B$10,Paramètres!$A$1:$I$89,3,0)*0.475*44/12</f>
        <v>21.051410069298885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64.68524825901541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5.6843418860808015E-14</v>
      </c>
      <c r="BE74" s="13">
        <f>BD74*VLOOKUP('Données projet'!$B$11,Paramètres!$A$1:$I$89,3,0)*VLOOKUP('Données projet'!$B$11,Paramètres!$A$1:$I$89,5,0)</f>
        <v>4.4337866711430253E-14</v>
      </c>
      <c r="BF74" s="13">
        <f t="shared" si="91"/>
        <v>7.3222115536967035E-13</v>
      </c>
      <c r="BG74" s="20">
        <f t="shared" si="61"/>
        <v>1.3525069634579169E-12</v>
      </c>
      <c r="BH74" s="59">
        <f t="shared" si="62"/>
        <v>293.33333333333468</v>
      </c>
      <c r="BI74" s="59">
        <f ca="1">AVERAGE(OFFSET($BH$3,0,0,'Données projet'!$E$11+1,1))-AVERAGE(OFFSET($H$3,0,0,'Données projet'!$E$11+1,1))</f>
        <v>288.82868507674738</v>
      </c>
      <c r="BJ74" s="59">
        <f t="shared" si="92"/>
        <v>283.48738729114024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85.010811160938744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85.010811160938744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0.68495000000000061</v>
      </c>
      <c r="BY74" s="12">
        <f>IF('Données projet'!$A$114&gt;35,BY73+BX74-CG73,IF(A74&lt;'Données projet'!$A$114,$BV$205^A74,IF(A74='Données projet'!$A$114,'Données projet'!$B$114,BY73+BX74-CG73)))</f>
        <v>54.759950000000011</v>
      </c>
      <c r="BZ74" s="13">
        <f>BY74*VLOOKUP('Données projet'!$B$12,Paramètres!$A$1:$I$89,3,0)*VLOOKUP('Données projet'!$B$12,Paramètres!$A$1:$I$89,5,0)</f>
        <v>47.838292320000015</v>
      </c>
      <c r="CA74" s="13">
        <f t="shared" si="93"/>
        <v>14.054061360864745</v>
      </c>
      <c r="CB74" s="20">
        <f t="shared" si="64"/>
        <v>107.79584932750612</v>
      </c>
      <c r="CC74" s="59">
        <f t="shared" si="65"/>
        <v>401.12918266083943</v>
      </c>
      <c r="CD74" s="59">
        <f ca="1">AVERAGE(OFFSET($CC$3,0,0,'Données projet'!$E$12+1,1))-AVERAGE(OFFSET($H$3,0,0,'Données projet'!$E$12+1,1))</f>
        <v>93.329407403816901</v>
      </c>
      <c r="CE74" s="59">
        <f t="shared" si="94"/>
        <v>90.925148357295313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2.7905435304717514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2.7905435304717514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12.8</v>
      </c>
      <c r="CT74" s="12">
        <f>IF('Données projet'!$A$140&gt;35,CT73+CS74-DB73,IF(A74&lt;'Données projet'!$A$140,$CQ$205^A74,IF(A74='Données projet'!$A$140,'Données projet'!$B$140,CT73+CS74-DB73)))</f>
        <v>493.79999999999984</v>
      </c>
      <c r="CU74" s="17">
        <f>CT74*VLOOKUP('Données projet'!$B$13,Paramètres!$A$1:$I$89,3,0)*VLOOKUP('Données projet'!$B$13,Paramètres!$A$1:$I$89,5,0)</f>
        <v>469.90007999999989</v>
      </c>
      <c r="CV74" s="13">
        <f t="shared" si="95"/>
        <v>105.8122967953675</v>
      </c>
      <c r="CW74" s="20">
        <f t="shared" si="67"/>
        <v>1002.6990562519314</v>
      </c>
      <c r="CX74" s="59">
        <f t="shared" si="68"/>
        <v>1296.0323895852648</v>
      </c>
      <c r="CY74" s="59">
        <f ca="1">AVERAGE(OFFSET($CX$3,0,0,'Données projet'!$E$13+1,1))-AVERAGE(OFFSET($H$3,0,0,'Données projet'!$E$13+1,1))</f>
        <v>805.04572055352492</v>
      </c>
      <c r="CZ74" s="59">
        <f t="shared" si="96"/>
        <v>708.66645042414962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61.72257414527386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61.72257414527386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7.6</v>
      </c>
      <c r="DO74" s="12">
        <f>IF('Données projet'!$A$166&gt;35,DO73+DN74-DW73,IF(A74&lt;'Données projet'!$A$166,$DL$205^A74,IF(A74='Données projet'!$A$166,'Données projet'!$B$166,DO73+DN74-DW73)))</f>
        <v>415.59999999999985</v>
      </c>
      <c r="DP74" s="17">
        <f>DO74*VLOOKUP('Données projet'!$B$14,Paramètres!$A$1:$I$89,3,0)*VLOOKUP('Données projet'!$B$14,Paramètres!$A$1:$I$89,5,0)</f>
        <v>278.78447999999992</v>
      </c>
      <c r="DQ74" s="13">
        <f t="shared" si="97"/>
        <v>66.710069557500404</v>
      </c>
      <c r="DR74" s="20">
        <f t="shared" si="70"/>
        <v>601.73634047931296</v>
      </c>
      <c r="DS74" s="59">
        <f t="shared" si="71"/>
        <v>895.06967381264622</v>
      </c>
      <c r="DT74" s="59">
        <f ca="1">AVERAGE(OFFSET($DS$3,0,0,'Données projet'!$E$14+1,1))-AVERAGE(OFFSET($H$3,0,0,'Données projet'!$E$14+1,1))</f>
        <v>482.69499576870095</v>
      </c>
      <c r="DU74" s="59">
        <f t="shared" si="98"/>
        <v>384.28918352579575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23.068990594759683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23.068990594759683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1.7053025658242404E-13</v>
      </c>
      <c r="EK74" s="17">
        <f>EJ74*VLOOKUP('Données projet'!$B$15,Paramètres!$A$1:$I$89,3,0)*VLOOKUP('Données projet'!$B$15,Paramètres!$A$1:$I$89,5,0)</f>
        <v>1.250327841262333E-13</v>
      </c>
      <c r="EL74" s="13">
        <f t="shared" si="99"/>
        <v>1.8301318724634299E-12</v>
      </c>
      <c r="EM74" s="20">
        <f t="shared" si="73"/>
        <v>3.405245110226996E-12</v>
      </c>
      <c r="EN74" s="59">
        <f t="shared" si="74"/>
        <v>293.33333333333672</v>
      </c>
      <c r="EO74" s="59">
        <f ca="1">AVERAGE(OFFSET($EN$3,0,0,'Données projet'!$E$15+1,1))-AVERAGE(OFFSET($H$3,0,0,'Données projet'!$E$15+1,1))</f>
        <v>197.34725966440715</v>
      </c>
      <c r="EP74" s="59">
        <f t="shared" si="100"/>
        <v>240.16326570529532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28.865492384214534</v>
      </c>
      <c r="EW74" s="21">
        <f>EXP(-LN(2)/25)*EW73+(1-EXP(-LN(2)/25))/(LN(2)/25)*Calculateur!ER74*Calculateur!ET74*VLOOKUP('Données projet'!$B$15,Paramètres!$A$1:$I$89,3,0)*0.475*44/12</f>
        <v>17.205634552248686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46.071126936463216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2.2737367544323206E-13</v>
      </c>
      <c r="FF74" s="17">
        <f>FE74*VLOOKUP('Données projet'!$B$16,Paramètres!$A$1:$I$89,3,0)*VLOOKUP('Données projet'!$B$16,Paramètres!$A$1:$I$89,5,0)</f>
        <v>1.2710188457276673E-13</v>
      </c>
      <c r="FG74" s="13">
        <f t="shared" si="101"/>
        <v>1.856866851063998E-12</v>
      </c>
      <c r="FH74" s="20">
        <f t="shared" si="76"/>
        <v>3.4554122145673649E-12</v>
      </c>
      <c r="FI74" s="59">
        <f t="shared" si="77"/>
        <v>293.33333333333678</v>
      </c>
      <c r="FJ74" s="59">
        <f ca="1">AVERAGE(OFFSET($FI$3,0,0,'Données projet'!$E$16+1,1))-AVERAGE(OFFSET($H$3,0,0,'Données projet'!$E$16+1,1))</f>
        <v>346.42094266871379</v>
      </c>
      <c r="FK74" s="59">
        <f t="shared" si="102"/>
        <v>453.48153556975973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137.73798533133615</v>
      </c>
      <c r="FR74" s="21">
        <f>EXP(-LN(2)/25)*FR73+(1-EXP(-LN(2)/25))/(LN(2)/25)*Calculateur!FM74*Calculateur!FO74*VLOOKUP('Données projet'!$B$16,Paramètres!$A$1:$I$89,3,0)*0.475*44/12</f>
        <v>77.771688567198808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215.50967389853497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-1.1368683772161603E-13</v>
      </c>
      <c r="GA74" s="17">
        <f>FZ74*VLOOKUP('Données projet'!$B$17,Paramètres!$A$1:$I$89,3,0)*VLOOKUP('Données projet'!$B$17,Paramètres!$A$1:$I$89,5,0)</f>
        <v>-5.3205440053716299E-14</v>
      </c>
      <c r="GB74" s="13" t="e">
        <f t="shared" si="103"/>
        <v>#NUM!</v>
      </c>
      <c r="GC74" s="20" t="e">
        <f t="shared" si="79"/>
        <v>#NUM!</v>
      </c>
      <c r="GD74" s="59" t="e">
        <f t="shared" si="80"/>
        <v>#NUM!</v>
      </c>
      <c r="GE74" s="59">
        <f ca="1">AVERAGE(OFFSET($GD$3,0,0,'Données projet'!$E$17+1,1))-AVERAGE(OFFSET($H$3,0,0,'Données projet'!$E$17+1,1))</f>
        <v>198.26255998041</v>
      </c>
      <c r="GF74" s="59">
        <f t="shared" si="104"/>
        <v>238.62101708181166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88.285814734863223</v>
      </c>
      <c r="GM74" s="21">
        <f>EXP(-LN(2)/25)*GM73+(1-EXP(-LN(2)/25))/(LN(2)/25)*Calculateur!GH74*Calculateur!GJ74*VLOOKUP('Données projet'!$B$17,Paramètres!$A$1:$I$89,3,0)*0.475*44/12</f>
        <v>45.898686886813017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134.18450162167625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9</v>
      </c>
      <c r="GU74" s="12">
        <f>IF('Données projet'!$A$270&gt;35,GU73+GT74-HC73,IF(A74&lt;'Données projet'!$A$270,$GR$205^A74,IF(A74='Données projet'!$A$270,'Données projet'!$B$270,GU73+GT74-HC73)))</f>
        <v>379.00000000000011</v>
      </c>
      <c r="GV74" s="17">
        <f>GU74*VLOOKUP('Données projet'!$B$18,Paramètres!$A$1:$I$89,3,0)*VLOOKUP('Données projet'!$B$18,Paramètres!$A$1:$I$89,5,0)</f>
        <v>436.60800000000012</v>
      </c>
      <c r="GW74" s="13">
        <f t="shared" si="105"/>
        <v>99.160128597601926</v>
      </c>
      <c r="GX74" s="20">
        <f t="shared" si="82"/>
        <v>933.12949064082352</v>
      </c>
      <c r="GY74" s="59">
        <f t="shared" si="83"/>
        <v>1226.4628239741569</v>
      </c>
      <c r="GZ74" s="59">
        <f ca="1">AVERAGE(OFFSET($GY$3,0,0,'Données projet'!$E$18+1,1))-AVERAGE(OFFSET($H$3,0,0,'Données projet'!$E$18+1,1))</f>
        <v>604.0566904089452</v>
      </c>
      <c r="HA74" s="59">
        <f t="shared" si="106"/>
        <v>369.5187835902687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55.411578668661228</v>
      </c>
      <c r="HH74" s="21">
        <f>EXP(-LN(2)/25)*HH73+(1-EXP(-LN(2)/25))/(LN(2)/25)*Calculateur!HC74*Calculateur!HE74*VLOOKUP('Données projet'!$B$18,Paramètres!$A$1:$I$89,3,0)*0.475*44/12</f>
        <v>29.584127680218206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84.995706348879438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8.1111111111111107</v>
      </c>
      <c r="N75" s="13">
        <f>IF('Données projet'!$A$36&gt;35,N74+M75-V74,IF(A75&lt;'Données projet'!$A$36,$K$205^A75,IF(A75='Données projet'!$A$36,'Données projet'!$B$36,N74+M75-V74)))</f>
        <v>247.33333333333331</v>
      </c>
      <c r="O75" s="13">
        <f>N75*VLOOKUP('Données projet'!$B$9,Paramètres!$A$1:$I$89,3,0)*VLOOKUP('Données projet'!$B$9,Paramètres!$A$1:$I$89,5,0)</f>
        <v>223.78719999999998</v>
      </c>
      <c r="P75" s="13">
        <f t="shared" si="87"/>
        <v>54.937195482089855</v>
      </c>
      <c r="Q75" s="20">
        <f t="shared" si="54"/>
        <v>485.44498879797311</v>
      </c>
      <c r="R75" s="59">
        <f t="shared" si="55"/>
        <v>778.77832213130637</v>
      </c>
      <c r="S75" s="59">
        <f ca="1">AVERAGE(OFFSET($R$3,0,0,'Données projet'!$E$9+1,1))-AVERAGE(OFFSET($H$3,0,0,'Données projet'!$E$9+1,1))</f>
        <v>528.20489749461376</v>
      </c>
      <c r="T75" s="59">
        <f t="shared" si="88"/>
        <v>276.26988364830532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32.342866204931617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32.342866204931617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2.2737367544323206E-13</v>
      </c>
      <c r="AJ75" s="13">
        <f>AI75*VLOOKUP('Données projet'!$B$10,Paramètres!$A$1:$I$89,3,0)*VLOOKUP('Données projet'!$B$10,Paramètres!$A$1:$I$89,5,0)</f>
        <v>2.0572770154103635E-13</v>
      </c>
      <c r="AK75" s="13">
        <f t="shared" si="89"/>
        <v>2.8416956338469711E-12</v>
      </c>
      <c r="AL75" s="20">
        <f t="shared" si="58"/>
        <v>5.3075956424674458E-12</v>
      </c>
      <c r="AM75" s="59">
        <f t="shared" si="59"/>
        <v>293.3333333333386</v>
      </c>
      <c r="AN75" s="59">
        <f ca="1">AVERAGE(OFFSET($AM$3,0,0,'Données projet'!$E$10+1,1))-AVERAGE(OFFSET($H$3,0,0,'Données projet'!$E$10+1,1))</f>
        <v>436.23918637269577</v>
      </c>
      <c r="AO75" s="59">
        <f t="shared" si="90"/>
        <v>611.43967996341894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42.778205236829557</v>
      </c>
      <c r="AV75" s="21">
        <f>EXP(-LN(2)/25)*AV74+(1-EXP(-LN(2)/25))/(LN(2)/25)*Calculateur!AQ75*Calculateur!AS75*VLOOKUP('Données projet'!$B$10,Paramètres!$A$1:$I$89,3,0)*0.475*44/12</f>
        <v>20.475758153908366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63.253963390737923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5.6843418860808015E-14</v>
      </c>
      <c r="BE75" s="13">
        <f>BD75*VLOOKUP('Données projet'!$B$11,Paramètres!$A$1:$I$89,3,0)*VLOOKUP('Données projet'!$B$11,Paramètres!$A$1:$I$89,5,0)</f>
        <v>4.4337866711430253E-14</v>
      </c>
      <c r="BF75" s="13">
        <f t="shared" si="91"/>
        <v>7.3222115536967035E-13</v>
      </c>
      <c r="BG75" s="20">
        <f t="shared" si="61"/>
        <v>1.3525069634579169E-12</v>
      </c>
      <c r="BH75" s="59">
        <f t="shared" si="62"/>
        <v>293.33333333333468</v>
      </c>
      <c r="BI75" s="59">
        <f ca="1">AVERAGE(OFFSET($BH$3,0,0,'Données projet'!$E$11+1,1))-AVERAGE(OFFSET($H$3,0,0,'Données projet'!$E$11+1,1))</f>
        <v>288.82868507674738</v>
      </c>
      <c r="BJ75" s="59">
        <f t="shared" si="92"/>
        <v>283.48738729114024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83.343801005547633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83.343801005547633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0.68495000000000061</v>
      </c>
      <c r="BY75" s="12">
        <f>IF('Données projet'!$A$114&gt;35,BY74+BX75-CG74,IF(A75&lt;'Données projet'!$A$114,$BV$205^A75,IF(A75='Données projet'!$A$114,'Données projet'!$B$114,BY74+BX75-CG74)))</f>
        <v>55.444900000000011</v>
      </c>
      <c r="BZ75" s="13">
        <f>BY75*VLOOKUP('Données projet'!$B$12,Paramètres!$A$1:$I$89,3,0)*VLOOKUP('Données projet'!$B$12,Paramètres!$A$1:$I$89,5,0)</f>
        <v>48.436664640000018</v>
      </c>
      <c r="CA75" s="13">
        <f t="shared" si="93"/>
        <v>14.209278105350236</v>
      </c>
      <c r="CB75" s="20">
        <f t="shared" si="64"/>
        <v>109.10835028148502</v>
      </c>
      <c r="CC75" s="59">
        <f t="shared" si="65"/>
        <v>402.44168361481832</v>
      </c>
      <c r="CD75" s="59">
        <f ca="1">AVERAGE(OFFSET($CC$3,0,0,'Données projet'!$E$12+1,1))-AVERAGE(OFFSET($H$3,0,0,'Données projet'!$E$12+1,1))</f>
        <v>93.329407403816901</v>
      </c>
      <c r="CE75" s="59">
        <f t="shared" si="94"/>
        <v>90.925148357295313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2.735822673902689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2.735822673902689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12.8</v>
      </c>
      <c r="CT75" s="12">
        <f>IF('Données projet'!$A$140&gt;35,CT74+CS75-DB74,IF(A75&lt;'Données projet'!$A$140,$CQ$205^A75,IF(A75='Données projet'!$A$140,'Données projet'!$B$140,CT74+CS75-DB74)))</f>
        <v>506.59999999999985</v>
      </c>
      <c r="CU75" s="17">
        <f>CT75*VLOOKUP('Données projet'!$B$13,Paramètres!$A$1:$I$89,3,0)*VLOOKUP('Données projet'!$B$13,Paramètres!$A$1:$I$89,5,0)</f>
        <v>482.08055999999988</v>
      </c>
      <c r="CV75" s="13">
        <f t="shared" si="95"/>
        <v>108.23221838260267</v>
      </c>
      <c r="CW75" s="20">
        <f t="shared" si="67"/>
        <v>1028.1280890163659</v>
      </c>
      <c r="CX75" s="59">
        <f t="shared" si="68"/>
        <v>1321.4614223496992</v>
      </c>
      <c r="CY75" s="59">
        <f ca="1">AVERAGE(OFFSET($CX$3,0,0,'Données projet'!$E$13+1,1))-AVERAGE(OFFSET($H$3,0,0,'Données projet'!$E$13+1,1))</f>
        <v>805.04572055352492</v>
      </c>
      <c r="CZ75" s="59">
        <f t="shared" si="96"/>
        <v>708.66645042414962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60.51223211333793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60.51223211333793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7.6</v>
      </c>
      <c r="DO75" s="12">
        <f>IF('Données projet'!$A$166&gt;35,DO74+DN75-DW74,IF(A75&lt;'Données projet'!$A$166,$DL$205^A75,IF(A75='Données projet'!$A$166,'Données projet'!$B$166,DO74+DN75-DW74)))</f>
        <v>423.19999999999987</v>
      </c>
      <c r="DP75" s="17">
        <f>DO75*VLOOKUP('Données projet'!$B$14,Paramètres!$A$1:$I$89,3,0)*VLOOKUP('Données projet'!$B$14,Paramètres!$A$1:$I$89,5,0)</f>
        <v>283.8825599999999</v>
      </c>
      <c r="DQ75" s="13">
        <f t="shared" si="97"/>
        <v>67.786846656102711</v>
      </c>
      <c r="DR75" s="20">
        <f t="shared" si="70"/>
        <v>612.49088325937885</v>
      </c>
      <c r="DS75" s="59">
        <f t="shared" si="71"/>
        <v>905.82421659271222</v>
      </c>
      <c r="DT75" s="59">
        <f ca="1">AVERAGE(OFFSET($DS$3,0,0,'Données projet'!$E$14+1,1))-AVERAGE(OFFSET($H$3,0,0,'Données projet'!$E$14+1,1))</f>
        <v>482.69499576870095</v>
      </c>
      <c r="DU75" s="59">
        <f t="shared" si="98"/>
        <v>384.28918352579575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22.616621759891341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22.616621759891341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1.7053025658242404E-13</v>
      </c>
      <c r="EK75" s="17">
        <f>EJ75*VLOOKUP('Données projet'!$B$15,Paramètres!$A$1:$I$89,3,0)*VLOOKUP('Données projet'!$B$15,Paramètres!$A$1:$I$89,5,0)</f>
        <v>1.250327841262333E-13</v>
      </c>
      <c r="EL75" s="13">
        <f t="shared" si="99"/>
        <v>1.8301318724634299E-12</v>
      </c>
      <c r="EM75" s="20">
        <f t="shared" si="73"/>
        <v>3.405245110226996E-12</v>
      </c>
      <c r="EN75" s="59">
        <f t="shared" si="74"/>
        <v>293.33333333333672</v>
      </c>
      <c r="EO75" s="59">
        <f ca="1">AVERAGE(OFFSET($EN$3,0,0,'Données projet'!$E$15+1,1))-AVERAGE(OFFSET($H$3,0,0,'Données projet'!$E$15+1,1))</f>
        <v>197.34725966440715</v>
      </c>
      <c r="EP75" s="59">
        <f t="shared" si="100"/>
        <v>240.16326570529532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28.299457684771973</v>
      </c>
      <c r="EW75" s="21">
        <f>EXP(-LN(2)/25)*EW74+(1-EXP(-LN(2)/25))/(LN(2)/25)*Calculateur!ER75*Calculateur!ET75*VLOOKUP('Données projet'!$B$15,Paramètres!$A$1:$I$89,3,0)*0.475*44/12</f>
        <v>16.735145570612449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45.034603255384425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2.2737367544323206E-13</v>
      </c>
      <c r="FF75" s="17">
        <f>FE75*VLOOKUP('Données projet'!$B$16,Paramètres!$A$1:$I$89,3,0)*VLOOKUP('Données projet'!$B$16,Paramètres!$A$1:$I$89,5,0)</f>
        <v>1.2710188457276673E-13</v>
      </c>
      <c r="FG75" s="13">
        <f t="shared" si="101"/>
        <v>1.856866851063998E-12</v>
      </c>
      <c r="FH75" s="20">
        <f t="shared" si="76"/>
        <v>3.4554122145673649E-12</v>
      </c>
      <c r="FI75" s="59">
        <f t="shared" si="77"/>
        <v>293.33333333333678</v>
      </c>
      <c r="FJ75" s="59">
        <f ca="1">AVERAGE(OFFSET($FI$3,0,0,'Données projet'!$E$16+1,1))-AVERAGE(OFFSET($H$3,0,0,'Données projet'!$E$16+1,1))</f>
        <v>346.42094266871379</v>
      </c>
      <c r="FK75" s="59">
        <f t="shared" si="102"/>
        <v>453.48153556975973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135.0370274508642</v>
      </c>
      <c r="FR75" s="21">
        <f>EXP(-LN(2)/25)*FR74+(1-EXP(-LN(2)/25))/(LN(2)/25)*Calculateur!FM75*Calculateur!FO75*VLOOKUP('Données projet'!$B$16,Paramètres!$A$1:$I$89,3,0)*0.475*44/12</f>
        <v>75.645017653493412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210.6820451043576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-1.1368683772161603E-13</v>
      </c>
      <c r="GA75" s="17">
        <f>FZ75*VLOOKUP('Données projet'!$B$17,Paramètres!$A$1:$I$89,3,0)*VLOOKUP('Données projet'!$B$17,Paramètres!$A$1:$I$89,5,0)</f>
        <v>-5.3205440053716299E-14</v>
      </c>
      <c r="GB75" s="13" t="e">
        <f t="shared" si="103"/>
        <v>#NUM!</v>
      </c>
      <c r="GC75" s="20" t="e">
        <f t="shared" si="79"/>
        <v>#NUM!</v>
      </c>
      <c r="GD75" s="59" t="e">
        <f t="shared" si="80"/>
        <v>#NUM!</v>
      </c>
      <c r="GE75" s="59">
        <f ca="1">AVERAGE(OFFSET($GD$3,0,0,'Données projet'!$E$17+1,1))-AVERAGE(OFFSET($H$3,0,0,'Données projet'!$E$17+1,1))</f>
        <v>198.26255998041</v>
      </c>
      <c r="GF75" s="59">
        <f t="shared" si="104"/>
        <v>238.62101708181166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86.554583756942392</v>
      </c>
      <c r="GM75" s="21">
        <f>EXP(-LN(2)/25)*GM74+(1-EXP(-LN(2)/25))/(LN(2)/25)*Calculateur!GH75*Calculateur!GJ75*VLOOKUP('Données projet'!$B$17,Paramètres!$A$1:$I$89,3,0)*0.475*44/12</f>
        <v>44.643584880186076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131.19816863712848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9</v>
      </c>
      <c r="GU75" s="12">
        <f>IF('Données projet'!$A$270&gt;35,GU74+GT75-HC74,IF(A75&lt;'Données projet'!$A$270,$GR$205^A75,IF(A75='Données projet'!$A$270,'Données projet'!$B$270,GU74+GT75-HC74)))</f>
        <v>388.00000000000011</v>
      </c>
      <c r="GV75" s="17">
        <f>GU75*VLOOKUP('Données projet'!$B$18,Paramètres!$A$1:$I$89,3,0)*VLOOKUP('Données projet'!$B$18,Paramètres!$A$1:$I$89,5,0)</f>
        <v>446.97600000000006</v>
      </c>
      <c r="GW75" s="13">
        <f t="shared" si="105"/>
        <v>101.23791403600688</v>
      </c>
      <c r="GX75" s="20">
        <f t="shared" si="82"/>
        <v>954.80590027937876</v>
      </c>
      <c r="GY75" s="59">
        <f t="shared" si="83"/>
        <v>1248.1392336127121</v>
      </c>
      <c r="GZ75" s="59">
        <f ca="1">AVERAGE(OFFSET($GY$3,0,0,'Données projet'!$E$18+1,1))-AVERAGE(OFFSET($H$3,0,0,'Données projet'!$E$18+1,1))</f>
        <v>604.0566904089452</v>
      </c>
      <c r="HA75" s="59">
        <f t="shared" si="106"/>
        <v>369.5187835902687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54.324991408694522</v>
      </c>
      <c r="HH75" s="21">
        <f>EXP(-LN(2)/25)*HH74+(1-EXP(-LN(2)/25))/(LN(2)/25)*Calculateur!HC75*Calculateur!HE75*VLOOKUP('Données projet'!$B$18,Paramètres!$A$1:$I$89,3,0)*0.475*44/12</f>
        <v>28.775148153040981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83.100139561735503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8.1111111111111107</v>
      </c>
      <c r="N76" s="13">
        <f>IF('Données projet'!$A$36&gt;35,N75+M76-V75,IF(A76&lt;'Données projet'!$A$36,$K$205^A76,IF(A76='Données projet'!$A$36,'Données projet'!$B$36,N75+M76-V75)))</f>
        <v>255.44444444444443</v>
      </c>
      <c r="O76" s="13">
        <f>N76*VLOOKUP('Données projet'!$B$9,Paramètres!$A$1:$I$89,3,0)*VLOOKUP('Données projet'!$B$9,Paramètres!$A$1:$I$89,5,0)</f>
        <v>231.12613333333331</v>
      </c>
      <c r="P76" s="13">
        <f t="shared" si="87"/>
        <v>56.526108626018512</v>
      </c>
      <c r="Q76" s="20">
        <f t="shared" si="54"/>
        <v>500.99432141253783</v>
      </c>
      <c r="R76" s="59">
        <f t="shared" si="55"/>
        <v>794.32765474587109</v>
      </c>
      <c r="S76" s="59">
        <f ca="1">AVERAGE(OFFSET($R$3,0,0,'Données projet'!$E$9+1,1))-AVERAGE(OFFSET($H$3,0,0,'Données projet'!$E$9+1,1))</f>
        <v>528.20489749461376</v>
      </c>
      <c r="T76" s="59">
        <f t="shared" si="88"/>
        <v>276.26988364830532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31.708642325853393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31.708642325853393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2.2737367544323206E-13</v>
      </c>
      <c r="AJ76" s="13">
        <f>AI76*VLOOKUP('Données projet'!$B$10,Paramètres!$A$1:$I$89,3,0)*VLOOKUP('Données projet'!$B$10,Paramètres!$A$1:$I$89,5,0)</f>
        <v>2.0572770154103635E-13</v>
      </c>
      <c r="AK76" s="13">
        <f t="shared" si="89"/>
        <v>2.8416956338469711E-12</v>
      </c>
      <c r="AL76" s="20">
        <f t="shared" si="58"/>
        <v>5.3075956424674458E-12</v>
      </c>
      <c r="AM76" s="59">
        <f t="shared" si="59"/>
        <v>293.3333333333386</v>
      </c>
      <c r="AN76" s="59">
        <f ca="1">AVERAGE(OFFSET($AM$3,0,0,'Données projet'!$E$10+1,1))-AVERAGE(OFFSET($H$3,0,0,'Données projet'!$E$10+1,1))</f>
        <v>436.23918637269577</v>
      </c>
      <c r="AO76" s="59">
        <f t="shared" si="90"/>
        <v>611.43967996341894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41.939350724264138</v>
      </c>
      <c r="AV76" s="21">
        <f>EXP(-LN(2)/25)*AV75+(1-EXP(-LN(2)/25))/(LN(2)/25)*Calculateur!AQ76*Calculateur!AS76*VLOOKUP('Données projet'!$B$10,Paramètres!$A$1:$I$89,3,0)*0.475*44/12</f>
        <v>19.91584747041642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61.855198194680554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5.6843418860808015E-14</v>
      </c>
      <c r="BE76" s="13">
        <f>BD76*VLOOKUP('Données projet'!$B$11,Paramètres!$A$1:$I$89,3,0)*VLOOKUP('Données projet'!$B$11,Paramètres!$A$1:$I$89,5,0)</f>
        <v>4.4337866711430253E-14</v>
      </c>
      <c r="BF76" s="13">
        <f t="shared" si="91"/>
        <v>7.3222115536967035E-13</v>
      </c>
      <c r="BG76" s="20">
        <f t="shared" si="61"/>
        <v>1.3525069634579169E-12</v>
      </c>
      <c r="BH76" s="59">
        <f t="shared" si="62"/>
        <v>293.33333333333468</v>
      </c>
      <c r="BI76" s="59">
        <f ca="1">AVERAGE(OFFSET($BH$3,0,0,'Données projet'!$E$11+1,1))-AVERAGE(OFFSET($H$3,0,0,'Données projet'!$E$11+1,1))</f>
        <v>288.82868507674738</v>
      </c>
      <c r="BJ76" s="59">
        <f t="shared" si="92"/>
        <v>283.48738729114024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81.709479902527946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81.709479902527946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0.68495000000000061</v>
      </c>
      <c r="BY76" s="12">
        <f>IF('Données projet'!$A$114&gt;35,BY75+BX76-CG75,IF(A76&lt;'Données projet'!$A$114,$BV$205^A76,IF(A76='Données projet'!$A$114,'Données projet'!$B$114,BY75+BX76-CG75)))</f>
        <v>56.129850000000012</v>
      </c>
      <c r="BZ76" s="13">
        <f>BY76*VLOOKUP('Données projet'!$B$12,Paramètres!$A$1:$I$89,3,0)*VLOOKUP('Données projet'!$B$12,Paramètres!$A$1:$I$89,5,0)</f>
        <v>49.035036960000014</v>
      </c>
      <c r="CA76" s="13">
        <f t="shared" si="93"/>
        <v>14.364271806997079</v>
      </c>
      <c r="CB76" s="20">
        <f t="shared" si="64"/>
        <v>110.4204627691866</v>
      </c>
      <c r="CC76" s="59">
        <f t="shared" si="65"/>
        <v>403.75379610251991</v>
      </c>
      <c r="CD76" s="59">
        <f ca="1">AVERAGE(OFFSET($CC$3,0,0,'Données projet'!$E$12+1,1))-AVERAGE(OFFSET($H$3,0,0,'Données projet'!$E$12+1,1))</f>
        <v>93.329407403816901</v>
      </c>
      <c r="CE76" s="59">
        <f t="shared" si="94"/>
        <v>90.925148357295313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2.682174859954519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2.682174859954519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12.8</v>
      </c>
      <c r="CT76" s="12">
        <f>IF('Données projet'!$A$140&gt;35,CT75+CS76-DB75,IF(A76&lt;'Données projet'!$A$140,$CQ$205^A76,IF(A76='Données projet'!$A$140,'Données projet'!$B$140,CT75+CS76-DB75)))</f>
        <v>519.39999999999986</v>
      </c>
      <c r="CU76" s="17">
        <f>CT76*VLOOKUP('Données projet'!$B$13,Paramètres!$A$1:$I$89,3,0)*VLOOKUP('Données projet'!$B$13,Paramètres!$A$1:$I$89,5,0)</f>
        <v>494.26103999999987</v>
      </c>
      <c r="CV76" s="13">
        <f t="shared" si="95"/>
        <v>110.64503259178163</v>
      </c>
      <c r="CW76" s="20">
        <f t="shared" si="67"/>
        <v>1053.5447430973527</v>
      </c>
      <c r="CX76" s="59">
        <f t="shared" si="68"/>
        <v>1346.878076430686</v>
      </c>
      <c r="CY76" s="59">
        <f ca="1">AVERAGE(OFFSET($CX$3,0,0,'Données projet'!$E$13+1,1))-AVERAGE(OFFSET($H$3,0,0,'Données projet'!$E$13+1,1))</f>
        <v>805.04572055352492</v>
      </c>
      <c r="CZ76" s="59">
        <f t="shared" si="96"/>
        <v>708.66645042414962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59.325624150412523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59.325624150412523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7.6</v>
      </c>
      <c r="DO76" s="12">
        <f>IF('Données projet'!$A$166&gt;35,DO75+DN76-DW75,IF(A76&lt;'Données projet'!$A$166,$DL$205^A76,IF(A76='Données projet'!$A$166,'Données projet'!$B$166,DO75+DN76-DW75)))</f>
        <v>430.7999999999999</v>
      </c>
      <c r="DP76" s="17">
        <f>DO76*VLOOKUP('Données projet'!$B$14,Paramètres!$A$1:$I$89,3,0)*VLOOKUP('Données projet'!$B$14,Paramètres!$A$1:$I$89,5,0)</f>
        <v>288.98063999999994</v>
      </c>
      <c r="DQ76" s="13">
        <f t="shared" si="97"/>
        <v>68.861375126953675</v>
      </c>
      <c r="DR76" s="20">
        <f t="shared" si="70"/>
        <v>623.24150967944411</v>
      </c>
      <c r="DS76" s="59">
        <f t="shared" si="71"/>
        <v>916.57484301277736</v>
      </c>
      <c r="DT76" s="59">
        <f ca="1">AVERAGE(OFFSET($DS$3,0,0,'Données projet'!$E$14+1,1))-AVERAGE(OFFSET($H$3,0,0,'Données projet'!$E$14+1,1))</f>
        <v>482.69499576870095</v>
      </c>
      <c r="DU76" s="59">
        <f t="shared" si="98"/>
        <v>384.28918352579575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22.173123601957023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22.173123601957023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1.7053025658242404E-13</v>
      </c>
      <c r="EK76" s="17">
        <f>EJ76*VLOOKUP('Données projet'!$B$15,Paramètres!$A$1:$I$89,3,0)*VLOOKUP('Données projet'!$B$15,Paramètres!$A$1:$I$89,5,0)</f>
        <v>1.250327841262333E-13</v>
      </c>
      <c r="EL76" s="13">
        <f t="shared" si="99"/>
        <v>1.8301318724634299E-12</v>
      </c>
      <c r="EM76" s="20">
        <f t="shared" si="73"/>
        <v>3.405245110226996E-12</v>
      </c>
      <c r="EN76" s="59">
        <f t="shared" si="74"/>
        <v>293.33333333333672</v>
      </c>
      <c r="EO76" s="59">
        <f ca="1">AVERAGE(OFFSET($EN$3,0,0,'Données projet'!$E$15+1,1))-AVERAGE(OFFSET($H$3,0,0,'Données projet'!$E$15+1,1))</f>
        <v>197.34725966440715</v>
      </c>
      <c r="EP76" s="59">
        <f t="shared" si="100"/>
        <v>240.16326570529532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27.744522580538405</v>
      </c>
      <c r="EW76" s="21">
        <f>EXP(-LN(2)/25)*EW75+(1-EXP(-LN(2)/25))/(LN(2)/25)*Calculateur!ER76*Calculateur!ET76*VLOOKUP('Données projet'!$B$15,Paramètres!$A$1:$I$89,3,0)*0.475*44/12</f>
        <v>16.277522134920996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44.022044715459401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2.2737367544323206E-13</v>
      </c>
      <c r="FF76" s="17">
        <f>FE76*VLOOKUP('Données projet'!$B$16,Paramètres!$A$1:$I$89,3,0)*VLOOKUP('Données projet'!$B$16,Paramètres!$A$1:$I$89,5,0)</f>
        <v>1.2710188457276673E-13</v>
      </c>
      <c r="FG76" s="13">
        <f t="shared" si="101"/>
        <v>1.856866851063998E-12</v>
      </c>
      <c r="FH76" s="20">
        <f t="shared" si="76"/>
        <v>3.4554122145673649E-12</v>
      </c>
      <c r="FI76" s="59">
        <f t="shared" si="77"/>
        <v>293.33333333333678</v>
      </c>
      <c r="FJ76" s="59">
        <f ca="1">AVERAGE(OFFSET($FI$3,0,0,'Données projet'!$E$16+1,1))-AVERAGE(OFFSET($H$3,0,0,'Données projet'!$E$16+1,1))</f>
        <v>346.42094266871379</v>
      </c>
      <c r="FK76" s="59">
        <f t="shared" si="102"/>
        <v>453.48153556975973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132.38903370700669</v>
      </c>
      <c r="FR76" s="21">
        <f>EXP(-LN(2)/25)*FR75+(1-EXP(-LN(2)/25))/(LN(2)/25)*Calculateur!FM76*Calculateur!FO76*VLOOKUP('Données projet'!$B$16,Paramètres!$A$1:$I$89,3,0)*0.475*44/12</f>
        <v>73.576500667760044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205.96553437476672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-1.1368683772161603E-13</v>
      </c>
      <c r="GA76" s="17">
        <f>FZ76*VLOOKUP('Données projet'!$B$17,Paramètres!$A$1:$I$89,3,0)*VLOOKUP('Données projet'!$B$17,Paramètres!$A$1:$I$89,5,0)</f>
        <v>-5.3205440053716299E-14</v>
      </c>
      <c r="GB76" s="13" t="e">
        <f t="shared" si="103"/>
        <v>#NUM!</v>
      </c>
      <c r="GC76" s="20" t="e">
        <f t="shared" si="79"/>
        <v>#NUM!</v>
      </c>
      <c r="GD76" s="59" t="e">
        <f t="shared" si="80"/>
        <v>#NUM!</v>
      </c>
      <c r="GE76" s="59">
        <f ca="1">AVERAGE(OFFSET($GD$3,0,0,'Données projet'!$E$17+1,1))-AVERAGE(OFFSET($H$3,0,0,'Données projet'!$E$17+1,1))</f>
        <v>198.26255998041</v>
      </c>
      <c r="GF76" s="59">
        <f t="shared" si="104"/>
        <v>238.62101708181166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84.857301162551963</v>
      </c>
      <c r="GM76" s="21">
        <f>EXP(-LN(2)/25)*GM75+(1-EXP(-LN(2)/25))/(LN(2)/25)*Calculateur!GH76*Calculateur!GJ76*VLOOKUP('Données projet'!$B$17,Paramètres!$A$1:$I$89,3,0)*0.475*44/12</f>
        <v>43.42280370393329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128.28010486648526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9</v>
      </c>
      <c r="GU76" s="12">
        <f>IF('Données projet'!$A$270&gt;35,GU75+GT76-HC75,IF(A76&lt;'Données projet'!$A$270,$GR$205^A76,IF(A76='Données projet'!$A$270,'Données projet'!$B$270,GU75+GT76-HC75)))</f>
        <v>397.00000000000011</v>
      </c>
      <c r="GV76" s="17">
        <f>GU76*VLOOKUP('Données projet'!$B$18,Paramètres!$A$1:$I$89,3,0)*VLOOKUP('Données projet'!$B$18,Paramètres!$A$1:$I$89,5,0)</f>
        <v>457.34400000000011</v>
      </c>
      <c r="GW76" s="13">
        <f t="shared" si="105"/>
        <v>103.31009648940407</v>
      </c>
      <c r="GX76" s="20">
        <f t="shared" si="82"/>
        <v>976.47255138571234</v>
      </c>
      <c r="GY76" s="59">
        <f t="shared" si="83"/>
        <v>1269.8058847190457</v>
      </c>
      <c r="GZ76" s="59">
        <f ca="1">AVERAGE(OFFSET($GY$3,0,0,'Données projet'!$E$18+1,1))-AVERAGE(OFFSET($H$3,0,0,'Données projet'!$E$18+1,1))</f>
        <v>604.0566904089452</v>
      </c>
      <c r="HA76" s="59">
        <f t="shared" si="106"/>
        <v>369.5187835902687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53.259711462142974</v>
      </c>
      <c r="HH76" s="21">
        <f>EXP(-LN(2)/25)*HH75+(1-EXP(-LN(2)/25))/(LN(2)/25)*Calculateur!HC76*Calculateur!HE76*VLOOKUP('Données projet'!$B$18,Paramètres!$A$1:$I$89,3,0)*0.475*44/12</f>
        <v>27.9882902135768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81.248001675719777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8.1111111111111107</v>
      </c>
      <c r="N77" s="13">
        <f>IF('Données projet'!$A$36&gt;35,N76+M77-V76,IF(A77&lt;'Données projet'!$A$36,$K$205^A77,IF(A77='Données projet'!$A$36,'Données projet'!$B$36,N76+M77-V76)))</f>
        <v>263.55555555555554</v>
      </c>
      <c r="O77" s="13">
        <f>N77*VLOOKUP('Données projet'!$B$9,Paramètres!$A$1:$I$89,3,0)*VLOOKUP('Données projet'!$B$9,Paramètres!$A$1:$I$89,5,0)</f>
        <v>238.46506666666667</v>
      </c>
      <c r="P77" s="13">
        <f t="shared" si="87"/>
        <v>58.109158879235501</v>
      </c>
      <c r="Q77" s="20">
        <f t="shared" si="54"/>
        <v>516.53344282577962</v>
      </c>
      <c r="R77" s="59">
        <f t="shared" si="55"/>
        <v>809.86677615911299</v>
      </c>
      <c r="S77" s="59">
        <f ca="1">AVERAGE(OFFSET($R$3,0,0,'Données projet'!$E$9+1,1))-AVERAGE(OFFSET($H$3,0,0,'Données projet'!$E$9+1,1))</f>
        <v>528.20489749461376</v>
      </c>
      <c r="T77" s="59">
        <f t="shared" si="88"/>
        <v>276.26988364830532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31.086855190205526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31.086855190205526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2.2737367544323206E-13</v>
      </c>
      <c r="AJ77" s="13">
        <f>AI77*VLOOKUP('Données projet'!$B$10,Paramètres!$A$1:$I$89,3,0)*VLOOKUP('Données projet'!$B$10,Paramètres!$A$1:$I$89,5,0)</f>
        <v>2.0572770154103635E-13</v>
      </c>
      <c r="AK77" s="13">
        <f t="shared" si="89"/>
        <v>2.8416956338469711E-12</v>
      </c>
      <c r="AL77" s="20">
        <f t="shared" si="58"/>
        <v>5.3075956424674458E-12</v>
      </c>
      <c r="AM77" s="59">
        <f t="shared" si="59"/>
        <v>293.3333333333386</v>
      </c>
      <c r="AN77" s="59">
        <f ca="1">AVERAGE(OFFSET($AM$3,0,0,'Données projet'!$E$10+1,1))-AVERAGE(OFFSET($H$3,0,0,'Données projet'!$E$10+1,1))</f>
        <v>436.23918637269577</v>
      </c>
      <c r="AO77" s="59">
        <f t="shared" si="90"/>
        <v>611.43967996341894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41.1169456370394</v>
      </c>
      <c r="AV77" s="21">
        <f>EXP(-LN(2)/25)*AV76+(1-EXP(-LN(2)/25))/(LN(2)/25)*Calculateur!AQ77*Calculateur!AS77*VLOOKUP('Données projet'!$B$10,Paramètres!$A$1:$I$89,3,0)*0.475*44/12</f>
        <v>19.371247574008983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60.488193211048383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5.6843418860808015E-14</v>
      </c>
      <c r="BE77" s="13">
        <f>BD77*VLOOKUP('Données projet'!$B$11,Paramètres!$A$1:$I$89,3,0)*VLOOKUP('Données projet'!$B$11,Paramètres!$A$1:$I$89,5,0)</f>
        <v>4.4337866711430253E-14</v>
      </c>
      <c r="BF77" s="13">
        <f t="shared" si="91"/>
        <v>7.3222115536967035E-13</v>
      </c>
      <c r="BG77" s="20">
        <f t="shared" si="61"/>
        <v>1.3525069634579169E-12</v>
      </c>
      <c r="BH77" s="59">
        <f t="shared" si="62"/>
        <v>293.33333333333468</v>
      </c>
      <c r="BI77" s="59">
        <f ca="1">AVERAGE(OFFSET($BH$3,0,0,'Données projet'!$E$11+1,1))-AVERAGE(OFFSET($H$3,0,0,'Données projet'!$E$11+1,1))</f>
        <v>288.82868507674738</v>
      </c>
      <c r="BJ77" s="59">
        <f t="shared" si="92"/>
        <v>283.48738729114024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80.107206839501032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80.107206839501032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0.68495000000000061</v>
      </c>
      <c r="BY77" s="12">
        <f>IF('Données projet'!$A$114&gt;35,BY76+BX77-CG76,IF(A77&lt;'Données projet'!$A$114,$BV$205^A77,IF(A77='Données projet'!$A$114,'Données projet'!$B$114,BY76+BX77-CG76)))</f>
        <v>56.814800000000012</v>
      </c>
      <c r="BZ77" s="13">
        <f>BY77*VLOOKUP('Données projet'!$B$12,Paramètres!$A$1:$I$89,3,0)*VLOOKUP('Données projet'!$B$12,Paramètres!$A$1:$I$89,5,0)</f>
        <v>49.633409280000016</v>
      </c>
      <c r="CA77" s="13">
        <f t="shared" si="93"/>
        <v>14.519045502396779</v>
      </c>
      <c r="CB77" s="20">
        <f t="shared" si="64"/>
        <v>111.73219207934109</v>
      </c>
      <c r="CC77" s="59">
        <f t="shared" si="65"/>
        <v>405.06552541267439</v>
      </c>
      <c r="CD77" s="59">
        <f ca="1">AVERAGE(OFFSET($CC$3,0,0,'Données projet'!$E$12+1,1))-AVERAGE(OFFSET($H$3,0,0,'Données projet'!$E$12+1,1))</f>
        <v>93.329407403816901</v>
      </c>
      <c r="CE77" s="59">
        <f t="shared" si="94"/>
        <v>90.925148357295313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2.6295790469159375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2.6295790469159375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12.8</v>
      </c>
      <c r="CT77" s="12">
        <f>IF('Données projet'!$A$140&gt;35,CT76+CS77-DB76,IF(A77&lt;'Données projet'!$A$140,$CQ$205^A77,IF(A77='Données projet'!$A$140,'Données projet'!$B$140,CT76+CS77-DB76)))</f>
        <v>532.19999999999982</v>
      </c>
      <c r="CU77" s="17">
        <f>CT77*VLOOKUP('Données projet'!$B$13,Paramètres!$A$1:$I$89,3,0)*VLOOKUP('Données projet'!$B$13,Paramètres!$A$1:$I$89,5,0)</f>
        <v>506.44151999999985</v>
      </c>
      <c r="CV77" s="13">
        <f t="shared" si="95"/>
        <v>113.05093472344578</v>
      </c>
      <c r="CW77" s="20">
        <f t="shared" si="67"/>
        <v>1078.9493586433343</v>
      </c>
      <c r="CX77" s="59">
        <f t="shared" si="68"/>
        <v>1372.2826919766676</v>
      </c>
      <c r="CY77" s="59">
        <f ca="1">AVERAGE(OFFSET($CX$3,0,0,'Données projet'!$E$13+1,1))-AVERAGE(OFFSET($H$3,0,0,'Données projet'!$E$13+1,1))</f>
        <v>805.04572055352492</v>
      </c>
      <c r="CZ77" s="59">
        <f t="shared" si="96"/>
        <v>708.66645042414962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58.162284845880684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58.162284845880684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7.6</v>
      </c>
      <c r="DO77" s="12">
        <f>IF('Données projet'!$A$166&gt;35,DO76+DN77-DW76,IF(A77&lt;'Données projet'!$A$166,$DL$205^A77,IF(A77='Données projet'!$A$166,'Données projet'!$B$166,DO76+DN77-DW76)))</f>
        <v>438.39999999999992</v>
      </c>
      <c r="DP77" s="17">
        <f>DO77*VLOOKUP('Données projet'!$B$14,Paramètres!$A$1:$I$89,3,0)*VLOOKUP('Données projet'!$B$14,Paramètres!$A$1:$I$89,5,0)</f>
        <v>294.07871999999998</v>
      </c>
      <c r="DQ77" s="13">
        <f t="shared" si="97"/>
        <v>69.93369921614115</v>
      </c>
      <c r="DR77" s="20">
        <f t="shared" si="70"/>
        <v>633.9882968014457</v>
      </c>
      <c r="DS77" s="59">
        <f t="shared" si="71"/>
        <v>927.32163013477907</v>
      </c>
      <c r="DT77" s="59">
        <f ca="1">AVERAGE(OFFSET($DS$3,0,0,'Données projet'!$E$14+1,1))-AVERAGE(OFFSET($H$3,0,0,'Données projet'!$E$14+1,1))</f>
        <v>482.69499576870095</v>
      </c>
      <c r="DU77" s="59">
        <f t="shared" si="98"/>
        <v>384.28918352579575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21.738322172392632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21.738322172392632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1.7053025658242404E-13</v>
      </c>
      <c r="EK77" s="17">
        <f>EJ77*VLOOKUP('Données projet'!$B$15,Paramètres!$A$1:$I$89,3,0)*VLOOKUP('Données projet'!$B$15,Paramètres!$A$1:$I$89,5,0)</f>
        <v>1.250327841262333E-13</v>
      </c>
      <c r="EL77" s="13">
        <f t="shared" si="99"/>
        <v>1.8301318724634299E-12</v>
      </c>
      <c r="EM77" s="20">
        <f t="shared" si="73"/>
        <v>3.405245110226996E-12</v>
      </c>
      <c r="EN77" s="59">
        <f t="shared" si="74"/>
        <v>293.33333333333672</v>
      </c>
      <c r="EO77" s="59">
        <f ca="1">AVERAGE(OFFSET($EN$3,0,0,'Données projet'!$E$15+1,1))-AVERAGE(OFFSET($H$3,0,0,'Données projet'!$E$15+1,1))</f>
        <v>197.34725966440715</v>
      </c>
      <c r="EP77" s="59">
        <f t="shared" si="100"/>
        <v>240.16326570529532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27.200469415221864</v>
      </c>
      <c r="EW77" s="21">
        <f>EXP(-LN(2)/25)*EW76+(1-EXP(-LN(2)/25))/(LN(2)/25)*Calculateur!ER77*Calculateur!ET77*VLOOKUP('Données projet'!$B$15,Paramètres!$A$1:$I$89,3,0)*0.475*44/12</f>
        <v>15.832412436143896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43.032881851365758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2.2737367544323206E-13</v>
      </c>
      <c r="FF77" s="17">
        <f>FE77*VLOOKUP('Données projet'!$B$16,Paramètres!$A$1:$I$89,3,0)*VLOOKUP('Données projet'!$B$16,Paramètres!$A$1:$I$89,5,0)</f>
        <v>1.2710188457276673E-13</v>
      </c>
      <c r="FG77" s="13">
        <f t="shared" si="101"/>
        <v>1.856866851063998E-12</v>
      </c>
      <c r="FH77" s="20">
        <f t="shared" si="76"/>
        <v>3.4554122145673649E-12</v>
      </c>
      <c r="FI77" s="59">
        <f t="shared" si="77"/>
        <v>293.33333333333678</v>
      </c>
      <c r="FJ77" s="59">
        <f ca="1">AVERAGE(OFFSET($FI$3,0,0,'Données projet'!$E$16+1,1))-AVERAGE(OFFSET($H$3,0,0,'Données projet'!$E$16+1,1))</f>
        <v>346.42094266871379</v>
      </c>
      <c r="FK77" s="59">
        <f t="shared" si="102"/>
        <v>453.48153556975973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129.79296550534951</v>
      </c>
      <c r="FR77" s="21">
        <f>EXP(-LN(2)/25)*FR76+(1-EXP(-LN(2)/25))/(LN(2)/25)*Calculateur!FM77*Calculateur!FO77*VLOOKUP('Données projet'!$B$16,Paramètres!$A$1:$I$89,3,0)*0.475*44/12</f>
        <v>71.564547387780138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201.35751289312964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-1.1368683772161603E-13</v>
      </c>
      <c r="GA77" s="17">
        <f>FZ77*VLOOKUP('Données projet'!$B$17,Paramètres!$A$1:$I$89,3,0)*VLOOKUP('Données projet'!$B$17,Paramètres!$A$1:$I$89,5,0)</f>
        <v>-5.3205440053716299E-14</v>
      </c>
      <c r="GB77" s="13" t="e">
        <f t="shared" si="103"/>
        <v>#NUM!</v>
      </c>
      <c r="GC77" s="20" t="e">
        <f t="shared" si="79"/>
        <v>#NUM!</v>
      </c>
      <c r="GD77" s="59" t="e">
        <f t="shared" si="80"/>
        <v>#NUM!</v>
      </c>
      <c r="GE77" s="59">
        <f ca="1">AVERAGE(OFFSET($GD$3,0,0,'Données projet'!$E$17+1,1))-AVERAGE(OFFSET($H$3,0,0,'Données projet'!$E$17+1,1))</f>
        <v>198.26255998041</v>
      </c>
      <c r="GF77" s="59">
        <f t="shared" si="104"/>
        <v>238.62101708181166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83.193301244597365</v>
      </c>
      <c r="GM77" s="21">
        <f>EXP(-LN(2)/25)*GM76+(1-EXP(-LN(2)/25))/(LN(2)/25)*Calculateur!GH77*Calculateur!GJ77*VLOOKUP('Données projet'!$B$17,Paramètres!$A$1:$I$89,3,0)*0.475*44/12</f>
        <v>42.23540485314323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125.42870609774059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9</v>
      </c>
      <c r="GU77" s="12">
        <f>IF('Données projet'!$A$270&gt;35,GU76+GT77-HC76,IF(A77&lt;'Données projet'!$A$270,$GR$205^A77,IF(A77='Données projet'!$A$270,'Données projet'!$B$270,GU76+GT77-HC76)))</f>
        <v>406.00000000000011</v>
      </c>
      <c r="GV77" s="17">
        <f>GU77*VLOOKUP('Données projet'!$B$18,Paramètres!$A$1:$I$89,3,0)*VLOOKUP('Données projet'!$B$18,Paramètres!$A$1:$I$89,5,0)</f>
        <v>467.7120000000001</v>
      </c>
      <c r="GW77" s="13">
        <f t="shared" si="105"/>
        <v>105.37681760029513</v>
      </c>
      <c r="GX77" s="20">
        <f t="shared" si="82"/>
        <v>998.12969065384732</v>
      </c>
      <c r="GY77" s="59">
        <f t="shared" si="83"/>
        <v>1291.4630239871806</v>
      </c>
      <c r="GZ77" s="59">
        <f ca="1">AVERAGE(OFFSET($GY$3,0,0,'Données projet'!$E$18+1,1))-AVERAGE(OFFSET($H$3,0,0,'Données projet'!$E$18+1,1))</f>
        <v>604.0566904089452</v>
      </c>
      <c r="HA77" s="59">
        <f t="shared" si="106"/>
        <v>369.5187835902687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52.215321005586695</v>
      </c>
      <c r="HH77" s="21">
        <f>EXP(-LN(2)/25)*HH76+(1-EXP(-LN(2)/25))/(LN(2)/25)*Calculateur!HC77*Calculateur!HE77*VLOOKUP('Données projet'!$B$18,Paramètres!$A$1:$I$89,3,0)*0.475*44/12</f>
        <v>27.22294894584633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79.438269951433028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8.1111111111111107</v>
      </c>
      <c r="N78" s="13">
        <f>IF('Données projet'!$A$36&gt;35,N77+M78-V77,IF(A78&lt;'Données projet'!$A$36,$K$205^A78,IF(A78='Données projet'!$A$36,'Données projet'!$B$36,N77+M78-V77)))</f>
        <v>271.66666666666663</v>
      </c>
      <c r="O78" s="13">
        <f>N78*VLOOKUP('Données projet'!$B$9,Paramètres!$A$1:$I$89,3,0)*VLOOKUP('Données projet'!$B$9,Paramètres!$A$1:$I$89,5,0)</f>
        <v>245.80399999999995</v>
      </c>
      <c r="P78" s="13">
        <f t="shared" si="87"/>
        <v>59.686547383038381</v>
      </c>
      <c r="Q78" s="20">
        <f t="shared" si="54"/>
        <v>532.06270335879174</v>
      </c>
      <c r="R78" s="59">
        <f t="shared" si="55"/>
        <v>825.39603669212511</v>
      </c>
      <c r="S78" s="59">
        <f ca="1">AVERAGE(OFFSET($R$3,0,0,'Données projet'!$E$9+1,1))-AVERAGE(OFFSET($H$3,0,0,'Données projet'!$E$9+1,1))</f>
        <v>528.20489749461376</v>
      </c>
      <c r="T78" s="59">
        <f t="shared" si="88"/>
        <v>276.26988364830532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30.477260921035008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30.477260921035008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2.2737367544323206E-13</v>
      </c>
      <c r="AJ78" s="13">
        <f>AI78*VLOOKUP('Données projet'!$B$10,Paramètres!$A$1:$I$89,3,0)*VLOOKUP('Données projet'!$B$10,Paramètres!$A$1:$I$89,5,0)</f>
        <v>2.0572770154103635E-13</v>
      </c>
      <c r="AK78" s="13">
        <f t="shared" si="89"/>
        <v>2.8416956338469711E-12</v>
      </c>
      <c r="AL78" s="20">
        <f t="shared" si="58"/>
        <v>5.3075956424674458E-12</v>
      </c>
      <c r="AM78" s="59">
        <f t="shared" si="59"/>
        <v>293.3333333333386</v>
      </c>
      <c r="AN78" s="59">
        <f ca="1">AVERAGE(OFFSET($AM$3,0,0,'Données projet'!$E$10+1,1))-AVERAGE(OFFSET($H$3,0,0,'Données projet'!$E$10+1,1))</f>
        <v>436.23918637269577</v>
      </c>
      <c r="AO78" s="59">
        <f t="shared" si="90"/>
        <v>611.43967996341894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40.310667411957567</v>
      </c>
      <c r="AV78" s="21">
        <f>EXP(-LN(2)/25)*AV77+(1-EXP(-LN(2)/25))/(LN(2)/25)*Calculateur!AQ78*Calculateur!AS78*VLOOKUP('Données projet'!$B$10,Paramètres!$A$1:$I$89,3,0)*0.475*44/12</f>
        <v>18.841539790408071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59.152207202365638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5.6843418860808015E-14</v>
      </c>
      <c r="BE78" s="13">
        <f>BD78*VLOOKUP('Données projet'!$B$11,Paramètres!$A$1:$I$89,3,0)*VLOOKUP('Données projet'!$B$11,Paramètres!$A$1:$I$89,5,0)</f>
        <v>4.4337866711430253E-14</v>
      </c>
      <c r="BF78" s="13">
        <f t="shared" si="91"/>
        <v>7.3222115536967035E-13</v>
      </c>
      <c r="BG78" s="20">
        <f t="shared" si="61"/>
        <v>1.3525069634579169E-12</v>
      </c>
      <c r="BH78" s="59">
        <f t="shared" si="62"/>
        <v>293.33333333333468</v>
      </c>
      <c r="BI78" s="59">
        <f ca="1">AVERAGE(OFFSET($BH$3,0,0,'Données projet'!$E$11+1,1))-AVERAGE(OFFSET($H$3,0,0,'Données projet'!$E$11+1,1))</f>
        <v>288.82868507674738</v>
      </c>
      <c r="BJ78" s="59">
        <f t="shared" si="92"/>
        <v>283.48738729114024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78.536353373950007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78.536353373950007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57.499749999999999</v>
      </c>
      <c r="BW78" s="12">
        <f>VLOOKUP(A78,'Données projet'!$A$113:$I$133,9,0)</f>
        <v>0.68495000000000061</v>
      </c>
      <c r="BX78" s="12">
        <f t="array" ref="BX78">INDEX(BW:BW,MIN(IF(ISNUMBER(BW78:BW274),ROW(BW78:BW274),"")))</f>
        <v>0.68495000000000061</v>
      </c>
      <c r="BY78" s="12">
        <f>IF('Données projet'!$A$114&gt;35,BY77+BX78-CG77,IF(A78&lt;'Données projet'!$A$114,$BV$205^A78,IF(A78='Données projet'!$A$114,'Données projet'!$B$114,BY77+BX78-CG77)))</f>
        <v>57.499750000000013</v>
      </c>
      <c r="BZ78" s="13">
        <f>BY78*VLOOKUP('Données projet'!$B$12,Paramètres!$A$1:$I$89,3,0)*VLOOKUP('Données projet'!$B$12,Paramètres!$A$1:$I$89,5,0)</f>
        <v>50.231781600000012</v>
      </c>
      <c r="CA78" s="13">
        <f t="shared" si="93"/>
        <v>14.673602150711019</v>
      </c>
      <c r="CB78" s="20">
        <f t="shared" si="64"/>
        <v>113.04354336582169</v>
      </c>
      <c r="CC78" s="59">
        <f t="shared" si="65"/>
        <v>406.37687669915499</v>
      </c>
      <c r="CD78" s="59">
        <f ca="1">AVERAGE(OFFSET($CC$3,0,0,'Données projet'!$E$12+1,1))-AVERAGE(OFFSET($H$3,0,0,'Données projet'!$E$12+1,1))</f>
        <v>93.329407403816901</v>
      </c>
      <c r="CE78" s="59">
        <f t="shared" si="94"/>
        <v>90.925148357295313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1.4419999999999999</v>
      </c>
      <c r="CH78" s="16">
        <f>IF(ISNA(VLOOKUP(A78,'Données projet'!$A$113:$I$133,5,0)),0%,VLOOKUP(A78,'Données projet'!$A$113:$I$133,5,0)*VLOOKUP('Données projet'!$B$12,Paramètres!$A$1:$I$89,7,0))</f>
        <v>0.25800000000000001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2.937304251856327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2.937304251856327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545</v>
      </c>
      <c r="CR78" s="12">
        <f>VLOOKUP(A78,'Données projet'!$A$139:$I$159,9,0)</f>
        <v>12.8</v>
      </c>
      <c r="CS78" s="12">
        <f t="array" ref="CS78">INDEX(CR:CR,MIN(IF(ISNUMBER(CR78:CR274),ROW(CR78:CR274),"")))</f>
        <v>12.8</v>
      </c>
      <c r="CT78" s="12">
        <f>IF('Données projet'!$A$140&gt;35,CT77+CS78-DB77,IF(A78&lt;'Données projet'!$A$140,$CQ$205^A78,IF(A78='Données projet'!$A$140,'Données projet'!$B$140,CT77+CS78-DB77)))</f>
        <v>544.99999999999977</v>
      </c>
      <c r="CU78" s="17">
        <f>CT78*VLOOKUP('Données projet'!$B$13,Paramètres!$A$1:$I$89,3,0)*VLOOKUP('Données projet'!$B$13,Paramètres!$A$1:$I$89,5,0)</f>
        <v>518.62199999999984</v>
      </c>
      <c r="CV78" s="13">
        <f t="shared" si="95"/>
        <v>115.45011014801267</v>
      </c>
      <c r="CW78" s="20">
        <f t="shared" si="67"/>
        <v>1104.3422585077883</v>
      </c>
      <c r="CX78" s="59">
        <f t="shared" si="68"/>
        <v>1397.6755918411216</v>
      </c>
      <c r="CY78" s="59">
        <f ca="1">AVERAGE(OFFSET($CX$3,0,0,'Données projet'!$E$13+1,1))-AVERAGE(OFFSET($H$3,0,0,'Données projet'!$E$13+1,1))</f>
        <v>805.04572055352492</v>
      </c>
      <c r="CZ78" s="59">
        <f t="shared" si="96"/>
        <v>708.66645042414962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57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72.491964222727049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72.491964222727049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446</v>
      </c>
      <c r="DM78" s="12">
        <f>VLOOKUP(A78,'Données projet'!$A$165:$I$185,9,0)</f>
        <v>7.6</v>
      </c>
      <c r="DN78" s="12">
        <f t="array" ref="DN78">INDEX(DM:DM,MIN(IF(ISNUMBER(DM78:DM274),ROW(DM78:DM274),"")))</f>
        <v>7.6</v>
      </c>
      <c r="DO78" s="12">
        <f>IF('Données projet'!$A$166&gt;35,DO77+DN78-DW77,IF(A78&lt;'Données projet'!$A$166,$DL$205^A78,IF(A78='Données projet'!$A$166,'Données projet'!$B$166,DO77+DN78-DW77)))</f>
        <v>445.99999999999994</v>
      </c>
      <c r="DP78" s="17">
        <f>DO78*VLOOKUP('Données projet'!$B$14,Paramètres!$A$1:$I$89,3,0)*VLOOKUP('Données projet'!$B$14,Paramètres!$A$1:$I$89,5,0)</f>
        <v>299.17679999999996</v>
      </c>
      <c r="DQ78" s="13">
        <f t="shared" si="97"/>
        <v>71.003861547783757</v>
      </c>
      <c r="DR78" s="20">
        <f t="shared" si="70"/>
        <v>644.73131886238991</v>
      </c>
      <c r="DS78" s="59">
        <f t="shared" si="71"/>
        <v>938.06465219572328</v>
      </c>
      <c r="DT78" s="59">
        <f ca="1">AVERAGE(OFFSET($DS$3,0,0,'Données projet'!$E$14+1,1))-AVERAGE(OFFSET($H$3,0,0,'Données projet'!$E$14+1,1))</f>
        <v>482.69499576870095</v>
      </c>
      <c r="DU78" s="59">
        <f t="shared" si="98"/>
        <v>384.28918352579575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22</v>
      </c>
      <c r="DX78" s="16">
        <f>IF(ISNA(VLOOKUP(A78,'Données projet'!$A$165:$I$185,5,0)),0%,VLOOKUP(A78,'Données projet'!$A$165:$I$185,5,0)*VLOOKUP('Données projet'!$B$14,Paramètres!$A$1:$I$89,7,0))</f>
        <v>0.318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26.499927449671873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26.499927449671873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1.7053025658242404E-13</v>
      </c>
      <c r="EK78" s="17">
        <f>EJ78*VLOOKUP('Données projet'!$B$15,Paramètres!$A$1:$I$89,3,0)*VLOOKUP('Données projet'!$B$15,Paramètres!$A$1:$I$89,5,0)</f>
        <v>1.250327841262333E-13</v>
      </c>
      <c r="EL78" s="13">
        <f t="shared" si="99"/>
        <v>1.8301318724634299E-12</v>
      </c>
      <c r="EM78" s="20">
        <f t="shared" si="73"/>
        <v>3.405245110226996E-12</v>
      </c>
      <c r="EN78" s="59">
        <f t="shared" si="74"/>
        <v>293.33333333333672</v>
      </c>
      <c r="EO78" s="59">
        <f ca="1">AVERAGE(OFFSET($EN$3,0,0,'Données projet'!$E$15+1,1))-AVERAGE(OFFSET($H$3,0,0,'Données projet'!$E$15+1,1))</f>
        <v>197.34725966440715</v>
      </c>
      <c r="EP78" s="59">
        <f t="shared" si="100"/>
        <v>240.16326570529532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26.667084800637515</v>
      </c>
      <c r="EW78" s="21">
        <f>EXP(-LN(2)/25)*EW77+(1-EXP(-LN(2)/25))/(LN(2)/25)*Calculateur!ER78*Calculateur!ET78*VLOOKUP('Données projet'!$B$15,Paramètres!$A$1:$I$89,3,0)*0.475*44/12</f>
        <v>15.399474285487157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42.06655908612467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2.2737367544323206E-13</v>
      </c>
      <c r="FF78" s="17">
        <f>FE78*VLOOKUP('Données projet'!$B$16,Paramètres!$A$1:$I$89,3,0)*VLOOKUP('Données projet'!$B$16,Paramètres!$A$1:$I$89,5,0)</f>
        <v>1.2710188457276673E-13</v>
      </c>
      <c r="FG78" s="13">
        <f t="shared" si="101"/>
        <v>1.856866851063998E-12</v>
      </c>
      <c r="FH78" s="20">
        <f t="shared" si="76"/>
        <v>3.4554122145673649E-12</v>
      </c>
      <c r="FI78" s="59">
        <f t="shared" si="77"/>
        <v>293.33333333333678</v>
      </c>
      <c r="FJ78" s="59">
        <f ca="1">AVERAGE(OFFSET($FI$3,0,0,'Données projet'!$E$16+1,1))-AVERAGE(OFFSET($H$3,0,0,'Données projet'!$E$16+1,1))</f>
        <v>346.42094266871379</v>
      </c>
      <c r="FK78" s="59">
        <f t="shared" si="102"/>
        <v>453.48153556975973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127.24780461768158</v>
      </c>
      <c r="FR78" s="21">
        <f>EXP(-LN(2)/25)*FR77+(1-EXP(-LN(2)/25))/(LN(2)/25)*Calculateur!FM78*Calculateur!FO78*VLOOKUP('Données projet'!$B$16,Paramètres!$A$1:$I$89,3,0)*0.475*44/12</f>
        <v>69.607611076045302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196.85541569372688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-1.1368683772161603E-13</v>
      </c>
      <c r="GA78" s="17">
        <f>FZ78*VLOOKUP('Données projet'!$B$17,Paramètres!$A$1:$I$89,3,0)*VLOOKUP('Données projet'!$B$17,Paramètres!$A$1:$I$89,5,0)</f>
        <v>-5.3205440053716299E-14</v>
      </c>
      <c r="GB78" s="13" t="e">
        <f t="shared" si="103"/>
        <v>#NUM!</v>
      </c>
      <c r="GC78" s="20" t="e">
        <f t="shared" si="79"/>
        <v>#NUM!</v>
      </c>
      <c r="GD78" s="59" t="e">
        <f t="shared" si="80"/>
        <v>#NUM!</v>
      </c>
      <c r="GE78" s="59">
        <f ca="1">AVERAGE(OFFSET($GD$3,0,0,'Données projet'!$E$17+1,1))-AVERAGE(OFFSET($H$3,0,0,'Données projet'!$E$17+1,1))</f>
        <v>198.26255998041</v>
      </c>
      <c r="GF78" s="59">
        <f t="shared" si="104"/>
        <v>238.62101708181166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81.561931350094127</v>
      </c>
      <c r="GM78" s="21">
        <f>EXP(-LN(2)/25)*GM77+(1-EXP(-LN(2)/25))/(LN(2)/25)*Calculateur!GH78*Calculateur!GJ78*VLOOKUP('Données projet'!$B$17,Paramètres!$A$1:$I$89,3,0)*0.475*44/12</f>
        <v>41.080475486370617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122.64240683646474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9</v>
      </c>
      <c r="GU78" s="12">
        <f>IF('Données projet'!$A$270&gt;35,GU77+GT78-HC77,IF(A78&lt;'Données projet'!$A$270,$GR$205^A78,IF(A78='Données projet'!$A$270,'Données projet'!$B$270,GU77+GT78-HC77)))</f>
        <v>415.00000000000011</v>
      </c>
      <c r="GV78" s="17">
        <f>GU78*VLOOKUP('Données projet'!$B$18,Paramètres!$A$1:$I$89,3,0)*VLOOKUP('Données projet'!$B$18,Paramètres!$A$1:$I$89,5,0)</f>
        <v>478.0800000000001</v>
      </c>
      <c r="GW78" s="13">
        <f t="shared" si="105"/>
        <v>107.43821237291726</v>
      </c>
      <c r="GX78" s="20">
        <f t="shared" si="82"/>
        <v>1019.7775532161644</v>
      </c>
      <c r="GY78" s="59">
        <f t="shared" si="83"/>
        <v>1313.1108865494978</v>
      </c>
      <c r="GZ78" s="59">
        <f ca="1">AVERAGE(OFFSET($GY$3,0,0,'Données projet'!$E$18+1,1))-AVERAGE(OFFSET($H$3,0,0,'Données projet'!$E$18+1,1))</f>
        <v>604.0566904089452</v>
      </c>
      <c r="HA78" s="59">
        <f t="shared" si="106"/>
        <v>369.5187835902687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51.191410408868208</v>
      </c>
      <c r="HH78" s="21">
        <f>EXP(-LN(2)/25)*HH77+(1-EXP(-LN(2)/25))/(LN(2)/25)*Calculateur!HC78*Calculateur!HE78*VLOOKUP('Données projet'!$B$18,Paramètres!$A$1:$I$89,3,0)*0.475*44/12</f>
        <v>26.478535975329496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77.669946384197701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8.1111111111111107</v>
      </c>
      <c r="N79" s="13">
        <f>IF('Données projet'!$A$36&gt;35,N78+M79-V78,IF(A79&lt;'Données projet'!$A$36,$K$205^A79,IF(A79='Données projet'!$A$36,'Données projet'!$B$36,N78+M79-V78)))</f>
        <v>279.77777777777771</v>
      </c>
      <c r="O79" s="13">
        <f>N79*VLOOKUP('Données projet'!$B$9,Paramètres!$A$1:$I$89,3,0)*VLOOKUP('Données projet'!$B$9,Paramètres!$A$1:$I$89,5,0)</f>
        <v>253.14293333333325</v>
      </c>
      <c r="P79" s="13">
        <f t="shared" si="87"/>
        <v>61.258462585145814</v>
      </c>
      <c r="Q79" s="20">
        <f t="shared" si="54"/>
        <v>547.58243122468434</v>
      </c>
      <c r="R79" s="59">
        <f t="shared" si="55"/>
        <v>840.9157645580176</v>
      </c>
      <c r="S79" s="59">
        <f ca="1">AVERAGE(OFFSET($R$3,0,0,'Données projet'!$E$9+1,1))-AVERAGE(OFFSET($H$3,0,0,'Données projet'!$E$9+1,1))</f>
        <v>528.20489749461376</v>
      </c>
      <c r="T79" s="59">
        <f t="shared" si="88"/>
        <v>276.26988364830532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29.879620423667134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29.879620423667134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2.2737367544323206E-13</v>
      </c>
      <c r="AJ79" s="13">
        <f>AI79*VLOOKUP('Données projet'!$B$10,Paramètres!$A$1:$I$89,3,0)*VLOOKUP('Données projet'!$B$10,Paramètres!$A$1:$I$89,5,0)</f>
        <v>2.0572770154103635E-13</v>
      </c>
      <c r="AK79" s="13">
        <f t="shared" si="89"/>
        <v>2.8416956338469711E-12</v>
      </c>
      <c r="AL79" s="20">
        <f t="shared" si="58"/>
        <v>5.3075956424674458E-12</v>
      </c>
      <c r="AM79" s="59">
        <f t="shared" si="59"/>
        <v>293.3333333333386</v>
      </c>
      <c r="AN79" s="59">
        <f ca="1">AVERAGE(OFFSET($AM$3,0,0,'Données projet'!$E$10+1,1))-AVERAGE(OFFSET($H$3,0,0,'Données projet'!$E$10+1,1))</f>
        <v>436.23918637269577</v>
      </c>
      <c r="AO79" s="59">
        <f t="shared" si="90"/>
        <v>611.43967996341894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39.520199811088425</v>
      </c>
      <c r="AV79" s="21">
        <f>EXP(-LN(2)/25)*AV78+(1-EXP(-LN(2)/25))/(LN(2)/25)*Calculateur!AQ79*Calculateur!AS79*VLOOKUP('Données projet'!$B$10,Paramètres!$A$1:$I$89,3,0)*0.475*44/12</f>
        <v>18.326316894005846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57.846516705094274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5.6843418860808015E-14</v>
      </c>
      <c r="BE79" s="13">
        <f>BD79*VLOOKUP('Données projet'!$B$11,Paramètres!$A$1:$I$89,3,0)*VLOOKUP('Données projet'!$B$11,Paramètres!$A$1:$I$89,5,0)</f>
        <v>4.4337866711430253E-14</v>
      </c>
      <c r="BF79" s="13">
        <f t="shared" si="91"/>
        <v>7.3222115536967035E-13</v>
      </c>
      <c r="BG79" s="20">
        <f t="shared" si="61"/>
        <v>1.3525069634579169E-12</v>
      </c>
      <c r="BH79" s="59">
        <f t="shared" si="62"/>
        <v>293.33333333333468</v>
      </c>
      <c r="BI79" s="59">
        <f ca="1">AVERAGE(OFFSET($BH$3,0,0,'Données projet'!$E$11+1,1))-AVERAGE(OFFSET($H$3,0,0,'Données projet'!$E$11+1,1))</f>
        <v>288.82868507674738</v>
      </c>
      <c r="BJ79" s="59">
        <f t="shared" si="92"/>
        <v>283.48738729114024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76.996303386732436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76.996303386732436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0.61285000000000023</v>
      </c>
      <c r="BY79" s="12">
        <f>IF('Données projet'!$A$114&gt;35,BY78+BX79-CG78,IF(A79&lt;'Données projet'!$A$114,$BV$205^A79,IF(A79='Données projet'!$A$114,'Données projet'!$B$114,BY78+BX79-CG78)))</f>
        <v>56.670600000000015</v>
      </c>
      <c r="BZ79" s="13">
        <f>BY79*VLOOKUP('Données projet'!$B$12,Paramètres!$A$1:$I$89,3,0)*VLOOKUP('Données projet'!$B$12,Paramètres!$A$1:$I$89,5,0)</f>
        <v>49.507436160000019</v>
      </c>
      <c r="CA79" s="13">
        <f t="shared" si="93"/>
        <v>14.486479701768344</v>
      </c>
      <c r="CB79" s="20">
        <f t="shared" si="64"/>
        <v>111.45607012591323</v>
      </c>
      <c r="CC79" s="59">
        <f t="shared" si="65"/>
        <v>404.78940345924656</v>
      </c>
      <c r="CD79" s="59">
        <f ca="1">AVERAGE(OFFSET($CC$3,0,0,'Données projet'!$E$12+1,1))-AVERAGE(OFFSET($H$3,0,0,'Données projet'!$E$12+1,1))</f>
        <v>93.329407403816901</v>
      </c>
      <c r="CE79" s="59">
        <f t="shared" si="94"/>
        <v>90.925148357295313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2.8797055070561144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2.8797055070561144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13</v>
      </c>
      <c r="CT79" s="12">
        <f>IF('Données projet'!$A$140&gt;35,CT78+CS79-DB78,IF(A79&lt;'Données projet'!$A$140,$CQ$205^A79,IF(A79='Données projet'!$A$140,'Données projet'!$B$140,CT78+CS79-DB78)))</f>
        <v>500.99999999999977</v>
      </c>
      <c r="CU79" s="17">
        <f>CT79*VLOOKUP('Données projet'!$B$13,Paramètres!$A$1:$I$89,3,0)*VLOOKUP('Données projet'!$B$13,Paramètres!$A$1:$I$89,5,0)</f>
        <v>476.75159999999977</v>
      </c>
      <c r="CV79" s="13">
        <f t="shared" si="95"/>
        <v>107.17438911984773</v>
      </c>
      <c r="CW79" s="20">
        <f t="shared" si="67"/>
        <v>1017.004431050401</v>
      </c>
      <c r="CX79" s="59">
        <f t="shared" si="68"/>
        <v>1310.3377643837343</v>
      </c>
      <c r="CY79" s="59">
        <f ca="1">AVERAGE(OFFSET($CX$3,0,0,'Données projet'!$E$13+1,1))-AVERAGE(OFFSET($H$3,0,0,'Données projet'!$E$13+1,1))</f>
        <v>805.04572055352492</v>
      </c>
      <c r="CZ79" s="59">
        <f t="shared" si="96"/>
        <v>708.66645042414962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71.070441020051604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71.070441020051604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</v>
      </c>
      <c r="DO79" s="12">
        <f>IF('Données projet'!$A$166&gt;35,DO78+DN79-DW78,IF(A79&lt;'Données projet'!$A$166,$DL$205^A79,IF(A79='Données projet'!$A$166,'Données projet'!$B$166,DO78+DN79-DW78)))</f>
        <v>430.99999999999994</v>
      </c>
      <c r="DP79" s="17">
        <f>DO79*VLOOKUP('Données projet'!$B$14,Paramètres!$A$1:$I$89,3,0)*VLOOKUP('Données projet'!$B$14,Paramètres!$A$1:$I$89,5,0)</f>
        <v>289.1148</v>
      </c>
      <c r="DQ79" s="13">
        <f t="shared" si="97"/>
        <v>68.889622233416148</v>
      </c>
      <c r="DR79" s="20">
        <f t="shared" si="70"/>
        <v>623.52436872319981</v>
      </c>
      <c r="DS79" s="59">
        <f t="shared" si="71"/>
        <v>916.85770205653307</v>
      </c>
      <c r="DT79" s="59">
        <f ca="1">AVERAGE(OFFSET($DS$3,0,0,'Données projet'!$E$14+1,1))-AVERAGE(OFFSET($H$3,0,0,'Données projet'!$E$14+1,1))</f>
        <v>482.69499576870095</v>
      </c>
      <c r="DU79" s="59">
        <f t="shared" si="98"/>
        <v>384.28918352579575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25.980280035743551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25.980280035743551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1.7053025658242404E-13</v>
      </c>
      <c r="EK79" s="17">
        <f>EJ79*VLOOKUP('Données projet'!$B$15,Paramètres!$A$1:$I$89,3,0)*VLOOKUP('Données projet'!$B$15,Paramètres!$A$1:$I$89,5,0)</f>
        <v>1.250327841262333E-13</v>
      </c>
      <c r="EL79" s="13">
        <f t="shared" si="99"/>
        <v>1.8301318724634299E-12</v>
      </c>
      <c r="EM79" s="20">
        <f t="shared" si="73"/>
        <v>3.405245110226996E-12</v>
      </c>
      <c r="EN79" s="59">
        <f t="shared" si="74"/>
        <v>293.33333333333672</v>
      </c>
      <c r="EO79" s="59">
        <f ca="1">AVERAGE(OFFSET($EN$3,0,0,'Données projet'!$E$15+1,1))-AVERAGE(OFFSET($H$3,0,0,'Données projet'!$E$15+1,1))</f>
        <v>197.34725966440715</v>
      </c>
      <c r="EP79" s="59">
        <f t="shared" si="100"/>
        <v>240.16326570529532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26.144159533012676</v>
      </c>
      <c r="EW79" s="21">
        <f>EXP(-LN(2)/25)*EW78+(1-EXP(-LN(2)/25))/(LN(2)/25)*Calculateur!ER79*Calculateur!ET79*VLOOKUP('Données projet'!$B$15,Paramètres!$A$1:$I$89,3,0)*0.475*44/12</f>
        <v>14.978374851327354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41.122534384340028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2.2737367544323206E-13</v>
      </c>
      <c r="FF79" s="17">
        <f>FE79*VLOOKUP('Données projet'!$B$16,Paramètres!$A$1:$I$89,3,0)*VLOOKUP('Données projet'!$B$16,Paramètres!$A$1:$I$89,5,0)</f>
        <v>1.2710188457276673E-13</v>
      </c>
      <c r="FG79" s="13">
        <f t="shared" si="101"/>
        <v>1.856866851063998E-12</v>
      </c>
      <c r="FH79" s="20">
        <f t="shared" si="76"/>
        <v>3.4554122145673649E-12</v>
      </c>
      <c r="FI79" s="59">
        <f t="shared" si="77"/>
        <v>293.33333333333678</v>
      </c>
      <c r="FJ79" s="59">
        <f ca="1">AVERAGE(OFFSET($FI$3,0,0,'Données projet'!$E$16+1,1))-AVERAGE(OFFSET($H$3,0,0,'Données projet'!$E$16+1,1))</f>
        <v>346.42094266871379</v>
      </c>
      <c r="FK79" s="59">
        <f t="shared" si="102"/>
        <v>453.48153556975973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124.75255278262597</v>
      </c>
      <c r="FR79" s="21">
        <f>EXP(-LN(2)/25)*FR78+(1-EXP(-LN(2)/25))/(LN(2)/25)*Calculateur!FM79*Calculateur!FO79*VLOOKUP('Données projet'!$B$16,Paramètres!$A$1:$I$89,3,0)*0.475*44/12</f>
        <v>67.704187290665672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192.45674007329166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-1.1368683772161603E-13</v>
      </c>
      <c r="GA79" s="17">
        <f>FZ79*VLOOKUP('Données projet'!$B$17,Paramètres!$A$1:$I$89,3,0)*VLOOKUP('Données projet'!$B$17,Paramètres!$A$1:$I$89,5,0)</f>
        <v>-5.3205440053716299E-14</v>
      </c>
      <c r="GB79" s="13" t="e">
        <f t="shared" si="103"/>
        <v>#NUM!</v>
      </c>
      <c r="GC79" s="20" t="e">
        <f t="shared" si="79"/>
        <v>#NUM!</v>
      </c>
      <c r="GD79" s="59" t="e">
        <f t="shared" si="80"/>
        <v>#NUM!</v>
      </c>
      <c r="GE79" s="59">
        <f ca="1">AVERAGE(OFFSET($GD$3,0,0,'Données projet'!$E$17+1,1))-AVERAGE(OFFSET($H$3,0,0,'Données projet'!$E$17+1,1))</f>
        <v>198.26255998041</v>
      </c>
      <c r="GF79" s="59">
        <f t="shared" si="104"/>
        <v>238.62101708181166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79.962551624184712</v>
      </c>
      <c r="GM79" s="21">
        <f>EXP(-LN(2)/25)*GM78+(1-EXP(-LN(2)/25))/(LN(2)/25)*Calculateur!GH79*Calculateur!GJ79*VLOOKUP('Données projet'!$B$17,Paramètres!$A$1:$I$89,3,0)*0.475*44/12</f>
        <v>39.957127723867494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119.9196793480522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9</v>
      </c>
      <c r="GU79" s="12">
        <f>IF('Données projet'!$A$270&gt;35,GU78+GT79-HC78,IF(A79&lt;'Données projet'!$A$270,$GR$205^A79,IF(A79='Données projet'!$A$270,'Données projet'!$B$270,GU78+GT79-HC78)))</f>
        <v>424.00000000000011</v>
      </c>
      <c r="GV79" s="17">
        <f>GU79*VLOOKUP('Données projet'!$B$18,Paramètres!$A$1:$I$89,3,0)*VLOOKUP('Données projet'!$B$18,Paramètres!$A$1:$I$89,5,0)</f>
        <v>488.44800000000009</v>
      </c>
      <c r="GW79" s="13">
        <f t="shared" si="105"/>
        <v>109.49440962146269</v>
      </c>
      <c r="GX79" s="20">
        <f t="shared" si="82"/>
        <v>1041.4163634240474</v>
      </c>
      <c r="GY79" s="59">
        <f t="shared" si="83"/>
        <v>1334.7496967573807</v>
      </c>
      <c r="GZ79" s="59">
        <f ca="1">AVERAGE(OFFSET($GY$3,0,0,'Données projet'!$E$18+1,1))-AVERAGE(OFFSET($H$3,0,0,'Données projet'!$E$18+1,1))</f>
        <v>604.0566904089452</v>
      </c>
      <c r="HA79" s="59">
        <f t="shared" si="106"/>
        <v>369.5187835902687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50.18757807442757</v>
      </c>
      <c r="HH79" s="21">
        <f>EXP(-LN(2)/25)*HH78+(1-EXP(-LN(2)/25))/(LN(2)/25)*Calculateur!HC79*Calculateur!HE79*VLOOKUP('Données projet'!$B$18,Paramètres!$A$1:$I$89,3,0)*0.475*44/12</f>
        <v>25.75447901663842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75.94205709106599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8.1111111111111107</v>
      </c>
      <c r="N80" s="13">
        <f>IF('Données projet'!$A$36&gt;35,N79+M80-V79,IF(A80&lt;'Données projet'!$A$36,$K$205^A80,IF(A80='Données projet'!$A$36,'Données projet'!$B$36,N79+M80-V79)))</f>
        <v>287.8888888888888</v>
      </c>
      <c r="O80" s="13">
        <f>N80*VLOOKUP('Données projet'!$B$9,Paramètres!$A$1:$I$89,3,0)*VLOOKUP('Données projet'!$B$9,Paramètres!$A$1:$I$89,5,0)</f>
        <v>260.48186666666658</v>
      </c>
      <c r="P80" s="13">
        <f t="shared" si="87"/>
        <v>62.825081385259836</v>
      </c>
      <c r="Q80" s="20">
        <f t="shared" si="54"/>
        <v>563.09293452377176</v>
      </c>
      <c r="R80" s="59">
        <f t="shared" si="55"/>
        <v>856.42626785710513</v>
      </c>
      <c r="S80" s="59">
        <f ca="1">AVERAGE(OFFSET($R$3,0,0,'Données projet'!$E$9+1,1))-AVERAGE(OFFSET($H$3,0,0,'Données projet'!$E$9+1,1))</f>
        <v>528.20489749461376</v>
      </c>
      <c r="T80" s="59">
        <f t="shared" si="88"/>
        <v>276.26988364830532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29.293699291927933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29.293699291927933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2.2737367544323206E-13</v>
      </c>
      <c r="AJ80" s="13">
        <f>AI80*VLOOKUP('Données projet'!$B$10,Paramètres!$A$1:$I$89,3,0)*VLOOKUP('Données projet'!$B$10,Paramètres!$A$1:$I$89,5,0)</f>
        <v>2.0572770154103635E-13</v>
      </c>
      <c r="AK80" s="13">
        <f t="shared" si="89"/>
        <v>2.8416956338469711E-12</v>
      </c>
      <c r="AL80" s="20">
        <f t="shared" si="58"/>
        <v>5.3075956424674458E-12</v>
      </c>
      <c r="AM80" s="59">
        <f t="shared" si="59"/>
        <v>293.3333333333386</v>
      </c>
      <c r="AN80" s="59">
        <f ca="1">AVERAGE(OFFSET($AM$3,0,0,'Données projet'!$E$10+1,1))-AVERAGE(OFFSET($H$3,0,0,'Données projet'!$E$10+1,1))</f>
        <v>436.23918637269577</v>
      </c>
      <c r="AO80" s="59">
        <f t="shared" si="90"/>
        <v>611.43967996341894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38.745232797734701</v>
      </c>
      <c r="AV80" s="21">
        <f>EXP(-LN(2)/25)*AV79+(1-EXP(-LN(2)/25))/(LN(2)/25)*Calculateur!AQ80*Calculateur!AS80*VLOOKUP('Données projet'!$B$10,Paramètres!$A$1:$I$89,3,0)*0.475*44/12</f>
        <v>17.825182794800135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56.570415592534836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5.6843418860808015E-14</v>
      </c>
      <c r="BE80" s="13">
        <f>BD80*VLOOKUP('Données projet'!$B$11,Paramètres!$A$1:$I$89,3,0)*VLOOKUP('Données projet'!$B$11,Paramètres!$A$1:$I$89,5,0)</f>
        <v>4.4337866711430253E-14</v>
      </c>
      <c r="BF80" s="13">
        <f t="shared" si="91"/>
        <v>7.3222115536967035E-13</v>
      </c>
      <c r="BG80" s="20">
        <f t="shared" si="61"/>
        <v>1.3525069634579169E-12</v>
      </c>
      <c r="BH80" s="59">
        <f t="shared" si="62"/>
        <v>293.33333333333468</v>
      </c>
      <c r="BI80" s="59">
        <f ca="1">AVERAGE(OFFSET($BH$3,0,0,'Données projet'!$E$11+1,1))-AVERAGE(OFFSET($H$3,0,0,'Données projet'!$E$11+1,1))</f>
        <v>288.82868507674738</v>
      </c>
      <c r="BJ80" s="59">
        <f t="shared" si="92"/>
        <v>283.48738729114024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75.486452840426452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75.486452840426452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0.61285000000000023</v>
      </c>
      <c r="BY80" s="12">
        <f>IF('Données projet'!$A$114&gt;35,BY79+BX80-CG79,IF(A80&lt;'Données projet'!$A$114,$BV$205^A80,IF(A80='Données projet'!$A$114,'Données projet'!$B$114,BY79+BX80-CG79)))</f>
        <v>57.283450000000016</v>
      </c>
      <c r="BZ80" s="13">
        <f>BY80*VLOOKUP('Données projet'!$B$12,Paramètres!$A$1:$I$89,3,0)*VLOOKUP('Données projet'!$B$12,Paramètres!$A$1:$I$89,5,0)</f>
        <v>50.042821920000016</v>
      </c>
      <c r="CA80" s="13">
        <f t="shared" si="93"/>
        <v>14.624818059975958</v>
      </c>
      <c r="CB80" s="20">
        <f t="shared" si="64"/>
        <v>112.62947296512482</v>
      </c>
      <c r="CC80" s="59">
        <f t="shared" si="65"/>
        <v>405.96280629845813</v>
      </c>
      <c r="CD80" s="59">
        <f ca="1">AVERAGE(OFFSET($CC$3,0,0,'Données projet'!$E$12+1,1))-AVERAGE(OFFSET($H$3,0,0,'Données projet'!$E$12+1,1))</f>
        <v>93.329407403816901</v>
      </c>
      <c r="CE80" s="59">
        <f t="shared" si="94"/>
        <v>90.925148357295313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2.8232362385096685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2.8232362385096685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13</v>
      </c>
      <c r="CT80" s="12">
        <f>IF('Données projet'!$A$140&gt;35,CT79+CS80-DB79,IF(A80&lt;'Données projet'!$A$140,$CQ$205^A80,IF(A80='Données projet'!$A$140,'Données projet'!$B$140,CT79+CS80-DB79)))</f>
        <v>513.99999999999977</v>
      </c>
      <c r="CU80" s="17">
        <f>CT80*VLOOKUP('Données projet'!$B$13,Paramètres!$A$1:$I$89,3,0)*VLOOKUP('Données projet'!$B$13,Paramètres!$A$1:$I$89,5,0)</f>
        <v>489.1223999999998</v>
      </c>
      <c r="CV80" s="13">
        <f t="shared" si="95"/>
        <v>109.62798056611773</v>
      </c>
      <c r="CW80" s="20">
        <f t="shared" si="67"/>
        <v>1042.8235794859879</v>
      </c>
      <c r="CX80" s="59">
        <f t="shared" si="68"/>
        <v>1336.1569128193212</v>
      </c>
      <c r="CY80" s="59">
        <f ca="1">AVERAGE(OFFSET($CX$3,0,0,'Données projet'!$E$13+1,1))-AVERAGE(OFFSET($H$3,0,0,'Données projet'!$E$13+1,1))</f>
        <v>805.04572055352492</v>
      </c>
      <c r="CZ80" s="59">
        <f t="shared" si="96"/>
        <v>708.66645042414962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69.676793020337087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69.676793020337087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</v>
      </c>
      <c r="DO80" s="12">
        <f>IF('Données projet'!$A$166&gt;35,DO79+DN80-DW79,IF(A80&lt;'Données projet'!$A$166,$DL$205^A80,IF(A80='Données projet'!$A$166,'Données projet'!$B$166,DO79+DN80-DW79)))</f>
        <v>437.99999999999994</v>
      </c>
      <c r="DP80" s="17">
        <f>DO80*VLOOKUP('Données projet'!$B$14,Paramètres!$A$1:$I$89,3,0)*VLOOKUP('Données projet'!$B$14,Paramètres!$A$1:$I$89,5,0)</f>
        <v>293.81039999999996</v>
      </c>
      <c r="DQ80" s="13">
        <f t="shared" si="97"/>
        <v>69.877315366590224</v>
      </c>
      <c r="DR80" s="20">
        <f t="shared" si="70"/>
        <v>633.42277093014445</v>
      </c>
      <c r="DS80" s="59">
        <f t="shared" si="71"/>
        <v>926.75610426347771</v>
      </c>
      <c r="DT80" s="59">
        <f ca="1">AVERAGE(OFFSET($DS$3,0,0,'Données projet'!$E$14+1,1))-AVERAGE(OFFSET($H$3,0,0,'Données projet'!$E$14+1,1))</f>
        <v>482.69499576870095</v>
      </c>
      <c r="DU80" s="59">
        <f t="shared" si="98"/>
        <v>384.28918352579575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25.470822590648741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25.470822590648741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1.7053025658242404E-13</v>
      </c>
      <c r="EK80" s="17">
        <f>EJ80*VLOOKUP('Données projet'!$B$15,Paramètres!$A$1:$I$89,3,0)*VLOOKUP('Données projet'!$B$15,Paramètres!$A$1:$I$89,5,0)</f>
        <v>1.250327841262333E-13</v>
      </c>
      <c r="EL80" s="13">
        <f t="shared" si="99"/>
        <v>1.8301318724634299E-12</v>
      </c>
      <c r="EM80" s="20">
        <f t="shared" si="73"/>
        <v>3.405245110226996E-12</v>
      </c>
      <c r="EN80" s="59">
        <f t="shared" si="74"/>
        <v>293.33333333333672</v>
      </c>
      <c r="EO80" s="59">
        <f ca="1">AVERAGE(OFFSET($EN$3,0,0,'Données projet'!$E$15+1,1))-AVERAGE(OFFSET($H$3,0,0,'Données projet'!$E$15+1,1))</f>
        <v>197.34725966440715</v>
      </c>
      <c r="EP80" s="59">
        <f t="shared" si="100"/>
        <v>240.16326570529532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25.631488510933039</v>
      </c>
      <c r="EW80" s="21">
        <f>EXP(-LN(2)/25)*EW79+(1-EXP(-LN(2)/25))/(LN(2)/25)*Calculateur!ER80*Calculateur!ET80*VLOOKUP('Données projet'!$B$15,Paramètres!$A$1:$I$89,3,0)*0.475*44/12</f>
        <v>14.568790403339307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40.200278914272346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2.2737367544323206E-13</v>
      </c>
      <c r="FF80" s="17">
        <f>FE80*VLOOKUP('Données projet'!$B$16,Paramètres!$A$1:$I$89,3,0)*VLOOKUP('Données projet'!$B$16,Paramètres!$A$1:$I$89,5,0)</f>
        <v>1.2710188457276673E-13</v>
      </c>
      <c r="FG80" s="13">
        <f t="shared" si="101"/>
        <v>1.856866851063998E-12</v>
      </c>
      <c r="FH80" s="20">
        <f t="shared" si="76"/>
        <v>3.4554122145673649E-12</v>
      </c>
      <c r="FI80" s="59">
        <f t="shared" si="77"/>
        <v>293.33333333333678</v>
      </c>
      <c r="FJ80" s="59">
        <f ca="1">AVERAGE(OFFSET($FI$3,0,0,'Données projet'!$E$16+1,1))-AVERAGE(OFFSET($H$3,0,0,'Données projet'!$E$16+1,1))</f>
        <v>346.42094266871379</v>
      </c>
      <c r="FK80" s="59">
        <f t="shared" si="102"/>
        <v>453.48153556975973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122.30623131410246</v>
      </c>
      <c r="FR80" s="21">
        <f>EXP(-LN(2)/25)*FR79+(1-EXP(-LN(2)/25))/(LN(2)/25)*Calculateur!FM80*Calculateur!FO80*VLOOKUP('Données projet'!$B$16,Paramètres!$A$1:$I$89,3,0)*0.475*44/12</f>
        <v>65.85281272879395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188.15904404289643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-1.1368683772161603E-13</v>
      </c>
      <c r="GA80" s="17">
        <f>FZ80*VLOOKUP('Données projet'!$B$17,Paramètres!$A$1:$I$89,3,0)*VLOOKUP('Données projet'!$B$17,Paramètres!$A$1:$I$89,5,0)</f>
        <v>-5.3205440053716299E-14</v>
      </c>
      <c r="GB80" s="13" t="e">
        <f t="shared" si="103"/>
        <v>#NUM!</v>
      </c>
      <c r="GC80" s="20" t="e">
        <f t="shared" si="79"/>
        <v>#NUM!</v>
      </c>
      <c r="GD80" s="59" t="e">
        <f t="shared" si="80"/>
        <v>#NUM!</v>
      </c>
      <c r="GE80" s="59">
        <f ca="1">AVERAGE(OFFSET($GD$3,0,0,'Données projet'!$E$17+1,1))-AVERAGE(OFFSET($H$3,0,0,'Données projet'!$E$17+1,1))</f>
        <v>198.26255998041</v>
      </c>
      <c r="GF80" s="59">
        <f t="shared" si="104"/>
        <v>238.62101708181166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78.394534759175073</v>
      </c>
      <c r="GM80" s="21">
        <f>EXP(-LN(2)/25)*GM79+(1-EXP(-LN(2)/25))/(LN(2)/25)*Calculateur!GH80*Calculateur!GJ80*VLOOKUP('Données projet'!$B$17,Paramètres!$A$1:$I$89,3,0)*0.475*44/12</f>
        <v>38.864497965004311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117.25903272417938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9</v>
      </c>
      <c r="GU80" s="12">
        <f>IF('Données projet'!$A$270&gt;35,GU79+GT80-HC79,IF(A80&lt;'Données projet'!$A$270,$GR$205^A80,IF(A80='Données projet'!$A$270,'Données projet'!$B$270,GU79+GT80-HC79)))</f>
        <v>433.00000000000011</v>
      </c>
      <c r="GV80" s="17">
        <f>GU80*VLOOKUP('Données projet'!$B$18,Paramètres!$A$1:$I$89,3,0)*VLOOKUP('Données projet'!$B$18,Paramètres!$A$1:$I$89,5,0)</f>
        <v>498.81600000000014</v>
      </c>
      <c r="GW80" s="13">
        <f t="shared" si="105"/>
        <v>111.54553237916704</v>
      </c>
      <c r="GX80" s="20">
        <f t="shared" si="82"/>
        <v>1063.0463355603829</v>
      </c>
      <c r="GY80" s="59">
        <f t="shared" si="83"/>
        <v>1356.3796688937161</v>
      </c>
      <c r="GZ80" s="59">
        <f ca="1">AVERAGE(OFFSET($GY$3,0,0,'Données projet'!$E$18+1,1))-AVERAGE(OFFSET($H$3,0,0,'Données projet'!$E$18+1,1))</f>
        <v>604.0566904089452</v>
      </c>
      <c r="HA80" s="59">
        <f t="shared" si="106"/>
        <v>369.5187835902687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49.203430279788044</v>
      </c>
      <c r="HH80" s="21">
        <f>EXP(-LN(2)/25)*HH79+(1-EXP(-LN(2)/25))/(LN(2)/25)*Calculateur!HC80*Calculateur!HE80*VLOOKUP('Données projet'!$B$18,Paramètres!$A$1:$I$89,3,0)*0.475*44/12</f>
        <v>25.050221433559255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74.253651713347296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>
        <f>VLOOKUP(A81,'Données projet'!$A$35:$I$55,2,0)</f>
        <v>296</v>
      </c>
      <c r="L81" s="12">
        <f>VLOOKUP(A81,'Données projet'!$A$35:$I$55,9,0)</f>
        <v>8.1111111111111107</v>
      </c>
      <c r="M81" s="12">
        <f t="array" ref="M81">INDEX(L:L,MIN(IF(ISNUMBER(L81:L277),ROW(L81:L277),"")))</f>
        <v>8.1111111111111107</v>
      </c>
      <c r="N81" s="13">
        <f>IF('Données projet'!$A$36&gt;35,N80+M81-V80,IF(A81&lt;'Données projet'!$A$36,$K$205^A81,IF(A81='Données projet'!$A$36,'Données projet'!$B$36,N80+M81-V80)))</f>
        <v>295.99999999999989</v>
      </c>
      <c r="O81" s="13">
        <f>N81*VLOOKUP('Données projet'!$B$9,Paramètres!$A$1:$I$89,3,0)*VLOOKUP('Données projet'!$B$9,Paramètres!$A$1:$I$89,5,0)</f>
        <v>267.82079999999991</v>
      </c>
      <c r="P81" s="13">
        <f t="shared" si="87"/>
        <v>64.386570147897302</v>
      </c>
      <c r="Q81" s="20">
        <f t="shared" si="54"/>
        <v>578.5945030075876</v>
      </c>
      <c r="R81" s="59">
        <f t="shared" si="55"/>
        <v>871.92783634092098</v>
      </c>
      <c r="S81" s="59">
        <f ca="1">AVERAGE(OFFSET($R$3,0,0,'Données projet'!$E$9+1,1))-AVERAGE(OFFSET($H$3,0,0,'Données projet'!$E$9+1,1))</f>
        <v>528.20489749461376</v>
      </c>
      <c r="T81" s="59">
        <f t="shared" si="88"/>
        <v>276.26988364830532</v>
      </c>
      <c r="U81" s="15">
        <f>IF(ISNA(VLOOKUP(A81,'Données projet'!$A$35:$I$55,3,0)),0,VLOOKUP(A81,'Données projet'!$A$35:$I$55,3,0))</f>
        <v>6</v>
      </c>
      <c r="V81" s="15">
        <f>IF(ISNA(VLOOKUP(A81,'Données projet'!$A$35:$I$55,4,0)),0,VLOOKUP(A81,'Données projet'!$A$35:$I$55,4,0))</f>
        <v>49</v>
      </c>
      <c r="W81" s="16">
        <f>IF(ISNA(VLOOKUP(A81,'Données projet'!$A$35:$I$55,5,0)),0%,VLOOKUP(A81,'Données projet'!$A$35:$I$55,5,0)*VLOOKUP('Données projet'!$B$9,Paramètres!$A$1:$I$89,7,0))</f>
        <v>0.25800000000000001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41.364170311838201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41.364170311838201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2.2737367544323206E-13</v>
      </c>
      <c r="AJ81" s="13">
        <f>AI81*VLOOKUP('Données projet'!$B$10,Paramètres!$A$1:$I$89,3,0)*VLOOKUP('Données projet'!$B$10,Paramètres!$A$1:$I$89,5,0)</f>
        <v>2.0572770154103635E-13</v>
      </c>
      <c r="AK81" s="13">
        <f t="shared" si="89"/>
        <v>2.8416956338469711E-12</v>
      </c>
      <c r="AL81" s="20">
        <f t="shared" si="58"/>
        <v>5.3075956424674458E-12</v>
      </c>
      <c r="AM81" s="59">
        <f t="shared" si="59"/>
        <v>293.3333333333386</v>
      </c>
      <c r="AN81" s="59">
        <f ca="1">AVERAGE(OFFSET($AM$3,0,0,'Données projet'!$E$10+1,1))-AVERAGE(OFFSET($H$3,0,0,'Données projet'!$E$10+1,1))</f>
        <v>436.23918637269577</v>
      </c>
      <c r="AO81" s="59">
        <f t="shared" si="90"/>
        <v>611.43967996341894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37.985462414829641</v>
      </c>
      <c r="AV81" s="21">
        <f>EXP(-LN(2)/25)*AV80+(1-EXP(-LN(2)/25))/(LN(2)/25)*Calculateur!AQ81*Calculateur!AS81*VLOOKUP('Données projet'!$B$10,Paramètres!$A$1:$I$89,3,0)*0.475*44/12</f>
        <v>17.337752233890701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55.323214648720338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5.6843418860808015E-14</v>
      </c>
      <c r="BE81" s="13">
        <f>BD81*VLOOKUP('Données projet'!$B$11,Paramètres!$A$1:$I$89,3,0)*VLOOKUP('Données projet'!$B$11,Paramètres!$A$1:$I$89,5,0)</f>
        <v>4.4337866711430253E-14</v>
      </c>
      <c r="BF81" s="13">
        <f t="shared" si="91"/>
        <v>7.3222115536967035E-13</v>
      </c>
      <c r="BG81" s="20">
        <f t="shared" si="61"/>
        <v>1.3525069634579169E-12</v>
      </c>
      <c r="BH81" s="59">
        <f t="shared" si="62"/>
        <v>293.33333333333468</v>
      </c>
      <c r="BI81" s="59">
        <f ca="1">AVERAGE(OFFSET($BH$3,0,0,'Données projet'!$E$11+1,1))-AVERAGE(OFFSET($H$3,0,0,'Données projet'!$E$11+1,1))</f>
        <v>288.82868507674738</v>
      </c>
      <c r="BJ81" s="59">
        <f t="shared" si="92"/>
        <v>283.48738729114024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74.006209542415633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74.006209542415633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0.61285000000000023</v>
      </c>
      <c r="BY81" s="12">
        <f>IF('Données projet'!$A$114&gt;35,BY80+BX81-CG80,IF(A81&lt;'Données projet'!$A$114,$BV$205^A81,IF(A81='Données projet'!$A$114,'Données projet'!$B$114,BY80+BX81-CG80)))</f>
        <v>57.896300000000018</v>
      </c>
      <c r="BZ81" s="13">
        <f>BY81*VLOOKUP('Données projet'!$B$12,Paramètres!$A$1:$I$89,3,0)*VLOOKUP('Données projet'!$B$12,Paramètres!$A$1:$I$89,5,0)</f>
        <v>50.578207680000027</v>
      </c>
      <c r="CA81" s="13">
        <f t="shared" si="93"/>
        <v>14.762984247582521</v>
      </c>
      <c r="CB81" s="20">
        <f t="shared" si="64"/>
        <v>113.8025759405396</v>
      </c>
      <c r="CC81" s="59">
        <f t="shared" si="65"/>
        <v>407.13590927387293</v>
      </c>
      <c r="CD81" s="59">
        <f ca="1">AVERAGE(OFFSET($CC$3,0,0,'Données projet'!$E$12+1,1))-AVERAGE(OFFSET($H$3,0,0,'Données projet'!$E$12+1,1))</f>
        <v>93.329407403816901</v>
      </c>
      <c r="CE81" s="59">
        <f t="shared" si="94"/>
        <v>90.925148357295313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2.7678742978765656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2.7678742978765656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13</v>
      </c>
      <c r="CT81" s="12">
        <f>IF('Données projet'!$A$140&gt;35,CT80+CS81-DB80,IF(A81&lt;'Données projet'!$A$140,$CQ$205^A81,IF(A81='Données projet'!$A$140,'Données projet'!$B$140,CT80+CS81-DB80)))</f>
        <v>526.99999999999977</v>
      </c>
      <c r="CU81" s="17">
        <f>CT81*VLOOKUP('Données projet'!$B$13,Paramètres!$A$1:$I$89,3,0)*VLOOKUP('Données projet'!$B$13,Paramètres!$A$1:$I$89,5,0)</f>
        <v>501.49319999999977</v>
      </c>
      <c r="CV81" s="13">
        <f t="shared" si="95"/>
        <v>112.07435852496323</v>
      </c>
      <c r="CW81" s="20">
        <f t="shared" si="67"/>
        <v>1068.6301644309772</v>
      </c>
      <c r="CX81" s="59">
        <f t="shared" si="68"/>
        <v>1361.9634977643104</v>
      </c>
      <c r="CY81" s="59">
        <f ca="1">AVERAGE(OFFSET($CX$3,0,0,'Données projet'!$E$13+1,1))-AVERAGE(OFFSET($H$3,0,0,'Données projet'!$E$13+1,1))</f>
        <v>805.04572055352492</v>
      </c>
      <c r="CZ81" s="59">
        <f t="shared" si="96"/>
        <v>708.66645042414962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68.310473607855627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68.310473607855627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</v>
      </c>
      <c r="DO81" s="12">
        <f>IF('Données projet'!$A$166&gt;35,DO80+DN81-DW80,IF(A81&lt;'Données projet'!$A$166,$DL$205^A81,IF(A81='Données projet'!$A$166,'Données projet'!$B$166,DO80+DN81-DW80)))</f>
        <v>444.99999999999994</v>
      </c>
      <c r="DP81" s="17">
        <f>DO81*VLOOKUP('Données projet'!$B$14,Paramètres!$A$1:$I$89,3,0)*VLOOKUP('Données projet'!$B$14,Paramètres!$A$1:$I$89,5,0)</f>
        <v>298.50599999999997</v>
      </c>
      <c r="DQ81" s="13">
        <f t="shared" si="97"/>
        <v>70.863172745268301</v>
      </c>
      <c r="DR81" s="20">
        <f t="shared" si="70"/>
        <v>643.31797586467553</v>
      </c>
      <c r="DS81" s="59">
        <f t="shared" si="71"/>
        <v>936.6513091980089</v>
      </c>
      <c r="DT81" s="59">
        <f ca="1">AVERAGE(OFFSET($DS$3,0,0,'Données projet'!$E$14+1,1))-AVERAGE(OFFSET($H$3,0,0,'Données projet'!$E$14+1,1))</f>
        <v>482.69499576870095</v>
      </c>
      <c r="DU81" s="59">
        <f t="shared" si="98"/>
        <v>384.28918352579575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24.971355295313881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24.971355295313881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1.7053025658242404E-13</v>
      </c>
      <c r="EK81" s="17">
        <f>EJ81*VLOOKUP('Données projet'!$B$15,Paramètres!$A$1:$I$89,3,0)*VLOOKUP('Données projet'!$B$15,Paramètres!$A$1:$I$89,5,0)</f>
        <v>1.250327841262333E-13</v>
      </c>
      <c r="EL81" s="13">
        <f t="shared" si="99"/>
        <v>1.8301318724634299E-12</v>
      </c>
      <c r="EM81" s="20">
        <f t="shared" si="73"/>
        <v>3.405245110226996E-12</v>
      </c>
      <c r="EN81" s="59">
        <f t="shared" si="74"/>
        <v>293.33333333333672</v>
      </c>
      <c r="EO81" s="59">
        <f ca="1">AVERAGE(OFFSET($EN$3,0,0,'Données projet'!$E$15+1,1))-AVERAGE(OFFSET($H$3,0,0,'Données projet'!$E$15+1,1))</f>
        <v>197.34725966440715</v>
      </c>
      <c r="EP81" s="59">
        <f t="shared" si="100"/>
        <v>240.16326570529532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25.128870654897938</v>
      </c>
      <c r="EW81" s="21">
        <f>EXP(-LN(2)/25)*EW80+(1-EXP(-LN(2)/25))/(LN(2)/25)*Calculateur!ER81*Calculateur!ET81*VLOOKUP('Données projet'!$B$15,Paramètres!$A$1:$I$89,3,0)*0.475*44/12</f>
        <v>14.170406063620604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39.299276718518541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2.2737367544323206E-13</v>
      </c>
      <c r="FF81" s="17">
        <f>FE81*VLOOKUP('Données projet'!$B$16,Paramètres!$A$1:$I$89,3,0)*VLOOKUP('Données projet'!$B$16,Paramètres!$A$1:$I$89,5,0)</f>
        <v>1.2710188457276673E-13</v>
      </c>
      <c r="FG81" s="13">
        <f t="shared" si="101"/>
        <v>1.856866851063998E-12</v>
      </c>
      <c r="FH81" s="20">
        <f t="shared" si="76"/>
        <v>3.4554122145673649E-12</v>
      </c>
      <c r="FI81" s="59">
        <f t="shared" si="77"/>
        <v>293.33333333333678</v>
      </c>
      <c r="FJ81" s="59">
        <f ca="1">AVERAGE(OFFSET($FI$3,0,0,'Données projet'!$E$16+1,1))-AVERAGE(OFFSET($H$3,0,0,'Données projet'!$E$16+1,1))</f>
        <v>346.42094266871379</v>
      </c>
      <c r="FK81" s="59">
        <f t="shared" si="102"/>
        <v>453.48153556975973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119.90788071746793</v>
      </c>
      <c r="FR81" s="21">
        <f>EXP(-LN(2)/25)*FR80+(1-EXP(-LN(2)/25))/(LN(2)/25)*Calculateur!FM81*Calculateur!FO81*VLOOKUP('Données projet'!$B$16,Paramètres!$A$1:$I$89,3,0)*0.475*44/12</f>
        <v>64.052064101676166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183.95994481914408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-1.1368683772161603E-13</v>
      </c>
      <c r="GA81" s="17">
        <f>FZ81*VLOOKUP('Données projet'!$B$17,Paramètres!$A$1:$I$89,3,0)*VLOOKUP('Données projet'!$B$17,Paramètres!$A$1:$I$89,5,0)</f>
        <v>-5.3205440053716299E-14</v>
      </c>
      <c r="GB81" s="13" t="e">
        <f t="shared" si="103"/>
        <v>#NUM!</v>
      </c>
      <c r="GC81" s="20" t="e">
        <f t="shared" si="79"/>
        <v>#NUM!</v>
      </c>
      <c r="GD81" s="59" t="e">
        <f t="shared" si="80"/>
        <v>#NUM!</v>
      </c>
      <c r="GE81" s="59">
        <f ca="1">AVERAGE(OFFSET($GD$3,0,0,'Données projet'!$E$17+1,1))-AVERAGE(OFFSET($H$3,0,0,'Données projet'!$E$17+1,1))</f>
        <v>198.26255998041</v>
      </c>
      <c r="GF81" s="59">
        <f t="shared" si="104"/>
        <v>238.62101708181166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76.857265748492424</v>
      </c>
      <c r="GM81" s="21">
        <f>EXP(-LN(2)/25)*GM80+(1-EXP(-LN(2)/25))/(LN(2)/25)*Calculateur!GH81*Calculateur!GJ81*VLOOKUP('Données projet'!$B$17,Paramètres!$A$1:$I$89,3,0)*0.475*44/12</f>
        <v>37.801746224356144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114.65901197284856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9</v>
      </c>
      <c r="GU81" s="12">
        <f>IF('Données projet'!$A$270&gt;35,GU80+GT81-HC80,IF(A81&lt;'Données projet'!$A$270,$GR$205^A81,IF(A81='Données projet'!$A$270,'Données projet'!$B$270,GU80+GT81-HC80)))</f>
        <v>442.00000000000011</v>
      </c>
      <c r="GV81" s="17">
        <f>GU81*VLOOKUP('Données projet'!$B$18,Paramètres!$A$1:$I$89,3,0)*VLOOKUP('Données projet'!$B$18,Paramètres!$A$1:$I$89,5,0)</f>
        <v>509.18400000000008</v>
      </c>
      <c r="GW81" s="13">
        <f t="shared" si="105"/>
        <v>113.59169827242752</v>
      </c>
      <c r="GX81" s="20">
        <f t="shared" si="82"/>
        <v>1084.6676744911447</v>
      </c>
      <c r="GY81" s="59">
        <f t="shared" si="83"/>
        <v>1378.0010078244779</v>
      </c>
      <c r="GZ81" s="59">
        <f ca="1">AVERAGE(OFFSET($GY$3,0,0,'Données projet'!$E$18+1,1))-AVERAGE(OFFSET($H$3,0,0,'Données projet'!$E$18+1,1))</f>
        <v>604.0566904089452</v>
      </c>
      <c r="HA81" s="59">
        <f t="shared" si="106"/>
        <v>369.5187835902687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48.238581023130521</v>
      </c>
      <c r="HH81" s="21">
        <f>EXP(-LN(2)/25)*HH80+(1-EXP(-LN(2)/25))/(LN(2)/25)*Calculateur!HC81*Calculateur!HE81*VLOOKUP('Données projet'!$B$18,Paramètres!$A$1:$I$89,3,0)*0.475*44/12</f>
        <v>24.365221811124684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72.603802834255205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7.7777777777777777</v>
      </c>
      <c r="N82" s="13">
        <f>IF('Données projet'!$A$36&gt;35,N81+M82-V81,IF(A82&lt;'Données projet'!$A$36,$K$205^A82,IF(A82='Données projet'!$A$36,'Données projet'!$B$36,N81+M82-V81)))</f>
        <v>254.77777777777766</v>
      </c>
      <c r="O82" s="13">
        <f>N82*VLOOKUP('Données projet'!$B$9,Paramètres!$A$1:$I$89,3,0)*VLOOKUP('Données projet'!$B$9,Paramètres!$A$1:$I$89,5,0)</f>
        <v>230.52293333333321</v>
      </c>
      <c r="P82" s="13">
        <f t="shared" si="87"/>
        <v>56.395736994607496</v>
      </c>
      <c r="Q82" s="20">
        <f t="shared" si="54"/>
        <v>499.71668415449676</v>
      </c>
      <c r="R82" s="59">
        <f t="shared" si="55"/>
        <v>793.05001748783002</v>
      </c>
      <c r="S82" s="59">
        <f ca="1">AVERAGE(OFFSET($R$3,0,0,'Données projet'!$E$9+1,1))-AVERAGE(OFFSET($H$3,0,0,'Données projet'!$E$9+1,1))</f>
        <v>528.20489749461376</v>
      </c>
      <c r="T82" s="59">
        <f t="shared" si="88"/>
        <v>276.26988364830532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40.553044161675722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40.553044161675722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2.2737367544323206E-13</v>
      </c>
      <c r="AJ82" s="13">
        <f>AI82*VLOOKUP('Données projet'!$B$10,Paramètres!$A$1:$I$89,3,0)*VLOOKUP('Données projet'!$B$10,Paramètres!$A$1:$I$89,5,0)</f>
        <v>2.0572770154103635E-13</v>
      </c>
      <c r="AK82" s="13">
        <f t="shared" si="89"/>
        <v>2.8416956338469711E-12</v>
      </c>
      <c r="AL82" s="20">
        <f t="shared" si="58"/>
        <v>5.3075956424674458E-12</v>
      </c>
      <c r="AM82" s="59">
        <f t="shared" si="59"/>
        <v>293.3333333333386</v>
      </c>
      <c r="AN82" s="59">
        <f ca="1">AVERAGE(OFFSET($AM$3,0,0,'Données projet'!$E$10+1,1))-AVERAGE(OFFSET($H$3,0,0,'Données projet'!$E$10+1,1))</f>
        <v>436.23918637269577</v>
      </c>
      <c r="AO82" s="59">
        <f t="shared" si="90"/>
        <v>611.43967996341894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37.240590665719168</v>
      </c>
      <c r="AV82" s="21">
        <f>EXP(-LN(2)/25)*AV81+(1-EXP(-LN(2)/25))/(LN(2)/25)*Calculateur!AQ82*Calculateur!AS82*VLOOKUP('Données projet'!$B$10,Paramètres!$A$1:$I$89,3,0)*0.475*44/12</f>
        <v>16.863650487302195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54.104241153021363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5.6843418860808015E-14</v>
      </c>
      <c r="BE82" s="13">
        <f>BD82*VLOOKUP('Données projet'!$B$11,Paramètres!$A$1:$I$89,3,0)*VLOOKUP('Données projet'!$B$11,Paramètres!$A$1:$I$89,5,0)</f>
        <v>4.4337866711430253E-14</v>
      </c>
      <c r="BF82" s="13">
        <f t="shared" si="91"/>
        <v>7.3222115536967035E-13</v>
      </c>
      <c r="BG82" s="20">
        <f t="shared" si="61"/>
        <v>1.3525069634579169E-12</v>
      </c>
      <c r="BH82" s="59">
        <f t="shared" si="62"/>
        <v>293.33333333333468</v>
      </c>
      <c r="BI82" s="59">
        <f ca="1">AVERAGE(OFFSET($BH$3,0,0,'Données projet'!$E$11+1,1))-AVERAGE(OFFSET($H$3,0,0,'Données projet'!$E$11+1,1))</f>
        <v>288.82868507674738</v>
      </c>
      <c r="BJ82" s="59">
        <f t="shared" si="92"/>
        <v>283.48738729114024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72.554992912619539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72.554992912619539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0.61285000000000023</v>
      </c>
      <c r="BY82" s="12">
        <f>IF('Données projet'!$A$114&gt;35,BY81+BX82-CG81,IF(A82&lt;'Données projet'!$A$114,$BV$205^A82,IF(A82='Données projet'!$A$114,'Données projet'!$B$114,BY81+BX82-CG81)))</f>
        <v>58.50915000000002</v>
      </c>
      <c r="BZ82" s="13">
        <f>BY82*VLOOKUP('Données projet'!$B$12,Paramètres!$A$1:$I$89,3,0)*VLOOKUP('Données projet'!$B$12,Paramètres!$A$1:$I$89,5,0)</f>
        <v>51.113593440000024</v>
      </c>
      <c r="CA82" s="13">
        <f t="shared" si="93"/>
        <v>14.900980298026193</v>
      </c>
      <c r="CB82" s="20">
        <f t="shared" si="64"/>
        <v>114.97538259372898</v>
      </c>
      <c r="CC82" s="59">
        <f t="shared" si="65"/>
        <v>408.30871592706228</v>
      </c>
      <c r="CD82" s="59">
        <f ca="1">AVERAGE(OFFSET($CC$3,0,0,'Données projet'!$E$12+1,1))-AVERAGE(OFFSET($H$3,0,0,'Données projet'!$E$12+1,1))</f>
        <v>93.329407403816901</v>
      </c>
      <c r="CE82" s="59">
        <f t="shared" si="94"/>
        <v>90.925148357295313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2.7135979711318283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2.7135979711318283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13</v>
      </c>
      <c r="CT82" s="12">
        <f>IF('Données projet'!$A$140&gt;35,CT81+CS82-DB81,IF(A82&lt;'Données projet'!$A$140,$CQ$205^A82,IF(A82='Données projet'!$A$140,'Données projet'!$B$140,CT81+CS82-DB81)))</f>
        <v>539.99999999999977</v>
      </c>
      <c r="CU82" s="17">
        <f>CT82*VLOOKUP('Données projet'!$B$13,Paramètres!$A$1:$I$89,3,0)*VLOOKUP('Données projet'!$B$13,Paramètres!$A$1:$I$89,5,0)</f>
        <v>513.86399999999981</v>
      </c>
      <c r="CV82" s="13">
        <f t="shared" si="95"/>
        <v>114.5137214063981</v>
      </c>
      <c r="CW82" s="20">
        <f t="shared" si="67"/>
        <v>1094.4245314494763</v>
      </c>
      <c r="CX82" s="59">
        <f t="shared" si="68"/>
        <v>1387.7578647828095</v>
      </c>
      <c r="CY82" s="59">
        <f ca="1">AVERAGE(OFFSET($CX$3,0,0,'Données projet'!$E$13+1,1))-AVERAGE(OFFSET($H$3,0,0,'Données projet'!$E$13+1,1))</f>
        <v>805.04572055352492</v>
      </c>
      <c r="CZ82" s="59">
        <f t="shared" si="96"/>
        <v>708.66645042414962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66.970946885680377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66.970946885680377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</v>
      </c>
      <c r="DO82" s="12">
        <f>IF('Données projet'!$A$166&gt;35,DO81+DN82-DW81,IF(A82&lt;'Données projet'!$A$166,$DL$205^A82,IF(A82='Données projet'!$A$166,'Données projet'!$B$166,DO81+DN82-DW81)))</f>
        <v>451.99999999999994</v>
      </c>
      <c r="DP82" s="17">
        <f>DO82*VLOOKUP('Données projet'!$B$14,Paramètres!$A$1:$I$89,3,0)*VLOOKUP('Données projet'!$B$14,Paramètres!$A$1:$I$89,5,0)</f>
        <v>303.20159999999998</v>
      </c>
      <c r="DQ82" s="13">
        <f t="shared" si="97"/>
        <v>71.847226580953858</v>
      </c>
      <c r="DR82" s="20">
        <f t="shared" si="70"/>
        <v>653.21003962849466</v>
      </c>
      <c r="DS82" s="59">
        <f t="shared" si="71"/>
        <v>946.54337296182803</v>
      </c>
      <c r="DT82" s="59">
        <f ca="1">AVERAGE(OFFSET($DS$3,0,0,'Données projet'!$E$14+1,1))-AVERAGE(OFFSET($H$3,0,0,'Données projet'!$E$14+1,1))</f>
        <v>482.69499576870095</v>
      </c>
      <c r="DU82" s="59">
        <f t="shared" si="98"/>
        <v>384.28918352579575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24.481682248995568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24.481682248995568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1.7053025658242404E-13</v>
      </c>
      <c r="EK82" s="17">
        <f>EJ82*VLOOKUP('Données projet'!$B$15,Paramètres!$A$1:$I$89,3,0)*VLOOKUP('Données projet'!$B$15,Paramètres!$A$1:$I$89,5,0)</f>
        <v>1.250327841262333E-13</v>
      </c>
      <c r="EL82" s="13">
        <f t="shared" si="99"/>
        <v>1.8301318724634299E-12</v>
      </c>
      <c r="EM82" s="20">
        <f t="shared" si="73"/>
        <v>3.405245110226996E-12</v>
      </c>
      <c r="EN82" s="59">
        <f t="shared" si="74"/>
        <v>293.33333333333672</v>
      </c>
      <c r="EO82" s="59">
        <f ca="1">AVERAGE(OFFSET($EN$3,0,0,'Données projet'!$E$15+1,1))-AVERAGE(OFFSET($H$3,0,0,'Données projet'!$E$15+1,1))</f>
        <v>197.34725966440715</v>
      </c>
      <c r="EP82" s="59">
        <f t="shared" si="100"/>
        <v>240.16326570529532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24.636108828453064</v>
      </c>
      <c r="EW82" s="21">
        <f>EXP(-LN(2)/25)*EW81+(1-EXP(-LN(2)/25))/(LN(2)/25)*Calculateur!ER82*Calculateur!ET82*VLOOKUP('Données projet'!$B$15,Paramètres!$A$1:$I$89,3,0)*0.475*44/12</f>
        <v>13.78291556462163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38.419024393074693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2.2737367544323206E-13</v>
      </c>
      <c r="FF82" s="17">
        <f>FE82*VLOOKUP('Données projet'!$B$16,Paramètres!$A$1:$I$89,3,0)*VLOOKUP('Données projet'!$B$16,Paramètres!$A$1:$I$89,5,0)</f>
        <v>1.2710188457276673E-13</v>
      </c>
      <c r="FG82" s="13">
        <f t="shared" si="101"/>
        <v>1.856866851063998E-12</v>
      </c>
      <c r="FH82" s="20">
        <f t="shared" si="76"/>
        <v>3.4554122145673649E-12</v>
      </c>
      <c r="FI82" s="59">
        <f t="shared" si="77"/>
        <v>293.33333333333678</v>
      </c>
      <c r="FJ82" s="59">
        <f ca="1">AVERAGE(OFFSET($FI$3,0,0,'Données projet'!$E$16+1,1))-AVERAGE(OFFSET($H$3,0,0,'Données projet'!$E$16+1,1))</f>
        <v>346.42094266871379</v>
      </c>
      <c r="FK82" s="59">
        <f t="shared" si="102"/>
        <v>453.48153556975973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117.55656031318398</v>
      </c>
      <c r="FR82" s="21">
        <f>EXP(-LN(2)/25)*FR81+(1-EXP(-LN(2)/25))/(LN(2)/25)*Calculateur!FM82*Calculateur!FO82*VLOOKUP('Données projet'!$B$16,Paramètres!$A$1:$I$89,3,0)*0.475*44/12</f>
        <v>62.30055704046417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179.85711735364816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-1.1368683772161603E-13</v>
      </c>
      <c r="GA82" s="17">
        <f>FZ82*VLOOKUP('Données projet'!$B$17,Paramètres!$A$1:$I$89,3,0)*VLOOKUP('Données projet'!$B$17,Paramètres!$A$1:$I$89,5,0)</f>
        <v>-5.3205440053716299E-14</v>
      </c>
      <c r="GB82" s="13" t="e">
        <f t="shared" si="103"/>
        <v>#NUM!</v>
      </c>
      <c r="GC82" s="20" t="e">
        <f t="shared" si="79"/>
        <v>#NUM!</v>
      </c>
      <c r="GD82" s="59" t="e">
        <f t="shared" si="80"/>
        <v>#NUM!</v>
      </c>
      <c r="GE82" s="59">
        <f ca="1">AVERAGE(OFFSET($GD$3,0,0,'Données projet'!$E$17+1,1))-AVERAGE(OFFSET($H$3,0,0,'Données projet'!$E$17+1,1))</f>
        <v>198.26255998041</v>
      </c>
      <c r="GF82" s="59">
        <f t="shared" si="104"/>
        <v>238.62101708181166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75.350141645467744</v>
      </c>
      <c r="GM82" s="21">
        <f>EXP(-LN(2)/25)*GM81+(1-EXP(-LN(2)/25))/(LN(2)/25)*Calculateur!GH82*Calculateur!GJ82*VLOOKUP('Données projet'!$B$17,Paramètres!$A$1:$I$89,3,0)*0.475*44/12</f>
        <v>36.768055485943691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112.11819713141143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9</v>
      </c>
      <c r="GU82" s="12">
        <f>IF('Données projet'!$A$270&gt;35,GU81+GT82-HC81,IF(A82&lt;'Données projet'!$A$270,$GR$205^A82,IF(A82='Données projet'!$A$270,'Données projet'!$B$270,GU81+GT82-HC81)))</f>
        <v>451.00000000000011</v>
      </c>
      <c r="GV82" s="17">
        <f>GU82*VLOOKUP('Données projet'!$B$18,Paramètres!$A$1:$I$89,3,0)*VLOOKUP('Données projet'!$B$18,Paramètres!$A$1:$I$89,5,0)</f>
        <v>519.55200000000013</v>
      </c>
      <c r="GW82" s="13">
        <f t="shared" si="105"/>
        <v>115.63301986358766</v>
      </c>
      <c r="GX82" s="20">
        <f t="shared" si="82"/>
        <v>1106.2805762624153</v>
      </c>
      <c r="GY82" s="59">
        <f t="shared" si="83"/>
        <v>1399.6139095957485</v>
      </c>
      <c r="GZ82" s="59">
        <f ca="1">AVERAGE(OFFSET($GY$3,0,0,'Données projet'!$E$18+1,1))-AVERAGE(OFFSET($H$3,0,0,'Données projet'!$E$18+1,1))</f>
        <v>604.0566904089452</v>
      </c>
      <c r="HA82" s="59">
        <f t="shared" si="106"/>
        <v>369.5187835902687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47.292651871896112</v>
      </c>
      <c r="HH82" s="21">
        <f>EXP(-LN(2)/25)*HH81+(1-EXP(-LN(2)/25))/(LN(2)/25)*Calculateur!HC82*Calculateur!HE82*VLOOKUP('Données projet'!$B$18,Paramètres!$A$1:$I$89,3,0)*0.475*44/12</f>
        <v>23.698953539388153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70.991605411284269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7.7777777777777777</v>
      </c>
      <c r="N83" s="13">
        <f>IF('Données projet'!$A$36&gt;35,N82+M83-V82,IF(A83&lt;'Données projet'!$A$36,$K$205^A83,IF(A83='Données projet'!$A$36,'Données projet'!$B$36,N82+M83-V82)))</f>
        <v>262.55555555555543</v>
      </c>
      <c r="O83" s="13">
        <f>N83*VLOOKUP('Données projet'!$B$9,Paramètres!$A$1:$I$89,3,0)*VLOOKUP('Données projet'!$B$9,Paramètres!$A$1:$I$89,5,0)</f>
        <v>237.56026666666656</v>
      </c>
      <c r="P83" s="13">
        <f t="shared" si="87"/>
        <v>57.914298227932981</v>
      </c>
      <c r="Q83" s="20">
        <f t="shared" si="54"/>
        <v>514.61820052476094</v>
      </c>
      <c r="R83" s="59">
        <f t="shared" si="55"/>
        <v>807.95153385809431</v>
      </c>
      <c r="S83" s="59">
        <f ca="1">AVERAGE(OFFSET($R$3,0,0,'Données projet'!$E$9+1,1))-AVERAGE(OFFSET($H$3,0,0,'Données projet'!$E$9+1,1))</f>
        <v>528.20489749461376</v>
      </c>
      <c r="T83" s="59">
        <f t="shared" si="88"/>
        <v>276.26988364830532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39.757823700579827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39.757823700579827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2.2737367544323206E-13</v>
      </c>
      <c r="AJ83" s="13">
        <f>AI83*VLOOKUP('Données projet'!$B$10,Paramètres!$A$1:$I$89,3,0)*VLOOKUP('Données projet'!$B$10,Paramètres!$A$1:$I$89,5,0)</f>
        <v>2.0572770154103635E-13</v>
      </c>
      <c r="AK83" s="13">
        <f t="shared" si="89"/>
        <v>2.8416956338469711E-12</v>
      </c>
      <c r="AL83" s="20">
        <f t="shared" si="58"/>
        <v>5.3075956424674458E-12</v>
      </c>
      <c r="AM83" s="59">
        <f t="shared" si="59"/>
        <v>293.3333333333386</v>
      </c>
      <c r="AN83" s="59">
        <f ca="1">AVERAGE(OFFSET($AM$3,0,0,'Données projet'!$E$10+1,1))-AVERAGE(OFFSET($H$3,0,0,'Données projet'!$E$10+1,1))</f>
        <v>436.23918637269577</v>
      </c>
      <c r="AO83" s="59">
        <f t="shared" si="90"/>
        <v>611.43967996341894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36.510325397281846</v>
      </c>
      <c r="AV83" s="21">
        <f>EXP(-LN(2)/25)*AV82+(1-EXP(-LN(2)/25))/(LN(2)/25)*Calculateur!AQ83*Calculateur!AS83*VLOOKUP('Données projet'!$B$10,Paramètres!$A$1:$I$89,3,0)*0.475*44/12</f>
        <v>16.402513077906079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52.912838475187925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5.6843418860808015E-14</v>
      </c>
      <c r="BE83" s="13">
        <f>BD83*VLOOKUP('Données projet'!$B$11,Paramètres!$A$1:$I$89,3,0)*VLOOKUP('Données projet'!$B$11,Paramètres!$A$1:$I$89,5,0)</f>
        <v>4.4337866711430253E-14</v>
      </c>
      <c r="BF83" s="13">
        <f t="shared" si="91"/>
        <v>7.3222115536967035E-13</v>
      </c>
      <c r="BG83" s="20">
        <f t="shared" si="61"/>
        <v>1.3525069634579169E-12</v>
      </c>
      <c r="BH83" s="59">
        <f t="shared" si="62"/>
        <v>293.33333333333468</v>
      </c>
      <c r="BI83" s="59">
        <f ca="1">AVERAGE(OFFSET($BH$3,0,0,'Données projet'!$E$11+1,1))-AVERAGE(OFFSET($H$3,0,0,'Données projet'!$E$11+1,1))</f>
        <v>288.82868507674738</v>
      </c>
      <c r="BJ83" s="59">
        <f t="shared" si="92"/>
        <v>283.48738729114024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71.132233755779012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71.132233755779012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59.122</v>
      </c>
      <c r="BW83" s="12">
        <f>VLOOKUP(A83,'Données projet'!$A$113:$I$133,9,0)</f>
        <v>0.61285000000000023</v>
      </c>
      <c r="BX83" s="12">
        <f t="array" ref="BX83">INDEX(BW:BW,MIN(IF(ISNUMBER(BW83:BW279),ROW(BW83:BW279),"")))</f>
        <v>0.61285000000000023</v>
      </c>
      <c r="BY83" s="12">
        <f>IF('Données projet'!$A$114&gt;35,BY82+BX83-CG82,IF(A83&lt;'Données projet'!$A$114,$BV$205^A83,IF(A83='Données projet'!$A$114,'Données projet'!$B$114,BY82+BX83-CG82)))</f>
        <v>59.122000000000021</v>
      </c>
      <c r="BZ83" s="13">
        <f>BY83*VLOOKUP('Données projet'!$B$12,Paramètres!$A$1:$I$89,3,0)*VLOOKUP('Données projet'!$B$12,Paramètres!$A$1:$I$89,5,0)</f>
        <v>51.648979200000021</v>
      </c>
      <c r="CA83" s="13">
        <f t="shared" si="93"/>
        <v>15.038808199692765</v>
      </c>
      <c r="CB83" s="20">
        <f t="shared" si="64"/>
        <v>116.14789638779826</v>
      </c>
      <c r="CC83" s="59">
        <f t="shared" si="65"/>
        <v>409.48122972113157</v>
      </c>
      <c r="CD83" s="59">
        <f ca="1">AVERAGE(OFFSET($CC$3,0,0,'Données projet'!$E$12+1,1))-AVERAGE(OFFSET($H$3,0,0,'Données projet'!$E$12+1,1))</f>
        <v>93.329407403816901</v>
      </c>
      <c r="CE83" s="59">
        <f t="shared" si="94"/>
        <v>90.925148357295313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59.122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17.391261462837338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17.391261462837338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553</v>
      </c>
      <c r="CR83" s="12">
        <f>VLOOKUP(A83,'Données projet'!$A$139:$I$159,9,0)</f>
        <v>13</v>
      </c>
      <c r="CS83" s="12">
        <f t="array" ref="CS83">INDEX(CR:CR,MIN(IF(ISNUMBER(CR83:CR279),ROW(CR83:CR279),"")))</f>
        <v>13</v>
      </c>
      <c r="CT83" s="12">
        <f>IF('Données projet'!$A$140&gt;35,CT82+CS83-DB82,IF(A83&lt;'Données projet'!$A$140,$CQ$205^A83,IF(A83='Données projet'!$A$140,'Données projet'!$B$140,CT82+CS83-DB82)))</f>
        <v>552.99999999999977</v>
      </c>
      <c r="CU83" s="17">
        <f>CT83*VLOOKUP('Données projet'!$B$13,Paramètres!$A$1:$I$89,3,0)*VLOOKUP('Données projet'!$B$13,Paramètres!$A$1:$I$89,5,0)</f>
        <v>526.23479999999984</v>
      </c>
      <c r="CV83" s="13">
        <f t="shared" si="95"/>
        <v>116.94625752258527</v>
      </c>
      <c r="CW83" s="20">
        <f t="shared" si="67"/>
        <v>1120.2070085185023</v>
      </c>
      <c r="CX83" s="59">
        <f t="shared" si="68"/>
        <v>1413.5403418518356</v>
      </c>
      <c r="CY83" s="59">
        <f ca="1">AVERAGE(OFFSET($CX$3,0,0,'Données projet'!$E$13+1,1))-AVERAGE(OFFSET($H$3,0,0,'Données projet'!$E$13+1,1))</f>
        <v>805.04572055352492</v>
      </c>
      <c r="CZ83" s="59">
        <f t="shared" si="96"/>
        <v>708.66645042414962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56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80.856486644483397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80.856486644483397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459</v>
      </c>
      <c r="DM83" s="12">
        <f>VLOOKUP(A83,'Données projet'!$A$165:$I$185,9,0)</f>
        <v>7</v>
      </c>
      <c r="DN83" s="12">
        <f t="array" ref="DN83">INDEX(DM:DM,MIN(IF(ISNUMBER(DM83:DM279),ROW(DM83:DM279),"")))</f>
        <v>7</v>
      </c>
      <c r="DO83" s="12">
        <f>IF('Données projet'!$A$166&gt;35,DO82+DN83-DW82,IF(A83&lt;'Données projet'!$A$166,$DL$205^A83,IF(A83='Données projet'!$A$166,'Données projet'!$B$166,DO82+DN83-DW82)))</f>
        <v>458.99999999999994</v>
      </c>
      <c r="DP83" s="17">
        <f>DO83*VLOOKUP('Données projet'!$B$14,Paramètres!$A$1:$I$89,3,0)*VLOOKUP('Données projet'!$B$14,Paramètres!$A$1:$I$89,5,0)</f>
        <v>307.8972</v>
      </c>
      <c r="DQ83" s="13">
        <f t="shared" si="97"/>
        <v>72.829508030207904</v>
      </c>
      <c r="DR83" s="20">
        <f t="shared" si="70"/>
        <v>663.0990164859453</v>
      </c>
      <c r="DS83" s="59">
        <f t="shared" si="71"/>
        <v>956.43234981927867</v>
      </c>
      <c r="DT83" s="59">
        <f ca="1">AVERAGE(OFFSET($DS$3,0,0,'Données projet'!$E$14+1,1))-AVERAGE(OFFSET($H$3,0,0,'Données projet'!$E$14+1,1))</f>
        <v>482.69499576870095</v>
      </c>
      <c r="DU83" s="59">
        <f t="shared" si="98"/>
        <v>384.28918352579575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22</v>
      </c>
      <c r="DX83" s="16">
        <f>IF(ISNA(VLOOKUP(A83,'Données projet'!$A$165:$I$185,5,0)),0%,VLOOKUP(A83,'Données projet'!$A$165:$I$185,5,0)*VLOOKUP('Données projet'!$B$14,Paramètres!$A$1:$I$89,7,0))</f>
        <v>0.318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29.18949190845705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29.18949190845705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1.7053025658242404E-13</v>
      </c>
      <c r="EK83" s="17">
        <f>EJ83*VLOOKUP('Données projet'!$B$15,Paramètres!$A$1:$I$89,3,0)*VLOOKUP('Données projet'!$B$15,Paramètres!$A$1:$I$89,5,0)</f>
        <v>1.250327841262333E-13</v>
      </c>
      <c r="EL83" s="13">
        <f t="shared" si="99"/>
        <v>1.8301318724634299E-12</v>
      </c>
      <c r="EM83" s="20">
        <f t="shared" si="73"/>
        <v>3.405245110226996E-12</v>
      </c>
      <c r="EN83" s="59">
        <f t="shared" si="74"/>
        <v>293.33333333333672</v>
      </c>
      <c r="EO83" s="59">
        <f ca="1">AVERAGE(OFFSET($EN$3,0,0,'Données projet'!$E$15+1,1))-AVERAGE(OFFSET($H$3,0,0,'Données projet'!$E$15+1,1))</f>
        <v>197.34725966440715</v>
      </c>
      <c r="EP83" s="59">
        <f t="shared" si="100"/>
        <v>240.16326570529532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24.153009760869736</v>
      </c>
      <c r="EW83" s="21">
        <f>EXP(-LN(2)/25)*EW82+(1-EXP(-LN(2)/25))/(LN(2)/25)*Calculateur!ER83*Calculateur!ET83*VLOOKUP('Données projet'!$B$15,Paramètres!$A$1:$I$89,3,0)*0.475*44/12</f>
        <v>13.406021013695023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37.559030774564761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2.2737367544323206E-13</v>
      </c>
      <c r="FF83" s="17">
        <f>FE83*VLOOKUP('Données projet'!$B$16,Paramètres!$A$1:$I$89,3,0)*VLOOKUP('Données projet'!$B$16,Paramètres!$A$1:$I$89,5,0)</f>
        <v>1.2710188457276673E-13</v>
      </c>
      <c r="FG83" s="13">
        <f t="shared" si="101"/>
        <v>1.856866851063998E-12</v>
      </c>
      <c r="FH83" s="20">
        <f t="shared" si="76"/>
        <v>3.4554122145673649E-12</v>
      </c>
      <c r="FI83" s="59">
        <f t="shared" si="77"/>
        <v>293.33333333333678</v>
      </c>
      <c r="FJ83" s="59">
        <f ca="1">AVERAGE(OFFSET($FI$3,0,0,'Données projet'!$E$16+1,1))-AVERAGE(OFFSET($H$3,0,0,'Données projet'!$E$16+1,1))</f>
        <v>346.42094266871379</v>
      </c>
      <c r="FK83" s="59">
        <f t="shared" si="102"/>
        <v>453.48153556975973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115.25134786786421</v>
      </c>
      <c r="FR83" s="21">
        <f>EXP(-LN(2)/25)*FR82+(1-EXP(-LN(2)/25))/(LN(2)/25)*Calculateur!FM83*Calculateur!FO83*VLOOKUP('Données projet'!$B$16,Paramètres!$A$1:$I$89,3,0)*0.475*44/12</f>
        <v>60.596945031948771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175.84829289981298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-1.1368683772161603E-13</v>
      </c>
      <c r="GA83" s="17">
        <f>FZ83*VLOOKUP('Données projet'!$B$17,Paramètres!$A$1:$I$89,3,0)*VLOOKUP('Données projet'!$B$17,Paramètres!$A$1:$I$89,5,0)</f>
        <v>-5.3205440053716299E-14</v>
      </c>
      <c r="GB83" s="13" t="e">
        <f t="shared" si="103"/>
        <v>#NUM!</v>
      </c>
      <c r="GC83" s="20" t="e">
        <f t="shared" si="79"/>
        <v>#NUM!</v>
      </c>
      <c r="GD83" s="59" t="e">
        <f t="shared" si="80"/>
        <v>#NUM!</v>
      </c>
      <c r="GE83" s="59">
        <f ca="1">AVERAGE(OFFSET($GD$3,0,0,'Données projet'!$E$17+1,1))-AVERAGE(OFFSET($H$3,0,0,'Données projet'!$E$17+1,1))</f>
        <v>198.26255998041</v>
      </c>
      <c r="GF83" s="59">
        <f t="shared" si="104"/>
        <v>238.62101708181166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73.872571326848444</v>
      </c>
      <c r="GM83" s="21">
        <f>EXP(-LN(2)/25)*GM82+(1-EXP(-LN(2)/25))/(LN(2)/25)*Calculateur!GH83*Calculateur!GJ83*VLOOKUP('Données projet'!$B$17,Paramètres!$A$1:$I$89,3,0)*0.475*44/12</f>
        <v>35.76263107513256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109.635202401981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460</v>
      </c>
      <c r="GS83" s="12">
        <f>VLOOKUP(A83,'Données projet'!$A$269:$I$289,9,0)</f>
        <v>9</v>
      </c>
      <c r="GT83" s="12">
        <f t="array" ref="GT83">INDEX(GS:GS,MIN(IF(ISNUMBER(GS83:GS279),ROW(GS83:GS279),"")))</f>
        <v>9</v>
      </c>
      <c r="GU83" s="12">
        <f>IF('Données projet'!$A$270&gt;35,GU82+GT83-HC82,IF(A83&lt;'Données projet'!$A$270,$GR$205^A83,IF(A83='Données projet'!$A$270,'Données projet'!$B$270,GU82+GT83-HC82)))</f>
        <v>460.00000000000011</v>
      </c>
      <c r="GV83" s="17">
        <f>GU83*VLOOKUP('Données projet'!$B$18,Paramètres!$A$1:$I$89,3,0)*VLOOKUP('Données projet'!$B$18,Paramètres!$A$1:$I$89,5,0)</f>
        <v>529.92000000000007</v>
      </c>
      <c r="GW83" s="13">
        <f t="shared" si="105"/>
        <v>117.66960496558828</v>
      </c>
      <c r="GX83" s="20">
        <f t="shared" si="82"/>
        <v>1127.8852286483996</v>
      </c>
      <c r="GY83" s="59">
        <f t="shared" si="83"/>
        <v>1421.2185619817328</v>
      </c>
      <c r="GZ83" s="59">
        <f ca="1">AVERAGE(OFFSET($GY$3,0,0,'Données projet'!$E$18+1,1))-AVERAGE(OFFSET($H$3,0,0,'Données projet'!$E$18+1,1))</f>
        <v>604.0566904089452</v>
      </c>
      <c r="HA83" s="59">
        <f t="shared" si="106"/>
        <v>369.5187835902687</v>
      </c>
      <c r="HB83" s="15">
        <f>IF(ISNA(VLOOKUP(A83,'Données projet'!$A$269:$I$289,3,0)),0,VLOOKUP(A83,'Données projet'!$A$269:$I$289,3,0))</f>
        <v>8</v>
      </c>
      <c r="HC83" s="15">
        <f>IF(ISNA(VLOOKUP(A83,'Données projet'!$A$269:$I$289,4,0)),0,VLOOKUP(A83,'Données projet'!$A$269:$I$289,4,0))</f>
        <v>45</v>
      </c>
      <c r="HD83" s="16">
        <f>IF(ISNA(VLOOKUP(A83,'Données projet'!$A$269:$I$289,5,0)),0%,VLOOKUP(A83,'Données projet'!$A$269:$I$289,5,0)*VLOOKUP('Données projet'!$B$18,Paramètres!$A$1:$I$89,7,0))</f>
        <v>0.315</v>
      </c>
      <c r="HE83" s="16">
        <f>IF(ISNA(VLOOKUP(A83,'Données projet'!$A$269:$I$289,6,0)),0%,VLOOKUP(A83,'Données projet'!$A$269:$I$289,6,0)*VLOOKUP('Données projet'!$B$18,Paramètres!$A$1:$I$89,7,0))</f>
        <v>0.13500000000000001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58.098999735611415</v>
      </c>
      <c r="HH83" s="21">
        <f>EXP(-LN(2)/25)*HH82+(1-EXP(-LN(2)/25))/(LN(2)/25)*Calculateur!HC83*Calculateur!HE83*VLOOKUP('Données projet'!$B$18,Paramètres!$A$1:$I$89,3,0)*0.475*44/12</f>
        <v>28.05984487866278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86.158844614274187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7.7777777777777777</v>
      </c>
      <c r="N84" s="13">
        <f>IF('Données projet'!$A$36&gt;35,N83+M84-V83,IF(A84&lt;'Données projet'!$A$36,$K$205^A84,IF(A84='Données projet'!$A$36,'Données projet'!$B$36,N83+M84-V83)))</f>
        <v>270.3333333333332</v>
      </c>
      <c r="O84" s="13">
        <f>N84*VLOOKUP('Données projet'!$B$9,Paramètres!$A$1:$I$89,3,0)*VLOOKUP('Données projet'!$B$9,Paramètres!$A$1:$I$89,5,0)</f>
        <v>244.59759999999986</v>
      </c>
      <c r="P84" s="13">
        <f t="shared" si="87"/>
        <v>59.427631429904153</v>
      </c>
      <c r="Q84" s="20">
        <f t="shared" si="54"/>
        <v>529.51061140708282</v>
      </c>
      <c r="R84" s="59">
        <f t="shared" si="55"/>
        <v>822.84394474041619</v>
      </c>
      <c r="S84" s="59">
        <f ca="1">AVERAGE(OFFSET($R$3,0,0,'Données projet'!$E$9+1,1))-AVERAGE(OFFSET($H$3,0,0,'Données projet'!$E$9+1,1))</f>
        <v>528.20489749461376</v>
      </c>
      <c r="T84" s="59">
        <f t="shared" si="88"/>
        <v>276.26988364830532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38.97819702768944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38.97819702768944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2.2737367544323206E-13</v>
      </c>
      <c r="AJ84" s="13">
        <f>AI84*VLOOKUP('Données projet'!$B$10,Paramètres!$A$1:$I$89,3,0)*VLOOKUP('Données projet'!$B$10,Paramètres!$A$1:$I$89,5,0)</f>
        <v>2.0572770154103635E-13</v>
      </c>
      <c r="AK84" s="13">
        <f t="shared" si="89"/>
        <v>2.8416956338469711E-12</v>
      </c>
      <c r="AL84" s="20">
        <f t="shared" si="58"/>
        <v>5.3075956424674458E-12</v>
      </c>
      <c r="AM84" s="59">
        <f t="shared" si="59"/>
        <v>293.3333333333386</v>
      </c>
      <c r="AN84" s="59">
        <f ca="1">AVERAGE(OFFSET($AM$3,0,0,'Données projet'!$E$10+1,1))-AVERAGE(OFFSET($H$3,0,0,'Données projet'!$E$10+1,1))</f>
        <v>436.23918637269577</v>
      </c>
      <c r="AO84" s="59">
        <f t="shared" si="90"/>
        <v>611.43967996341894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35.794380185340749</v>
      </c>
      <c r="AV84" s="21">
        <f>EXP(-LN(2)/25)*AV83+(1-EXP(-LN(2)/25))/(LN(2)/25)*Calculateur!AQ84*Calculateur!AS84*VLOOKUP('Données projet'!$B$10,Paramètres!$A$1:$I$89,3,0)*0.475*44/12</f>
        <v>15.953985495220063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51.748365680560809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4.4337866711430253E-14</v>
      </c>
      <c r="BF84" s="13">
        <f t="shared" si="91"/>
        <v>7.3222115536967035E-13</v>
      </c>
      <c r="BG84" s="20">
        <f t="shared" si="61"/>
        <v>1.3525069634579169E-12</v>
      </c>
      <c r="BH84" s="59">
        <f t="shared" si="62"/>
        <v>293.33333333333468</v>
      </c>
      <c r="BI84" s="59">
        <f ca="1">AVERAGE(OFFSET($BH$3,0,0,'Données projet'!$E$11+1,1))-AVERAGE(OFFSET($H$3,0,0,'Données projet'!$E$11+1,1))</f>
        <v>288.82868507674738</v>
      </c>
      <c r="BJ84" s="59">
        <f t="shared" si="92"/>
        <v>283.48738729114024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69.737374038206724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69.737374038206724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2.1316282072803006E-14</v>
      </c>
      <c r="BZ84" s="13">
        <f>BY84*VLOOKUP('Données projet'!$B$12,Paramètres!$A$1:$I$89,3,0)*VLOOKUP('Données projet'!$B$12,Paramètres!$A$1:$I$89,5,0)</f>
        <v>1.8621904018800709E-14</v>
      </c>
      <c r="CA84" s="13">
        <f t="shared" si="93"/>
        <v>3.40208645124969E-13</v>
      </c>
      <c r="CB84" s="20">
        <f t="shared" si="64"/>
        <v>6.2496320642539887E-13</v>
      </c>
      <c r="CC84" s="59">
        <f t="shared" si="65"/>
        <v>293.33333333333394</v>
      </c>
      <c r="CD84" s="59">
        <f ca="1">AVERAGE(OFFSET($CC$3,0,0,'Données projet'!$E$12+1,1))-AVERAGE(OFFSET($H$3,0,0,'Données projet'!$E$12+1,1))</f>
        <v>93.329407403816901</v>
      </c>
      <c r="CE84" s="59">
        <f t="shared" si="94"/>
        <v>90.925148357295313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17.050229433173175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17.050229433173175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12.2</v>
      </c>
      <c r="CT84" s="12">
        <f>IF('Données projet'!$A$140&gt;35,CT83+CS84-DB83,IF(A84&lt;'Données projet'!$A$140,$CQ$205^A84,IF(A84='Données projet'!$A$140,'Données projet'!$B$140,CT83+CS84-DB83)))</f>
        <v>509.19999999999982</v>
      </c>
      <c r="CU84" s="17">
        <f>CT84*VLOOKUP('Données projet'!$B$13,Paramètres!$A$1:$I$89,3,0)*VLOOKUP('Données projet'!$B$13,Paramètres!$A$1:$I$89,5,0)</f>
        <v>484.55471999999986</v>
      </c>
      <c r="CV84" s="13">
        <f t="shared" si="95"/>
        <v>108.72288999751899</v>
      </c>
      <c r="CW84" s="20">
        <f t="shared" si="67"/>
        <v>1033.2918374123453</v>
      </c>
      <c r="CX84" s="59">
        <f t="shared" si="68"/>
        <v>1326.6251707456786</v>
      </c>
      <c r="CY84" s="59">
        <f ca="1">AVERAGE(OFFSET($CX$3,0,0,'Données projet'!$E$13+1,1))-AVERAGE(OFFSET($H$3,0,0,'Données projet'!$E$13+1,1))</f>
        <v>805.04572055352492</v>
      </c>
      <c r="CZ84" s="59">
        <f t="shared" si="96"/>
        <v>708.66645042414962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79.270940258972217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79.270940258972217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7</v>
      </c>
      <c r="DO84" s="12">
        <f>IF('Données projet'!$A$166&gt;35,DO83+DN84-DW83,IF(A84&lt;'Données projet'!$A$166,$DL$205^A84,IF(A84='Données projet'!$A$166,'Données projet'!$B$166,DO83+DN84-DW83)))</f>
        <v>443.99999999999994</v>
      </c>
      <c r="DP84" s="17">
        <f>DO84*VLOOKUP('Données projet'!$B$14,Paramètres!$A$1:$I$89,3,0)*VLOOKUP('Données projet'!$B$14,Paramètres!$A$1:$I$89,5,0)</f>
        <v>297.83519999999993</v>
      </c>
      <c r="DQ84" s="13">
        <f t="shared" si="97"/>
        <v>70.722447137509803</v>
      </c>
      <c r="DR84" s="20">
        <f t="shared" si="70"/>
        <v>641.90456876449605</v>
      </c>
      <c r="DS84" s="59">
        <f t="shared" si="71"/>
        <v>935.23790209782942</v>
      </c>
      <c r="DT84" s="59">
        <f ca="1">AVERAGE(OFFSET($DS$3,0,0,'Données projet'!$E$14+1,1))-AVERAGE(OFFSET($H$3,0,0,'Données projet'!$E$14+1,1))</f>
        <v>482.69499576870095</v>
      </c>
      <c r="DU84" s="59">
        <f t="shared" si="98"/>
        <v>384.28918352579575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28.617103775964289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28.617103775964289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1.7053025658242404E-13</v>
      </c>
      <c r="EK84" s="17">
        <f>EJ84*VLOOKUP('Données projet'!$B$15,Paramètres!$A$1:$I$89,3,0)*VLOOKUP('Données projet'!$B$15,Paramètres!$A$1:$I$89,5,0)</f>
        <v>1.250327841262333E-13</v>
      </c>
      <c r="EL84" s="13">
        <f t="shared" si="99"/>
        <v>1.8301318724634299E-12</v>
      </c>
      <c r="EM84" s="20">
        <f t="shared" si="73"/>
        <v>3.405245110226996E-12</v>
      </c>
      <c r="EN84" s="59">
        <f t="shared" si="74"/>
        <v>293.33333333333672</v>
      </c>
      <c r="EO84" s="59">
        <f ca="1">AVERAGE(OFFSET($EN$3,0,0,'Données projet'!$E$15+1,1))-AVERAGE(OFFSET($H$3,0,0,'Données projet'!$E$15+1,1))</f>
        <v>197.34725966440715</v>
      </c>
      <c r="EP84" s="59">
        <f t="shared" si="100"/>
        <v>240.16326570529532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23.679383971340382</v>
      </c>
      <c r="EW84" s="21">
        <f>EXP(-LN(2)/25)*EW83+(1-EXP(-LN(2)/25))/(LN(2)/25)*Calculateur!ER84*Calculateur!ET84*VLOOKUP('Données projet'!$B$15,Paramètres!$A$1:$I$89,3,0)*0.475*44/12</f>
        <v>13.039432664083527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36.718816635423906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2.2737367544323206E-13</v>
      </c>
      <c r="FF84" s="17">
        <f>FE84*VLOOKUP('Données projet'!$B$16,Paramètres!$A$1:$I$89,3,0)*VLOOKUP('Données projet'!$B$16,Paramètres!$A$1:$I$89,5,0)</f>
        <v>1.2710188457276673E-13</v>
      </c>
      <c r="FG84" s="13">
        <f t="shared" si="101"/>
        <v>1.856866851063998E-12</v>
      </c>
      <c r="FH84" s="20">
        <f t="shared" si="76"/>
        <v>3.4554122145673649E-12</v>
      </c>
      <c r="FI84" s="59">
        <f t="shared" si="77"/>
        <v>293.33333333333678</v>
      </c>
      <c r="FJ84" s="59">
        <f ca="1">AVERAGE(OFFSET($FI$3,0,0,'Données projet'!$E$16+1,1))-AVERAGE(OFFSET($H$3,0,0,'Données projet'!$E$16+1,1))</f>
        <v>346.42094266871379</v>
      </c>
      <c r="FK84" s="59">
        <f t="shared" si="102"/>
        <v>453.48153556975973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112.9913392325564</v>
      </c>
      <c r="FR84" s="21">
        <f>EXP(-LN(2)/25)*FR83+(1-EXP(-LN(2)/25))/(LN(2)/25)*Calculateur!FM84*Calculateur!FO84*VLOOKUP('Données projet'!$B$16,Paramètres!$A$1:$I$89,3,0)*0.475*44/12</f>
        <v>58.939918383395288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171.93125761595169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-1.1368683772161603E-13</v>
      </c>
      <c r="GA84" s="17">
        <f>FZ84*VLOOKUP('Données projet'!$B$17,Paramètres!$A$1:$I$89,3,0)*VLOOKUP('Données projet'!$B$17,Paramètres!$A$1:$I$89,5,0)</f>
        <v>-5.3205440053716299E-14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198.26255998041</v>
      </c>
      <c r="GF84" s="59">
        <f t="shared" si="104"/>
        <v>238.62101708181166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72.423975260948367</v>
      </c>
      <c r="GM84" s="21">
        <f>EXP(-LN(2)/25)*GM83+(1-EXP(-LN(2)/25))/(LN(2)/25)*Calculateur!GH84*Calculateur!GJ84*VLOOKUP('Données projet'!$B$17,Paramètres!$A$1:$I$89,3,0)*0.475*44/12</f>
        <v>34.784700047708029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107.2086753086564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8.1999999999999993</v>
      </c>
      <c r="GU84" s="12">
        <f>IF('Données projet'!$A$270&gt;35,GU83+GT84-HC83,IF(A84&lt;'Données projet'!$A$270,$GR$205^A84,IF(A84='Données projet'!$A$270,'Données projet'!$B$270,GU83+GT84-HC83)))</f>
        <v>423.2000000000001</v>
      </c>
      <c r="GV84" s="17">
        <f>GU84*VLOOKUP('Données projet'!$B$18,Paramètres!$A$1:$I$89,3,0)*VLOOKUP('Données projet'!$B$18,Paramètres!$A$1:$I$89,5,0)</f>
        <v>487.52640000000008</v>
      </c>
      <c r="GW84" s="13">
        <f t="shared" si="105"/>
        <v>109.31184378755202</v>
      </c>
      <c r="GX84" s="20">
        <f t="shared" si="82"/>
        <v>1039.4932745966532</v>
      </c>
      <c r="GY84" s="59">
        <f t="shared" si="83"/>
        <v>1332.8266079299865</v>
      </c>
      <c r="GZ84" s="59">
        <f ca="1">AVERAGE(OFFSET($GY$3,0,0,'Données projet'!$E$18+1,1))-AVERAGE(OFFSET($H$3,0,0,'Données projet'!$E$18+1,1))</f>
        <v>604.0566904089452</v>
      </c>
      <c r="HA84" s="59">
        <f t="shared" si="106"/>
        <v>369.5187835902687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56.959713787686809</v>
      </c>
      <c r="HH84" s="21">
        <f>EXP(-LN(2)/25)*HH83+(1-EXP(-LN(2)/25))/(LN(2)/25)*Calculateur!HC84*Calculateur!HE84*VLOOKUP('Données projet'!$B$18,Paramètres!$A$1:$I$89,3,0)*0.475*44/12</f>
        <v>27.292546944852635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84.25226073253944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7.7777777777777777</v>
      </c>
      <c r="N85" s="13">
        <f>IF('Données projet'!$A$36&gt;35,N84+M85-V84,IF(A85&lt;'Données projet'!$A$36,$K$205^A85,IF(A85='Données projet'!$A$36,'Données projet'!$B$36,N84+M85-V84)))</f>
        <v>278.11111111111097</v>
      </c>
      <c r="O85" s="13">
        <f>N85*VLOOKUP('Données projet'!$B$9,Paramètres!$A$1:$I$89,3,0)*VLOOKUP('Données projet'!$B$9,Paramètres!$A$1:$I$89,5,0)</f>
        <v>251.63493333333321</v>
      </c>
      <c r="P85" s="13">
        <f t="shared" si="87"/>
        <v>60.935904290989214</v>
      </c>
      <c r="Q85" s="20">
        <f t="shared" si="54"/>
        <v>544.39420886236155</v>
      </c>
      <c r="R85" s="59">
        <f t="shared" si="55"/>
        <v>837.72754219569492</v>
      </c>
      <c r="S85" s="59">
        <f ca="1">AVERAGE(OFFSET($R$3,0,0,'Données projet'!$E$9+1,1))-AVERAGE(OFFSET($H$3,0,0,'Données projet'!$E$9+1,1))</f>
        <v>528.20489749461376</v>
      </c>
      <c r="T85" s="59">
        <f t="shared" si="88"/>
        <v>276.26988364830532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38.213858358329112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38.213858358329112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2.2737367544323206E-13</v>
      </c>
      <c r="AJ85" s="13">
        <f>AI85*VLOOKUP('Données projet'!$B$10,Paramètres!$A$1:$I$89,3,0)*VLOOKUP('Données projet'!$B$10,Paramètres!$A$1:$I$89,5,0)</f>
        <v>2.0572770154103635E-13</v>
      </c>
      <c r="AK85" s="13">
        <f t="shared" si="89"/>
        <v>2.8416956338469711E-12</v>
      </c>
      <c r="AL85" s="20">
        <f t="shared" si="58"/>
        <v>5.3075956424674458E-12</v>
      </c>
      <c r="AM85" s="59">
        <f t="shared" si="59"/>
        <v>293.3333333333386</v>
      </c>
      <c r="AN85" s="59">
        <f ca="1">AVERAGE(OFFSET($AM$3,0,0,'Données projet'!$E$10+1,1))-AVERAGE(OFFSET($H$3,0,0,'Données projet'!$E$10+1,1))</f>
        <v>436.23918637269577</v>
      </c>
      <c r="AO85" s="59">
        <f t="shared" si="90"/>
        <v>611.43967996341894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35.092474222322359</v>
      </c>
      <c r="AV85" s="21">
        <f>EXP(-LN(2)/25)*AV84+(1-EXP(-LN(2)/25))/(LN(2)/25)*Calculateur!AQ85*Calculateur!AS85*VLOOKUP('Données projet'!$B$10,Paramètres!$A$1:$I$89,3,0)*0.475*44/12</f>
        <v>15.517722922869638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50.610197145191997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4.4337866711430253E-14</v>
      </c>
      <c r="BF85" s="13">
        <f t="shared" si="91"/>
        <v>7.3222115536967035E-13</v>
      </c>
      <c r="BG85" s="20">
        <f t="shared" si="61"/>
        <v>1.3525069634579169E-12</v>
      </c>
      <c r="BH85" s="59">
        <f t="shared" si="62"/>
        <v>293.33333333333468</v>
      </c>
      <c r="BI85" s="59">
        <f ca="1">AVERAGE(OFFSET($BH$3,0,0,'Données projet'!$E$11+1,1))-AVERAGE(OFFSET($H$3,0,0,'Données projet'!$E$11+1,1))</f>
        <v>288.82868507674738</v>
      </c>
      <c r="BJ85" s="59">
        <f t="shared" si="92"/>
        <v>283.48738729114024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68.369866668915606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68.369866668915606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2.1316282072803006E-14</v>
      </c>
      <c r="BZ85" s="13">
        <f>BY85*VLOOKUP('Données projet'!$B$12,Paramètres!$A$1:$I$89,3,0)*VLOOKUP('Données projet'!$B$12,Paramètres!$A$1:$I$89,5,0)</f>
        <v>1.8621904018800709E-14</v>
      </c>
      <c r="CA85" s="13">
        <f t="shared" si="93"/>
        <v>3.40208645124969E-13</v>
      </c>
      <c r="CB85" s="20">
        <f t="shared" si="64"/>
        <v>6.2496320642539887E-13</v>
      </c>
      <c r="CC85" s="59">
        <f t="shared" si="65"/>
        <v>293.33333333333394</v>
      </c>
      <c r="CD85" s="59">
        <f ca="1">AVERAGE(OFFSET($CC$3,0,0,'Données projet'!$E$12+1,1))-AVERAGE(OFFSET($H$3,0,0,'Données projet'!$E$12+1,1))</f>
        <v>93.329407403816901</v>
      </c>
      <c r="CE85" s="59">
        <f t="shared" si="94"/>
        <v>90.925148357295313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16.715884833601727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16.715884833601727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12.2</v>
      </c>
      <c r="CT85" s="12">
        <f>IF('Données projet'!$A$140&gt;35,CT84+CS85-DB84,IF(A85&lt;'Données projet'!$A$140,$CQ$205^A85,IF(A85='Données projet'!$A$140,'Données projet'!$B$140,CT84+CS85-DB84)))</f>
        <v>521.39999999999986</v>
      </c>
      <c r="CU85" s="17">
        <f>CT85*VLOOKUP('Données projet'!$B$13,Paramètres!$A$1:$I$89,3,0)*VLOOKUP('Données projet'!$B$13,Paramètres!$A$1:$I$89,5,0)</f>
        <v>496.16423999999989</v>
      </c>
      <c r="CV85" s="13">
        <f t="shared" si="95"/>
        <v>111.02140560801963</v>
      </c>
      <c r="CW85" s="20">
        <f t="shared" si="67"/>
        <v>1057.5149994339674</v>
      </c>
      <c r="CX85" s="59">
        <f t="shared" si="68"/>
        <v>1350.8483327673007</v>
      </c>
      <c r="CY85" s="59">
        <f ca="1">AVERAGE(OFFSET($CX$3,0,0,'Données projet'!$E$13+1,1))-AVERAGE(OFFSET($H$3,0,0,'Données projet'!$E$13+1,1))</f>
        <v>805.04572055352492</v>
      </c>
      <c r="CZ85" s="59">
        <f t="shared" si="96"/>
        <v>708.66645042414962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77.716485470993121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77.716485470993121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7</v>
      </c>
      <c r="DO85" s="12">
        <f>IF('Données projet'!$A$166&gt;35,DO84+DN85-DW84,IF(A85&lt;'Données projet'!$A$166,$DL$205^A85,IF(A85='Données projet'!$A$166,'Données projet'!$B$166,DO84+DN85-DW84)))</f>
        <v>450.99999999999994</v>
      </c>
      <c r="DP85" s="17">
        <f>DO85*VLOOKUP('Données projet'!$B$14,Paramètres!$A$1:$I$89,3,0)*VLOOKUP('Données projet'!$B$14,Paramètres!$A$1:$I$89,5,0)</f>
        <v>302.5308</v>
      </c>
      <c r="DQ85" s="13">
        <f t="shared" si="97"/>
        <v>71.706756690602205</v>
      </c>
      <c r="DR85" s="20">
        <f t="shared" si="70"/>
        <v>651.79707790279883</v>
      </c>
      <c r="DS85" s="59">
        <f t="shared" si="71"/>
        <v>945.1304112361322</v>
      </c>
      <c r="DT85" s="59">
        <f ca="1">AVERAGE(OFFSET($DS$3,0,0,'Données projet'!$E$14+1,1))-AVERAGE(OFFSET($H$3,0,0,'Données projet'!$E$14+1,1))</f>
        <v>482.69499576870095</v>
      </c>
      <c r="DU85" s="59">
        <f t="shared" si="98"/>
        <v>384.28918352579575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28.055939825627423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28.055939825627423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1.7053025658242404E-13</v>
      </c>
      <c r="EK85" s="17">
        <f>EJ85*VLOOKUP('Données projet'!$B$15,Paramètres!$A$1:$I$89,3,0)*VLOOKUP('Données projet'!$B$15,Paramètres!$A$1:$I$89,5,0)</f>
        <v>1.250327841262333E-13</v>
      </c>
      <c r="EL85" s="13">
        <f t="shared" si="99"/>
        <v>1.8301318724634299E-12</v>
      </c>
      <c r="EM85" s="20">
        <f t="shared" si="73"/>
        <v>3.405245110226996E-12</v>
      </c>
      <c r="EN85" s="59">
        <f t="shared" si="74"/>
        <v>293.33333333333672</v>
      </c>
      <c r="EO85" s="59">
        <f ca="1">AVERAGE(OFFSET($EN$3,0,0,'Données projet'!$E$15+1,1))-AVERAGE(OFFSET($H$3,0,0,'Données projet'!$E$15+1,1))</f>
        <v>197.34725966440715</v>
      </c>
      <c r="EP85" s="59">
        <f t="shared" si="100"/>
        <v>240.16326570529532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23.215045694660493</v>
      </c>
      <c r="EW85" s="21">
        <f>EXP(-LN(2)/25)*EW84+(1-EXP(-LN(2)/25))/(LN(2)/25)*Calculateur!ER85*Calculateur!ET85*VLOOKUP('Données projet'!$B$15,Paramètres!$A$1:$I$89,3,0)*0.475*44/12</f>
        <v>12.682868692170201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35.897914386830692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2.2737367544323206E-13</v>
      </c>
      <c r="FF85" s="17">
        <f>FE85*VLOOKUP('Données projet'!$B$16,Paramètres!$A$1:$I$89,3,0)*VLOOKUP('Données projet'!$B$16,Paramètres!$A$1:$I$89,5,0)</f>
        <v>1.2710188457276673E-13</v>
      </c>
      <c r="FG85" s="13">
        <f t="shared" si="101"/>
        <v>1.856866851063998E-12</v>
      </c>
      <c r="FH85" s="20">
        <f t="shared" si="76"/>
        <v>3.4554122145673649E-12</v>
      </c>
      <c r="FI85" s="59">
        <f t="shared" si="77"/>
        <v>293.33333333333678</v>
      </c>
      <c r="FJ85" s="59">
        <f ca="1">AVERAGE(OFFSET($FI$3,0,0,'Données projet'!$E$16+1,1))-AVERAGE(OFFSET($H$3,0,0,'Données projet'!$E$16+1,1))</f>
        <v>346.42094266871379</v>
      </c>
      <c r="FK85" s="59">
        <f t="shared" si="102"/>
        <v>453.48153556975973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110.77564798811783</v>
      </c>
      <c r="FR85" s="21">
        <f>EXP(-LN(2)/25)*FR84+(1-EXP(-LN(2)/25))/(LN(2)/25)*Calculateur!FM85*Calculateur!FO85*VLOOKUP('Données projet'!$B$16,Paramètres!$A$1:$I$89,3,0)*0.475*44/12</f>
        <v>57.328203215685747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168.10385120380357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-1.1368683772161603E-13</v>
      </c>
      <c r="GA85" s="17">
        <f>FZ85*VLOOKUP('Données projet'!$B$17,Paramètres!$A$1:$I$89,3,0)*VLOOKUP('Données projet'!$B$17,Paramètres!$A$1:$I$89,5,0)</f>
        <v>-5.3205440053716299E-14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198.26255998041</v>
      </c>
      <c r="GF85" s="59">
        <f t="shared" si="104"/>
        <v>238.62101708181166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71.003785280344232</v>
      </c>
      <c r="GM85" s="21">
        <f>EXP(-LN(2)/25)*GM84+(1-EXP(-LN(2)/25))/(LN(2)/25)*Calculateur!GH85*Calculateur!GJ85*VLOOKUP('Données projet'!$B$17,Paramètres!$A$1:$I$89,3,0)*0.475*44/12</f>
        <v>33.833510595655575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104.83729587599981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8.1999999999999993</v>
      </c>
      <c r="GU85" s="12">
        <f>IF('Données projet'!$A$270&gt;35,GU84+GT85-HC84,IF(A85&lt;'Données projet'!$A$270,$GR$205^A85,IF(A85='Données projet'!$A$270,'Données projet'!$B$270,GU84+GT85-HC84)))</f>
        <v>431.40000000000009</v>
      </c>
      <c r="GV85" s="17">
        <f>GU85*VLOOKUP('Données projet'!$B$18,Paramètres!$A$1:$I$89,3,0)*VLOOKUP('Données projet'!$B$18,Paramètres!$A$1:$I$89,5,0)</f>
        <v>496.97280000000006</v>
      </c>
      <c r="GW85" s="13">
        <f t="shared" si="105"/>
        <v>111.18125391983803</v>
      </c>
      <c r="GX85" s="20">
        <f t="shared" si="82"/>
        <v>1059.2016439103847</v>
      </c>
      <c r="GY85" s="59">
        <f t="shared" si="83"/>
        <v>1352.534977243718</v>
      </c>
      <c r="GZ85" s="59">
        <f ca="1">AVERAGE(OFFSET($GY$3,0,0,'Données projet'!$E$18+1,1))-AVERAGE(OFFSET($H$3,0,0,'Données projet'!$E$18+1,1))</f>
        <v>604.0566904089452</v>
      </c>
      <c r="HA85" s="59">
        <f t="shared" si="106"/>
        <v>369.5187835902687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55.842768542305194</v>
      </c>
      <c r="HH85" s="21">
        <f>EXP(-LN(2)/25)*HH84+(1-EXP(-LN(2)/25))/(LN(2)/25)*Calculateur!HC85*Calculateur!HE85*VLOOKUP('Données projet'!$B$18,Paramètres!$A$1:$I$89,3,0)*0.475*44/12</f>
        <v>26.546230813392974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82.388999355698161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7.7777777777777777</v>
      </c>
      <c r="N86" s="13">
        <f>IF('Données projet'!$A$36&gt;35,N85+M86-V85,IF(A86&lt;'Données projet'!$A$36,$K$205^A86,IF(A86='Données projet'!$A$36,'Données projet'!$B$36,N85+M86-V85)))</f>
        <v>285.88888888888874</v>
      </c>
      <c r="O86" s="13">
        <f>N86*VLOOKUP('Données projet'!$B$9,Paramètres!$A$1:$I$89,3,0)*VLOOKUP('Données projet'!$B$9,Paramètres!$A$1:$I$89,5,0)</f>
        <v>258.67226666666653</v>
      </c>
      <c r="P86" s="13">
        <f t="shared" si="87"/>
        <v>62.439274588593669</v>
      </c>
      <c r="Q86" s="20">
        <f t="shared" si="54"/>
        <v>559.2692676862448</v>
      </c>
      <c r="R86" s="59">
        <f t="shared" si="55"/>
        <v>852.60260101957806</v>
      </c>
      <c r="S86" s="59">
        <f ca="1">AVERAGE(OFFSET($R$3,0,0,'Données projet'!$E$9+1,1))-AVERAGE(OFFSET($H$3,0,0,'Données projet'!$E$9+1,1))</f>
        <v>528.20489749461376</v>
      </c>
      <c r="T86" s="59">
        <f t="shared" si="88"/>
        <v>276.26988364830532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37.464507904074388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37.464507904074388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2.2737367544323206E-13</v>
      </c>
      <c r="AJ86" s="13">
        <f>AI86*VLOOKUP('Données projet'!$B$10,Paramètres!$A$1:$I$89,3,0)*VLOOKUP('Données projet'!$B$10,Paramètres!$A$1:$I$89,5,0)</f>
        <v>2.0572770154103635E-13</v>
      </c>
      <c r="AK86" s="13">
        <f t="shared" si="89"/>
        <v>2.8416956338469711E-12</v>
      </c>
      <c r="AL86" s="20">
        <f t="shared" si="58"/>
        <v>5.3075956424674458E-12</v>
      </c>
      <c r="AM86" s="59">
        <f t="shared" si="59"/>
        <v>293.3333333333386</v>
      </c>
      <c r="AN86" s="59">
        <f ca="1">AVERAGE(OFFSET($AM$3,0,0,'Données projet'!$E$10+1,1))-AVERAGE(OFFSET($H$3,0,0,'Données projet'!$E$10+1,1))</f>
        <v>436.23918637269577</v>
      </c>
      <c r="AO86" s="59">
        <f t="shared" si="90"/>
        <v>611.43967996341894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34.404332207118394</v>
      </c>
      <c r="AV86" s="21">
        <f>EXP(-LN(2)/25)*AV85+(1-EXP(-LN(2)/25))/(LN(2)/25)*Calculateur!AQ86*Calculateur!AS86*VLOOKUP('Données projet'!$B$10,Paramètres!$A$1:$I$89,3,0)*0.475*44/12</f>
        <v>15.093389973502186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49.497722180620578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4.4337866711430253E-14</v>
      </c>
      <c r="BF86" s="13">
        <f t="shared" si="91"/>
        <v>7.3222115536967035E-13</v>
      </c>
      <c r="BG86" s="20">
        <f t="shared" si="61"/>
        <v>1.3525069634579169E-12</v>
      </c>
      <c r="BH86" s="59">
        <f t="shared" si="62"/>
        <v>293.33333333333468</v>
      </c>
      <c r="BI86" s="59">
        <f ca="1">AVERAGE(OFFSET($BH$3,0,0,'Données projet'!$E$11+1,1))-AVERAGE(OFFSET($H$3,0,0,'Données projet'!$E$11+1,1))</f>
        <v>288.82868507674738</v>
      </c>
      <c r="BJ86" s="59">
        <f t="shared" si="92"/>
        <v>283.48738729114024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67.029175285039159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67.029175285039159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2.1316282072803006E-14</v>
      </c>
      <c r="BZ86" s="13">
        <f>BY86*VLOOKUP('Données projet'!$B$12,Paramètres!$A$1:$I$89,3,0)*VLOOKUP('Données projet'!$B$12,Paramètres!$A$1:$I$89,5,0)</f>
        <v>1.8621904018800709E-14</v>
      </c>
      <c r="CA86" s="13">
        <f t="shared" si="93"/>
        <v>3.40208645124969E-13</v>
      </c>
      <c r="CB86" s="20">
        <f t="shared" si="64"/>
        <v>6.2496320642539887E-13</v>
      </c>
      <c r="CC86" s="59">
        <f t="shared" si="65"/>
        <v>293.33333333333394</v>
      </c>
      <c r="CD86" s="59">
        <f ca="1">AVERAGE(OFFSET($CC$3,0,0,'Données projet'!$E$12+1,1))-AVERAGE(OFFSET($H$3,0,0,'Données projet'!$E$12+1,1))</f>
        <v>93.329407403816901</v>
      </c>
      <c r="CE86" s="59">
        <f t="shared" si="94"/>
        <v>90.925148357295313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16.388096527697805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16.388096527697805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12.2</v>
      </c>
      <c r="CT86" s="12">
        <f>IF('Données projet'!$A$140&gt;35,CT85+CS86-DB85,IF(A86&lt;'Données projet'!$A$140,$CQ$205^A86,IF(A86='Données projet'!$A$140,'Données projet'!$B$140,CT85+CS86-DB85)))</f>
        <v>533.59999999999991</v>
      </c>
      <c r="CU86" s="17">
        <f>CT86*VLOOKUP('Données projet'!$B$13,Paramètres!$A$1:$I$89,3,0)*VLOOKUP('Données projet'!$B$13,Paramètres!$A$1:$I$89,5,0)</f>
        <v>507.77375999999992</v>
      </c>
      <c r="CV86" s="13">
        <f t="shared" si="95"/>
        <v>113.31366891804166</v>
      </c>
      <c r="CW86" s="20">
        <f t="shared" si="67"/>
        <v>1081.7272720322558</v>
      </c>
      <c r="CX86" s="59">
        <f t="shared" si="68"/>
        <v>1375.060605365589</v>
      </c>
      <c r="CY86" s="59">
        <f ca="1">AVERAGE(OFFSET($CX$3,0,0,'Données projet'!$E$13+1,1))-AVERAGE(OFFSET($H$3,0,0,'Données projet'!$E$13+1,1))</f>
        <v>805.04572055352492</v>
      </c>
      <c r="CZ86" s="59">
        <f t="shared" si="96"/>
        <v>708.66645042414962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76.192512593282487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76.192512593282487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7</v>
      </c>
      <c r="DO86" s="12">
        <f>IF('Données projet'!$A$166&gt;35,DO85+DN86-DW85,IF(A86&lt;'Données projet'!$A$166,$DL$205^A86,IF(A86='Données projet'!$A$166,'Données projet'!$B$166,DO85+DN86-DW85)))</f>
        <v>457.99999999999994</v>
      </c>
      <c r="DP86" s="17">
        <f>DO86*VLOOKUP('Données projet'!$B$14,Paramètres!$A$1:$I$89,3,0)*VLOOKUP('Données projet'!$B$14,Paramètres!$A$1:$I$89,5,0)</f>
        <v>307.22639999999996</v>
      </c>
      <c r="DQ86" s="13">
        <f t="shared" si="97"/>
        <v>72.689289468980533</v>
      </c>
      <c r="DR86" s="20">
        <f t="shared" si="70"/>
        <v>661.6864924918076</v>
      </c>
      <c r="DS86" s="59">
        <f t="shared" si="71"/>
        <v>955.01982582514097</v>
      </c>
      <c r="DT86" s="59">
        <f ca="1">AVERAGE(OFFSET($DS$3,0,0,'Données projet'!$E$14+1,1))-AVERAGE(OFFSET($H$3,0,0,'Données projet'!$E$14+1,1))</f>
        <v>482.69499576870095</v>
      </c>
      <c r="DU86" s="59">
        <f t="shared" si="98"/>
        <v>384.28918352579575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27.505779958080449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27.505779958080449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1.7053025658242404E-13</v>
      </c>
      <c r="EK86" s="17">
        <f>EJ86*VLOOKUP('Données projet'!$B$15,Paramètres!$A$1:$I$89,3,0)*VLOOKUP('Données projet'!$B$15,Paramètres!$A$1:$I$89,5,0)</f>
        <v>1.250327841262333E-13</v>
      </c>
      <c r="EL86" s="13">
        <f t="shared" si="99"/>
        <v>1.8301318724634299E-12</v>
      </c>
      <c r="EM86" s="20">
        <f t="shared" si="73"/>
        <v>3.405245110226996E-12</v>
      </c>
      <c r="EN86" s="59">
        <f t="shared" si="74"/>
        <v>293.33333333333672</v>
      </c>
      <c r="EO86" s="59">
        <f ca="1">AVERAGE(OFFSET($EN$3,0,0,'Données projet'!$E$15+1,1))-AVERAGE(OFFSET($H$3,0,0,'Données projet'!$E$15+1,1))</f>
        <v>197.34725966440715</v>
      </c>
      <c r="EP86" s="59">
        <f t="shared" si="100"/>
        <v>240.16326570529532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22.759812808367911</v>
      </c>
      <c r="EW86" s="21">
        <f>EXP(-LN(2)/25)*EW85+(1-EXP(-LN(2)/25))/(LN(2)/25)*Calculateur!ER86*Calculateur!ET86*VLOOKUP('Données projet'!$B$15,Paramètres!$A$1:$I$89,3,0)*0.475*44/12</f>
        <v>12.33605498081973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35.095867789187643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2.2737367544323206E-13</v>
      </c>
      <c r="FF86" s="17">
        <f>FE86*VLOOKUP('Données projet'!$B$16,Paramètres!$A$1:$I$89,3,0)*VLOOKUP('Données projet'!$B$16,Paramètres!$A$1:$I$89,5,0)</f>
        <v>1.2710188457276673E-13</v>
      </c>
      <c r="FG86" s="13">
        <f t="shared" si="101"/>
        <v>1.856866851063998E-12</v>
      </c>
      <c r="FH86" s="20">
        <f t="shared" si="76"/>
        <v>3.4554122145673649E-12</v>
      </c>
      <c r="FI86" s="59">
        <f t="shared" si="77"/>
        <v>293.33333333333678</v>
      </c>
      <c r="FJ86" s="59">
        <f ca="1">AVERAGE(OFFSET($FI$3,0,0,'Données projet'!$E$16+1,1))-AVERAGE(OFFSET($H$3,0,0,'Données projet'!$E$16+1,1))</f>
        <v>346.42094266871379</v>
      </c>
      <c r="FK86" s="59">
        <f t="shared" si="102"/>
        <v>453.48153556975973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108.60340509754447</v>
      </c>
      <c r="FR86" s="21">
        <f>EXP(-LN(2)/25)*FR85+(1-EXP(-LN(2)/25))/(LN(2)/25)*Calculateur!FM86*Calculateur!FO86*VLOOKUP('Données projet'!$B$16,Paramètres!$A$1:$I$89,3,0)*0.475*44/12</f>
        <v>55.760560483993636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164.36396558153811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-1.1368683772161603E-13</v>
      </c>
      <c r="GA86" s="17">
        <f>FZ86*VLOOKUP('Données projet'!$B$17,Paramètres!$A$1:$I$89,3,0)*VLOOKUP('Données projet'!$B$17,Paramètres!$A$1:$I$89,5,0)</f>
        <v>-5.3205440053716299E-14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198.26255998041</v>
      </c>
      <c r="GF86" s="59">
        <f t="shared" si="104"/>
        <v>238.62101708181166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69.611444359029392</v>
      </c>
      <c r="GM86" s="21">
        <f>EXP(-LN(2)/25)*GM85+(1-EXP(-LN(2)/25))/(LN(2)/25)*Calculateur!GH86*Calculateur!GJ86*VLOOKUP('Données projet'!$B$17,Paramètres!$A$1:$I$89,3,0)*0.475*44/12</f>
        <v>32.908331469190379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102.51977582821976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8.1999999999999993</v>
      </c>
      <c r="GU86" s="12">
        <f>IF('Données projet'!$A$270&gt;35,GU85+GT86-HC85,IF(A86&lt;'Données projet'!$A$270,$GR$205^A86,IF(A86='Données projet'!$A$270,'Données projet'!$B$270,GU85+GT86-HC85)))</f>
        <v>439.60000000000008</v>
      </c>
      <c r="GV86" s="17">
        <f>GU86*VLOOKUP('Données projet'!$B$18,Paramètres!$A$1:$I$89,3,0)*VLOOKUP('Données projet'!$B$18,Paramètres!$A$1:$I$89,5,0)</f>
        <v>506.41920000000005</v>
      </c>
      <c r="GW86" s="13">
        <f t="shared" si="105"/>
        <v>113.04653225891806</v>
      </c>
      <c r="GX86" s="20">
        <f t="shared" si="82"/>
        <v>1078.9028170176157</v>
      </c>
      <c r="GY86" s="59">
        <f t="shared" si="83"/>
        <v>1372.2361503509489</v>
      </c>
      <c r="GZ86" s="59">
        <f ca="1">AVERAGE(OFFSET($GY$3,0,0,'Données projet'!$E$18+1,1))-AVERAGE(OFFSET($H$3,0,0,'Données projet'!$E$18+1,1))</f>
        <v>604.0566904089452</v>
      </c>
      <c r="HA86" s="59">
        <f t="shared" si="106"/>
        <v>369.5187835902687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54.747725911916184</v>
      </c>
      <c r="HH86" s="21">
        <f>EXP(-LN(2)/25)*HH85+(1-EXP(-LN(2)/25))/(LN(2)/25)*Calculateur!HC86*Calculateur!HE86*VLOOKUP('Données projet'!$B$18,Paramètres!$A$1:$I$89,3,0)*0.475*44/12</f>
        <v>25.820322735795138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80.568048647711322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7.7777777777777777</v>
      </c>
      <c r="N87" s="13">
        <f>IF('Données projet'!$A$36&gt;35,N86+M87-V86,IF(A87&lt;'Données projet'!$A$36,$K$205^A87,IF(A87='Données projet'!$A$36,'Données projet'!$B$36,N86+M87-V86)))</f>
        <v>293.66666666666652</v>
      </c>
      <c r="O87" s="13">
        <f>N87*VLOOKUP('Données projet'!$B$9,Paramètres!$A$1:$I$89,3,0)*VLOOKUP('Données projet'!$B$9,Paramètres!$A$1:$I$89,5,0)</f>
        <v>265.70959999999985</v>
      </c>
      <c r="P87" s="13">
        <f t="shared" si="87"/>
        <v>63.937891026614295</v>
      </c>
      <c r="Q87" s="20">
        <f t="shared" si="54"/>
        <v>574.13604687135296</v>
      </c>
      <c r="R87" s="59">
        <f t="shared" si="55"/>
        <v>867.46938020468633</v>
      </c>
      <c r="S87" s="59">
        <f ca="1">AVERAGE(OFFSET($R$3,0,0,'Données projet'!$E$9+1,1))-AVERAGE(OFFSET($H$3,0,0,'Données projet'!$E$9+1,1))</f>
        <v>528.20489749461376</v>
      </c>
      <c r="T87" s="59">
        <f t="shared" si="88"/>
        <v>276.26988364830532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36.729851755168951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36.729851755168951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2.2737367544323206E-13</v>
      </c>
      <c r="AJ87" s="13">
        <f>AI87*VLOOKUP('Données projet'!$B$10,Paramètres!$A$1:$I$89,3,0)*VLOOKUP('Données projet'!$B$10,Paramètres!$A$1:$I$89,5,0)</f>
        <v>2.0572770154103635E-13</v>
      </c>
      <c r="AK87" s="13">
        <f t="shared" si="89"/>
        <v>2.8416956338469711E-12</v>
      </c>
      <c r="AL87" s="20">
        <f t="shared" si="58"/>
        <v>5.3075956424674458E-12</v>
      </c>
      <c r="AM87" s="59">
        <f t="shared" si="59"/>
        <v>293.3333333333386</v>
      </c>
      <c r="AN87" s="59">
        <f ca="1">AVERAGE(OFFSET($AM$3,0,0,'Données projet'!$E$10+1,1))-AVERAGE(OFFSET($H$3,0,0,'Données projet'!$E$10+1,1))</f>
        <v>436.23918637269577</v>
      </c>
      <c r="AO87" s="59">
        <f t="shared" si="90"/>
        <v>611.43967996341894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33.729684237107392</v>
      </c>
      <c r="AV87" s="21">
        <f>EXP(-LN(2)/25)*AV86+(1-EXP(-LN(2)/25))/(LN(2)/25)*Calculateur!AQ87*Calculateur!AS87*VLOOKUP('Données projet'!$B$10,Paramètres!$A$1:$I$89,3,0)*0.475*44/12</f>
        <v>14.680660430949887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48.410344668057277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4.4337866711430253E-14</v>
      </c>
      <c r="BF87" s="13">
        <f t="shared" si="91"/>
        <v>7.3222115536967035E-13</v>
      </c>
      <c r="BG87" s="20">
        <f t="shared" si="61"/>
        <v>1.3525069634579169E-12</v>
      </c>
      <c r="BH87" s="59">
        <f t="shared" si="62"/>
        <v>293.33333333333468</v>
      </c>
      <c r="BI87" s="59">
        <f ca="1">AVERAGE(OFFSET($BH$3,0,0,'Données projet'!$E$11+1,1))-AVERAGE(OFFSET($H$3,0,0,'Données projet'!$E$11+1,1))</f>
        <v>288.82868507674738</v>
      </c>
      <c r="BJ87" s="59">
        <f t="shared" si="92"/>
        <v>283.48738729114024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65.714774041459535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65.714774041459535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2.1316282072803006E-14</v>
      </c>
      <c r="BZ87" s="13">
        <f>BY87*VLOOKUP('Données projet'!$B$12,Paramètres!$A$1:$I$89,3,0)*VLOOKUP('Données projet'!$B$12,Paramètres!$A$1:$I$89,5,0)</f>
        <v>1.8621904018800709E-14</v>
      </c>
      <c r="CA87" s="13">
        <f t="shared" si="93"/>
        <v>3.40208645124969E-13</v>
      </c>
      <c r="CB87" s="20">
        <f t="shared" si="64"/>
        <v>6.2496320642539887E-13</v>
      </c>
      <c r="CC87" s="59">
        <f t="shared" si="65"/>
        <v>293.33333333333394</v>
      </c>
      <c r="CD87" s="59">
        <f ca="1">AVERAGE(OFFSET($CC$3,0,0,'Données projet'!$E$12+1,1))-AVERAGE(OFFSET($H$3,0,0,'Données projet'!$E$12+1,1))</f>
        <v>93.329407403816901</v>
      </c>
      <c r="CE87" s="59">
        <f t="shared" si="94"/>
        <v>90.925148357295313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16.066735950541535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16.066735950541535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12.2</v>
      </c>
      <c r="CT87" s="12">
        <f>IF('Données projet'!$A$140&gt;35,CT86+CS87-DB86,IF(A87&lt;'Données projet'!$A$140,$CQ$205^A87,IF(A87='Données projet'!$A$140,'Données projet'!$B$140,CT86+CS87-DB86)))</f>
        <v>545.79999999999995</v>
      </c>
      <c r="CU87" s="17">
        <f>CT87*VLOOKUP('Données projet'!$B$13,Paramètres!$A$1:$I$89,3,0)*VLOOKUP('Données projet'!$B$13,Paramètres!$A$1:$I$89,5,0)</f>
        <v>519.38328000000001</v>
      </c>
      <c r="CV87" s="13">
        <f t="shared" si="95"/>
        <v>115.5998393327481</v>
      </c>
      <c r="CW87" s="20">
        <f t="shared" si="67"/>
        <v>1105.9289328378698</v>
      </c>
      <c r="CX87" s="59">
        <f t="shared" si="68"/>
        <v>1399.262266171203</v>
      </c>
      <c r="CY87" s="59">
        <f ca="1">AVERAGE(OFFSET($CX$3,0,0,'Données projet'!$E$13+1,1))-AVERAGE(OFFSET($H$3,0,0,'Données projet'!$E$13+1,1))</f>
        <v>805.04572055352492</v>
      </c>
      <c r="CZ87" s="59">
        <f t="shared" si="96"/>
        <v>708.66645042414962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74.69842389417208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74.69842389417208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7</v>
      </c>
      <c r="DO87" s="12">
        <f>IF('Données projet'!$A$166&gt;35,DO86+DN87-DW86,IF(A87&lt;'Données projet'!$A$166,$DL$205^A87,IF(A87='Données projet'!$A$166,'Données projet'!$B$166,DO86+DN87-DW86)))</f>
        <v>464.99999999999994</v>
      </c>
      <c r="DP87" s="17">
        <f>DO87*VLOOKUP('Données projet'!$B$14,Paramètres!$A$1:$I$89,3,0)*VLOOKUP('Données projet'!$B$14,Paramètres!$A$1:$I$89,5,0)</f>
        <v>311.92199999999997</v>
      </c>
      <c r="DQ87" s="13">
        <f t="shared" si="97"/>
        <v>73.670075764965745</v>
      </c>
      <c r="DR87" s="20">
        <f t="shared" si="70"/>
        <v>671.57286529064856</v>
      </c>
      <c r="DS87" s="59">
        <f t="shared" si="71"/>
        <v>964.90619862398194</v>
      </c>
      <c r="DT87" s="59">
        <f ca="1">AVERAGE(OFFSET($DS$3,0,0,'Données projet'!$E$14+1,1))-AVERAGE(OFFSET($H$3,0,0,'Données projet'!$E$14+1,1))</f>
        <v>482.69499576870095</v>
      </c>
      <c r="DU87" s="59">
        <f t="shared" si="98"/>
        <v>384.28918352579575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26.966408389971686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26.966408389971686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1.7053025658242404E-13</v>
      </c>
      <c r="EK87" s="17">
        <f>EJ87*VLOOKUP('Données projet'!$B$15,Paramètres!$A$1:$I$89,3,0)*VLOOKUP('Données projet'!$B$15,Paramètres!$A$1:$I$89,5,0)</f>
        <v>1.250327841262333E-13</v>
      </c>
      <c r="EL87" s="13">
        <f t="shared" si="99"/>
        <v>1.8301318724634299E-12</v>
      </c>
      <c r="EM87" s="20">
        <f t="shared" si="73"/>
        <v>3.405245110226996E-12</v>
      </c>
      <c r="EN87" s="59">
        <f t="shared" si="74"/>
        <v>293.33333333333672</v>
      </c>
      <c r="EO87" s="59">
        <f ca="1">AVERAGE(OFFSET($EN$3,0,0,'Données projet'!$E$15+1,1))-AVERAGE(OFFSET($H$3,0,0,'Données projet'!$E$15+1,1))</f>
        <v>197.34725966440715</v>
      </c>
      <c r="EP87" s="59">
        <f t="shared" si="100"/>
        <v>240.16326570529532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22.313506761310883</v>
      </c>
      <c r="EW87" s="21">
        <f>EXP(-LN(2)/25)*EW86+(1-EXP(-LN(2)/25))/(LN(2)/25)*Calculateur!ER87*Calculateur!ET87*VLOOKUP('Données projet'!$B$15,Paramètres!$A$1:$I$89,3,0)*0.475*44/12</f>
        <v>11.998724908644277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34.31223166995516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2.2737367544323206E-13</v>
      </c>
      <c r="FF87" s="17">
        <f>FE87*VLOOKUP('Données projet'!$B$16,Paramètres!$A$1:$I$89,3,0)*VLOOKUP('Données projet'!$B$16,Paramètres!$A$1:$I$89,5,0)</f>
        <v>1.2710188457276673E-13</v>
      </c>
      <c r="FG87" s="13">
        <f t="shared" si="101"/>
        <v>1.856866851063998E-12</v>
      </c>
      <c r="FH87" s="20">
        <f t="shared" si="76"/>
        <v>3.4554122145673649E-12</v>
      </c>
      <c r="FI87" s="59">
        <f t="shared" si="77"/>
        <v>293.33333333333678</v>
      </c>
      <c r="FJ87" s="59">
        <f ca="1">AVERAGE(OFFSET($FI$3,0,0,'Données projet'!$E$16+1,1))-AVERAGE(OFFSET($H$3,0,0,'Données projet'!$E$16+1,1))</f>
        <v>346.42094266871379</v>
      </c>
      <c r="FK87" s="59">
        <f t="shared" si="102"/>
        <v>453.48153556975973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106.47375856511792</v>
      </c>
      <c r="FR87" s="21">
        <f>EXP(-LN(2)/25)*FR86+(1-EXP(-LN(2)/25))/(LN(2)/25)*Calculateur!FM87*Calculateur!FO87*VLOOKUP('Données projet'!$B$16,Paramètres!$A$1:$I$89,3,0)*0.475*44/12</f>
        <v>54.2357850252384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160.7095435903563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-1.1368683772161603E-13</v>
      </c>
      <c r="GA87" s="17">
        <f>FZ87*VLOOKUP('Données projet'!$B$17,Paramètres!$A$1:$I$89,3,0)*VLOOKUP('Données projet'!$B$17,Paramètres!$A$1:$I$89,5,0)</f>
        <v>-5.3205440053716299E-14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198.26255998041</v>
      </c>
      <c r="GF87" s="59">
        <f t="shared" si="104"/>
        <v>238.62101708181166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68.246406393937434</v>
      </c>
      <c r="GM87" s="21">
        <f>EXP(-LN(2)/25)*GM86+(1-EXP(-LN(2)/25))/(LN(2)/25)*Calculateur!GH87*Calculateur!GJ87*VLOOKUP('Données projet'!$B$17,Paramètres!$A$1:$I$89,3,0)*0.475*44/12</f>
        <v>32.008451414591427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100.25485780852887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8.1999999999999993</v>
      </c>
      <c r="GU87" s="12">
        <f>IF('Données projet'!$A$270&gt;35,GU86+GT87-HC86,IF(A87&lt;'Données projet'!$A$270,$GR$205^A87,IF(A87='Données projet'!$A$270,'Données projet'!$B$270,GU86+GT87-HC86)))</f>
        <v>447.80000000000007</v>
      </c>
      <c r="GV87" s="17">
        <f>GU87*VLOOKUP('Données projet'!$B$18,Paramètres!$A$1:$I$89,3,0)*VLOOKUP('Données projet'!$B$18,Paramètres!$A$1:$I$89,5,0)</f>
        <v>515.86559999999997</v>
      </c>
      <c r="GW87" s="13">
        <f t="shared" si="105"/>
        <v>114.90776476431186</v>
      </c>
      <c r="GX87" s="20">
        <f t="shared" si="82"/>
        <v>1098.5969436311764</v>
      </c>
      <c r="GY87" s="59">
        <f t="shared" si="83"/>
        <v>1391.9302769645096</v>
      </c>
      <c r="GZ87" s="59">
        <f ca="1">AVERAGE(OFFSET($GY$3,0,0,'Données projet'!$E$18+1,1))-AVERAGE(OFFSET($H$3,0,0,'Données projet'!$E$18+1,1))</f>
        <v>604.0566904089452</v>
      </c>
      <c r="HA87" s="59">
        <f t="shared" si="106"/>
        <v>369.5187835902687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53.674156399599049</v>
      </c>
      <c r="HH87" s="21">
        <f>EXP(-LN(2)/25)*HH86+(1-EXP(-LN(2)/25))/(LN(2)/25)*Calculateur!HC87*Calculateur!HE87*VLOOKUP('Données projet'!$B$18,Paramètres!$A$1:$I$89,3,0)*0.475*44/12</f>
        <v>25.114264652753061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78.788421052352106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7.7777777777777777</v>
      </c>
      <c r="N88" s="13">
        <f>IF('Données projet'!$A$36&gt;35,N87+M88-V87,IF(A88&lt;'Données projet'!$A$36,$K$205^A88,IF(A88='Données projet'!$A$36,'Données projet'!$B$36,N87+M88-V87)))</f>
        <v>301.44444444444429</v>
      </c>
      <c r="O88" s="13">
        <f>N88*VLOOKUP('Données projet'!$B$9,Paramètres!$A$1:$I$89,3,0)*VLOOKUP('Données projet'!$B$9,Paramètres!$A$1:$I$89,5,0)</f>
        <v>272.74693333333317</v>
      </c>
      <c r="P88" s="13">
        <f t="shared" si="87"/>
        <v>65.431893983549415</v>
      </c>
      <c r="Q88" s="20">
        <f t="shared" si="54"/>
        <v>588.99479091023716</v>
      </c>
      <c r="R88" s="59">
        <f t="shared" si="55"/>
        <v>882.32812424357053</v>
      </c>
      <c r="S88" s="59">
        <f ca="1">AVERAGE(OFFSET($R$3,0,0,'Données projet'!$E$9+1,1))-AVERAGE(OFFSET($H$3,0,0,'Données projet'!$E$9+1,1))</f>
        <v>528.20489749461376</v>
      </c>
      <c r="T88" s="59">
        <f t="shared" si="88"/>
        <v>276.26988364830532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36.009601765247545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36.009601765247545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2.2737367544323206E-13</v>
      </c>
      <c r="AJ88" s="13">
        <f>AI88*VLOOKUP('Données projet'!$B$10,Paramètres!$A$1:$I$89,3,0)*VLOOKUP('Données projet'!$B$10,Paramètres!$A$1:$I$89,5,0)</f>
        <v>2.0572770154103635E-13</v>
      </c>
      <c r="AK88" s="13">
        <f t="shared" si="89"/>
        <v>2.8416956338469711E-12</v>
      </c>
      <c r="AL88" s="20">
        <f t="shared" si="58"/>
        <v>5.3075956424674458E-12</v>
      </c>
      <c r="AM88" s="59">
        <f t="shared" si="59"/>
        <v>293.3333333333386</v>
      </c>
      <c r="AN88" s="59">
        <f ca="1">AVERAGE(OFFSET($AM$3,0,0,'Données projet'!$E$10+1,1))-AVERAGE(OFFSET($H$3,0,0,'Données projet'!$E$10+1,1))</f>
        <v>436.23918637269577</v>
      </c>
      <c r="AO88" s="59">
        <f t="shared" si="90"/>
        <v>611.43967996341894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33.068265702293679</v>
      </c>
      <c r="AV88" s="21">
        <f>EXP(-LN(2)/25)*AV87+(1-EXP(-LN(2)/25))/(LN(2)/25)*Calculateur!AQ88*Calculateur!AS88*VLOOKUP('Données projet'!$B$10,Paramètres!$A$1:$I$89,3,0)*0.475*44/12</f>
        <v>14.279216999443184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47.347482701736865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4.4337866711430253E-14</v>
      </c>
      <c r="BF88" s="13">
        <f t="shared" si="91"/>
        <v>7.3222115536967035E-13</v>
      </c>
      <c r="BG88" s="20">
        <f t="shared" si="61"/>
        <v>1.3525069634579169E-12</v>
      </c>
      <c r="BH88" s="59">
        <f t="shared" si="62"/>
        <v>293.33333333333468</v>
      </c>
      <c r="BI88" s="59">
        <f ca="1">AVERAGE(OFFSET($BH$3,0,0,'Données projet'!$E$11+1,1))-AVERAGE(OFFSET($H$3,0,0,'Données projet'!$E$11+1,1))</f>
        <v>288.82868507674738</v>
      </c>
      <c r="BJ88" s="59">
        <f t="shared" si="92"/>
        <v>283.48738729114024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64.426147404560908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64.426147404560908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2.1316282072803006E-14</v>
      </c>
      <c r="BZ88" s="13">
        <f>BY88*VLOOKUP('Données projet'!$B$12,Paramètres!$A$1:$I$89,3,0)*VLOOKUP('Données projet'!$B$12,Paramètres!$A$1:$I$89,5,0)</f>
        <v>1.8621904018800709E-14</v>
      </c>
      <c r="CA88" s="13">
        <f t="shared" si="93"/>
        <v>3.40208645124969E-13</v>
      </c>
      <c r="CB88" s="20">
        <f t="shared" si="64"/>
        <v>6.2496320642539887E-13</v>
      </c>
      <c r="CC88" s="59">
        <f t="shared" si="65"/>
        <v>293.33333333333394</v>
      </c>
      <c r="CD88" s="59">
        <f ca="1">AVERAGE(OFFSET($CC$3,0,0,'Données projet'!$E$12+1,1))-AVERAGE(OFFSET($H$3,0,0,'Données projet'!$E$12+1,1))</f>
        <v>93.329407403816901</v>
      </c>
      <c r="CE88" s="59">
        <f t="shared" si="94"/>
        <v>90.925148357295313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15.751677058292701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15.751677058292701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558</v>
      </c>
      <c r="CR88" s="12">
        <f>VLOOKUP(A88,'Données projet'!$A$139:$I$159,9,0)</f>
        <v>12.2</v>
      </c>
      <c r="CS88" s="12">
        <f t="array" ref="CS88">INDEX(CR:CR,MIN(IF(ISNUMBER(CR88:CR284),ROW(CR88:CR284),"")))</f>
        <v>12.2</v>
      </c>
      <c r="CT88" s="12">
        <f>IF('Données projet'!$A$140&gt;35,CT87+CS88-DB87,IF(A88&lt;'Données projet'!$A$140,$CQ$205^A88,IF(A88='Données projet'!$A$140,'Données projet'!$B$140,CT87+CS88-DB87)))</f>
        <v>558</v>
      </c>
      <c r="CU88" s="17">
        <f>CT88*VLOOKUP('Données projet'!$B$13,Paramètres!$A$1:$I$89,3,0)*VLOOKUP('Données projet'!$B$13,Paramètres!$A$1:$I$89,5,0)</f>
        <v>530.99279999999999</v>
      </c>
      <c r="CV88" s="13">
        <f t="shared" si="95"/>
        <v>117.88006872426115</v>
      </c>
      <c r="CW88" s="20">
        <f t="shared" si="67"/>
        <v>1130.1202463614216</v>
      </c>
      <c r="CX88" s="59">
        <f t="shared" si="68"/>
        <v>1423.4535796947548</v>
      </c>
      <c r="CY88" s="59">
        <f ca="1">AVERAGE(OFFSET($CX$3,0,0,'Données projet'!$E$13+1,1))-AVERAGE(OFFSET($H$3,0,0,'Données projet'!$E$13+1,1))</f>
        <v>805.04572055352492</v>
      </c>
      <c r="CZ88" s="59">
        <f t="shared" si="96"/>
        <v>708.66645042414962</v>
      </c>
      <c r="DA88" s="15">
        <f>IF(ISNA(VLOOKUP(A88,'Données projet'!$A$139:$I$159,3,0)),0,VLOOKUP(A88,'Données projet'!$A$139:$I$159,3,0))</f>
        <v>16</v>
      </c>
      <c r="DB88" s="15">
        <f>IF(ISNA(VLOOKUP(A88,'Données projet'!$A$139:$I$159,4,0)),0,VLOOKUP(A88,'Données projet'!$A$139:$I$159,4,0))</f>
        <v>54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87.889618285741761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87.889618285741761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472</v>
      </c>
      <c r="DM88" s="12">
        <f>VLOOKUP(A88,'Données projet'!$A$165:$I$185,9,0)</f>
        <v>7</v>
      </c>
      <c r="DN88" s="12">
        <f t="array" ref="DN88">INDEX(DM:DM,MIN(IF(ISNUMBER(DM88:DM284),ROW(DM88:DM284),"")))</f>
        <v>7</v>
      </c>
      <c r="DO88" s="12">
        <f>IF('Données projet'!$A$166&gt;35,DO87+DN88-DW87,IF(A88&lt;'Données projet'!$A$166,$DL$205^A88,IF(A88='Données projet'!$A$166,'Données projet'!$B$166,DO87+DN88-DW87)))</f>
        <v>471.99999999999994</v>
      </c>
      <c r="DP88" s="17">
        <f>DO88*VLOOKUP('Données projet'!$B$14,Paramètres!$A$1:$I$89,3,0)*VLOOKUP('Données projet'!$B$14,Paramètres!$A$1:$I$89,5,0)</f>
        <v>316.61759999999998</v>
      </c>
      <c r="DQ88" s="13">
        <f t="shared" si="97"/>
        <v>74.649144906508468</v>
      </c>
      <c r="DR88" s="20">
        <f t="shared" si="70"/>
        <v>681.45624737883554</v>
      </c>
      <c r="DS88" s="59">
        <f t="shared" si="71"/>
        <v>974.7895807121688</v>
      </c>
      <c r="DT88" s="59">
        <f ca="1">AVERAGE(OFFSET($DS$3,0,0,'Données projet'!$E$14+1,1))-AVERAGE(OFFSET($H$3,0,0,'Données projet'!$E$14+1,1))</f>
        <v>482.69499576870095</v>
      </c>
      <c r="DU88" s="59">
        <f t="shared" si="98"/>
        <v>384.28918352579575</v>
      </c>
      <c r="DV88" s="15">
        <f>IF(ISNA(VLOOKUP(A88,'Données projet'!$A$165:$I$185,3,0)),0,VLOOKUP(A88,'Données projet'!$A$165:$I$185,3,0))</f>
        <v>16</v>
      </c>
      <c r="DW88" s="15">
        <f>IF(ISNA(VLOOKUP(A88,'Données projet'!$A$165:$I$185,4,0)),0,VLOOKUP(A88,'Données projet'!$A$165:$I$185,4,0))</f>
        <v>21</v>
      </c>
      <c r="DX88" s="16">
        <f>IF(ISNA(VLOOKUP(A88,'Données projet'!$A$165:$I$185,5,0)),0%,VLOOKUP(A88,'Données projet'!$A$165:$I$185,5,0)*VLOOKUP('Données projet'!$B$14,Paramètres!$A$1:$I$89,7,0))</f>
        <v>0.318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31.389681334614078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31.389681334614078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1.7053025658242404E-13</v>
      </c>
      <c r="EK88" s="17">
        <f>EJ88*VLOOKUP('Données projet'!$B$15,Paramètres!$A$1:$I$89,3,0)*VLOOKUP('Données projet'!$B$15,Paramètres!$A$1:$I$89,5,0)</f>
        <v>1.250327841262333E-13</v>
      </c>
      <c r="EL88" s="13">
        <f t="shared" si="99"/>
        <v>1.8301318724634299E-12</v>
      </c>
      <c r="EM88" s="20">
        <f t="shared" si="73"/>
        <v>3.405245110226996E-12</v>
      </c>
      <c r="EN88" s="59">
        <f t="shared" si="74"/>
        <v>293.33333333333672</v>
      </c>
      <c r="EO88" s="59">
        <f ca="1">AVERAGE(OFFSET($EN$3,0,0,'Données projet'!$E$15+1,1))-AVERAGE(OFFSET($H$3,0,0,'Données projet'!$E$15+1,1))</f>
        <v>197.34725966440715</v>
      </c>
      <c r="EP88" s="59">
        <f t="shared" si="100"/>
        <v>240.16326570529532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21.875952503616837</v>
      </c>
      <c r="EW88" s="21">
        <f>EXP(-LN(2)/25)*EW87+(1-EXP(-LN(2)/25))/(LN(2)/25)*Calculateur!ER88*Calculateur!ET88*VLOOKUP('Données projet'!$B$15,Paramètres!$A$1:$I$89,3,0)*0.475*44/12</f>
        <v>11.67061914503188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33.546571648648715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2.2737367544323206E-13</v>
      </c>
      <c r="FF88" s="17">
        <f>FE88*VLOOKUP('Données projet'!$B$16,Paramètres!$A$1:$I$89,3,0)*VLOOKUP('Données projet'!$B$16,Paramètres!$A$1:$I$89,5,0)</f>
        <v>1.2710188457276673E-13</v>
      </c>
      <c r="FG88" s="13">
        <f t="shared" si="101"/>
        <v>1.856866851063998E-12</v>
      </c>
      <c r="FH88" s="20">
        <f t="shared" si="76"/>
        <v>3.4554122145673649E-12</v>
      </c>
      <c r="FI88" s="59">
        <f t="shared" si="77"/>
        <v>293.33333333333678</v>
      </c>
      <c r="FJ88" s="59">
        <f ca="1">AVERAGE(OFFSET($FI$3,0,0,'Données projet'!$E$16+1,1))-AVERAGE(OFFSET($H$3,0,0,'Données projet'!$E$16+1,1))</f>
        <v>346.42094266871379</v>
      </c>
      <c r="FK88" s="59">
        <f t="shared" si="102"/>
        <v>453.48153556975973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104.38587310223613</v>
      </c>
      <c r="FR88" s="21">
        <f>EXP(-LN(2)/25)*FR87+(1-EXP(-LN(2)/25))/(LN(2)/25)*Calculateur!FM88*Calculateur!FO88*VLOOKUP('Données projet'!$B$16,Paramètres!$A$1:$I$89,3,0)*0.475*44/12</f>
        <v>52.752704631587278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157.13857773382341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-1.1368683772161603E-13</v>
      </c>
      <c r="GA88" s="17">
        <f>FZ88*VLOOKUP('Données projet'!$B$17,Paramètres!$A$1:$I$89,3,0)*VLOOKUP('Données projet'!$B$17,Paramètres!$A$1:$I$89,5,0)</f>
        <v>-5.3205440053716299E-14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198.26255998041</v>
      </c>
      <c r="GF88" s="59">
        <f t="shared" si="104"/>
        <v>238.62101708181166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66.908135990749969</v>
      </c>
      <c r="GM88" s="21">
        <f>EXP(-LN(2)/25)*GM87+(1-EXP(-LN(2)/25))/(LN(2)/25)*Calculateur!GH88*Calculateur!GJ88*VLOOKUP('Données projet'!$B$17,Paramètres!$A$1:$I$89,3,0)*0.475*44/12</f>
        <v>31.133178627408121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98.041314618158083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8.1999999999999993</v>
      </c>
      <c r="GU88" s="12">
        <f>IF('Données projet'!$A$270&gt;35,GU87+GT88-HC87,IF(A88&lt;'Données projet'!$A$270,$GR$205^A88,IF(A88='Données projet'!$A$270,'Données projet'!$B$270,GU87+GT88-HC87)))</f>
        <v>456.00000000000006</v>
      </c>
      <c r="GV88" s="17">
        <f>GU88*VLOOKUP('Données projet'!$B$18,Paramètres!$A$1:$I$89,3,0)*VLOOKUP('Données projet'!$B$18,Paramètres!$A$1:$I$89,5,0)</f>
        <v>525.31200000000001</v>
      </c>
      <c r="GW88" s="13">
        <f t="shared" si="105"/>
        <v>116.76503406717023</v>
      </c>
      <c r="GX88" s="20">
        <f t="shared" si="82"/>
        <v>1118.284167666988</v>
      </c>
      <c r="GY88" s="59">
        <f t="shared" si="83"/>
        <v>1411.6175010003212</v>
      </c>
      <c r="GZ88" s="59">
        <f ca="1">AVERAGE(OFFSET($GY$3,0,0,'Données projet'!$E$18+1,1))-AVERAGE(OFFSET($H$3,0,0,'Données projet'!$E$18+1,1))</f>
        <v>604.0566904089452</v>
      </c>
      <c r="HA88" s="59">
        <f t="shared" si="106"/>
        <v>369.5187835902687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52.621638930605705</v>
      </c>
      <c r="HH88" s="21">
        <f>EXP(-LN(2)/25)*HH87+(1-EXP(-LN(2)/25))/(LN(2)/25)*Calculateur!HC88*Calculateur!HE88*VLOOKUP('Données projet'!$B$18,Paramètres!$A$1:$I$89,3,0)*0.475*44/12</f>
        <v>24.427513765121748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77.049152695727457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7.7777777777777777</v>
      </c>
      <c r="N89" s="13">
        <f>IF('Données projet'!$A$36&gt;35,N88+M89-V88,IF(A89&lt;'Données projet'!$A$36,$K$205^A89,IF(A89='Données projet'!$A$36,'Données projet'!$B$36,N88+M89-V88)))</f>
        <v>309.22222222222206</v>
      </c>
      <c r="O89" s="13">
        <f>N89*VLOOKUP('Données projet'!$B$9,Paramètres!$A$1:$I$89,3,0)*VLOOKUP('Données projet'!$B$9,Paramètres!$A$1:$I$89,5,0)</f>
        <v>279.7842666666665</v>
      </c>
      <c r="P89" s="13">
        <f t="shared" si="87"/>
        <v>66.921416181225794</v>
      </c>
      <c r="Q89" s="20">
        <f t="shared" si="54"/>
        <v>603.84573096007898</v>
      </c>
      <c r="R89" s="59">
        <f t="shared" si="55"/>
        <v>897.17906429341224</v>
      </c>
      <c r="S89" s="59">
        <f ca="1">AVERAGE(OFFSET($R$3,0,0,'Données projet'!$E$9+1,1))-AVERAGE(OFFSET($H$3,0,0,'Données projet'!$E$9+1,1))</f>
        <v>528.20489749461376</v>
      </c>
      <c r="T89" s="59">
        <f t="shared" si="88"/>
        <v>276.26988364830532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35.303475438319381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35.303475438319381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2.2737367544323206E-13</v>
      </c>
      <c r="AJ89" s="13">
        <f>AI89*VLOOKUP('Données projet'!$B$10,Paramètres!$A$1:$I$89,3,0)*VLOOKUP('Données projet'!$B$10,Paramètres!$A$1:$I$89,5,0)</f>
        <v>2.0572770154103635E-13</v>
      </c>
      <c r="AK89" s="13">
        <f t="shared" si="89"/>
        <v>2.8416956338469711E-12</v>
      </c>
      <c r="AL89" s="20">
        <f t="shared" si="58"/>
        <v>5.3075956424674458E-12</v>
      </c>
      <c r="AM89" s="59">
        <f t="shared" si="59"/>
        <v>293.3333333333386</v>
      </c>
      <c r="AN89" s="59">
        <f ca="1">AVERAGE(OFFSET($AM$3,0,0,'Données projet'!$E$10+1,1))-AVERAGE(OFFSET($H$3,0,0,'Données projet'!$E$10+1,1))</f>
        <v>436.23918637269577</v>
      </c>
      <c r="AO89" s="59">
        <f t="shared" si="90"/>
        <v>611.43967996341894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32.419817181522191</v>
      </c>
      <c r="AV89" s="21">
        <f>EXP(-LN(2)/25)*AV88+(1-EXP(-LN(2)/25))/(LN(2)/25)*Calculateur!AQ89*Calculateur!AS89*VLOOKUP('Données projet'!$B$10,Paramètres!$A$1:$I$89,3,0)*0.475*44/12</f>
        <v>13.888751059682024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46.308568241204213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4.4337866711430253E-14</v>
      </c>
      <c r="BF89" s="13">
        <f t="shared" si="91"/>
        <v>7.3222115536967035E-13</v>
      </c>
      <c r="BG89" s="20">
        <f t="shared" si="61"/>
        <v>1.3525069634579169E-12</v>
      </c>
      <c r="BH89" s="59">
        <f t="shared" si="62"/>
        <v>293.33333333333468</v>
      </c>
      <c r="BI89" s="59">
        <f ca="1">AVERAGE(OFFSET($BH$3,0,0,'Données projet'!$E$11+1,1))-AVERAGE(OFFSET($H$3,0,0,'Données projet'!$E$11+1,1))</f>
        <v>288.82868507674738</v>
      </c>
      <c r="BJ89" s="59">
        <f t="shared" si="92"/>
        <v>283.48738729114024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63.162789950027218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63.162789950027218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2.1316282072803006E-14</v>
      </c>
      <c r="BZ89" s="13">
        <f>BY89*VLOOKUP('Données projet'!$B$12,Paramètres!$A$1:$I$89,3,0)*VLOOKUP('Données projet'!$B$12,Paramètres!$A$1:$I$89,5,0)</f>
        <v>1.8621904018800709E-14</v>
      </c>
      <c r="CA89" s="13">
        <f t="shared" si="93"/>
        <v>3.40208645124969E-13</v>
      </c>
      <c r="CB89" s="20">
        <f t="shared" si="64"/>
        <v>6.2496320642539887E-13</v>
      </c>
      <c r="CC89" s="59">
        <f t="shared" si="65"/>
        <v>293.33333333333394</v>
      </c>
      <c r="CD89" s="59">
        <f ca="1">AVERAGE(OFFSET($CC$3,0,0,'Données projet'!$E$12+1,1))-AVERAGE(OFFSET($H$3,0,0,'Données projet'!$E$12+1,1))</f>
        <v>93.329407403816901</v>
      </c>
      <c r="CE89" s="59">
        <f t="shared" si="94"/>
        <v>90.925148357295313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15.442796278753917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15.442796278753917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11.4</v>
      </c>
      <c r="CT89" s="12">
        <f>IF('Données projet'!$A$140&gt;35,CT88+CS89-DB88,IF(A89&lt;'Données projet'!$A$140,$CQ$205^A89,IF(A89='Données projet'!$A$140,'Données projet'!$B$140,CT88+CS89-DB88)))</f>
        <v>515.4</v>
      </c>
      <c r="CU89" s="17">
        <f>CT89*VLOOKUP('Données projet'!$B$13,Paramètres!$A$1:$I$89,3,0)*VLOOKUP('Données projet'!$B$13,Paramètres!$A$1:$I$89,5,0)</f>
        <v>490.45464000000004</v>
      </c>
      <c r="CV89" s="13">
        <f t="shared" si="95"/>
        <v>109.8917796343778</v>
      </c>
      <c r="CW89" s="20">
        <f t="shared" si="67"/>
        <v>1045.6033475298748</v>
      </c>
      <c r="CX89" s="59">
        <f t="shared" si="68"/>
        <v>1338.936680863208</v>
      </c>
      <c r="CY89" s="59">
        <f ca="1">AVERAGE(OFFSET($CX$3,0,0,'Données projet'!$E$13+1,1))-AVERAGE(OFFSET($H$3,0,0,'Données projet'!$E$13+1,1))</f>
        <v>805.04572055352492</v>
      </c>
      <c r="CZ89" s="59">
        <f t="shared" si="96"/>
        <v>708.66645042414962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86.16615647853223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86.16615647853223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6.4</v>
      </c>
      <c r="DO89" s="12">
        <f>IF('Données projet'!$A$166&gt;35,DO88+DN89-DW88,IF(A89&lt;'Données projet'!$A$166,$DL$205^A89,IF(A89='Données projet'!$A$166,'Données projet'!$B$166,DO88+DN89-DW88)))</f>
        <v>457.39999999999992</v>
      </c>
      <c r="DP89" s="17">
        <f>DO89*VLOOKUP('Données projet'!$B$14,Paramètres!$A$1:$I$89,3,0)*VLOOKUP('Données projet'!$B$14,Paramètres!$A$1:$I$89,5,0)</f>
        <v>306.82391999999993</v>
      </c>
      <c r="DQ89" s="13">
        <f t="shared" si="97"/>
        <v>72.605141230179939</v>
      </c>
      <c r="DR89" s="20">
        <f t="shared" si="70"/>
        <v>660.83894830922986</v>
      </c>
      <c r="DS89" s="59">
        <f t="shared" si="71"/>
        <v>954.17228164256312</v>
      </c>
      <c r="DT89" s="59">
        <f ca="1">AVERAGE(OFFSET($DS$3,0,0,'Données projet'!$E$14+1,1))-AVERAGE(OFFSET($H$3,0,0,'Données projet'!$E$14+1,1))</f>
        <v>482.69499576870095</v>
      </c>
      <c r="DU89" s="59">
        <f t="shared" si="98"/>
        <v>384.28918352579575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30.774148829457417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30.774148829457417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1.7053025658242404E-13</v>
      </c>
      <c r="EK89" s="17">
        <f>EJ89*VLOOKUP('Données projet'!$B$15,Paramètres!$A$1:$I$89,3,0)*VLOOKUP('Données projet'!$B$15,Paramètres!$A$1:$I$89,5,0)</f>
        <v>1.250327841262333E-13</v>
      </c>
      <c r="EL89" s="13">
        <f t="shared" si="99"/>
        <v>1.8301318724634299E-12</v>
      </c>
      <c r="EM89" s="20">
        <f t="shared" si="73"/>
        <v>3.405245110226996E-12</v>
      </c>
      <c r="EN89" s="59">
        <f t="shared" si="74"/>
        <v>293.33333333333672</v>
      </c>
      <c r="EO89" s="59">
        <f ca="1">AVERAGE(OFFSET($EN$3,0,0,'Données projet'!$E$15+1,1))-AVERAGE(OFFSET($H$3,0,0,'Données projet'!$E$15+1,1))</f>
        <v>197.34725966440715</v>
      </c>
      <c r="EP89" s="59">
        <f t="shared" si="100"/>
        <v>240.16326570529532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21.446978418034426</v>
      </c>
      <c r="EW89" s="21">
        <f>EXP(-LN(2)/25)*EW88+(1-EXP(-LN(2)/25))/(LN(2)/25)*Calculateur!ER89*Calculateur!ET89*VLOOKUP('Données projet'!$B$15,Paramètres!$A$1:$I$89,3,0)*0.475*44/12</f>
        <v>11.351485450779796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32.798463868814224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2.2737367544323206E-13</v>
      </c>
      <c r="FF89" s="17">
        <f>FE89*VLOOKUP('Données projet'!$B$16,Paramètres!$A$1:$I$89,3,0)*VLOOKUP('Données projet'!$B$16,Paramètres!$A$1:$I$89,5,0)</f>
        <v>1.2710188457276673E-13</v>
      </c>
      <c r="FG89" s="13">
        <f t="shared" si="101"/>
        <v>1.856866851063998E-12</v>
      </c>
      <c r="FH89" s="20">
        <f t="shared" si="76"/>
        <v>3.4554122145673649E-12</v>
      </c>
      <c r="FI89" s="59">
        <f t="shared" si="77"/>
        <v>293.33333333333678</v>
      </c>
      <c r="FJ89" s="59">
        <f ca="1">AVERAGE(OFFSET($FI$3,0,0,'Données projet'!$E$16+1,1))-AVERAGE(OFFSET($H$3,0,0,'Données projet'!$E$16+1,1))</f>
        <v>346.42094266871379</v>
      </c>
      <c r="FK89" s="59">
        <f t="shared" si="102"/>
        <v>453.48153556975973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102.33892979979707</v>
      </c>
      <c r="FR89" s="21">
        <f>EXP(-LN(2)/25)*FR88+(1-EXP(-LN(2)/25))/(LN(2)/25)*Calculateur!FM89*Calculateur!FO89*VLOOKUP('Données projet'!$B$16,Paramètres!$A$1:$I$89,3,0)*0.475*44/12</f>
        <v>51.310179149292352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153.64910894908942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-1.1368683772161603E-13</v>
      </c>
      <c r="GA89" s="17">
        <f>FZ89*VLOOKUP('Données projet'!$B$17,Paramètres!$A$1:$I$89,3,0)*VLOOKUP('Données projet'!$B$17,Paramètres!$A$1:$I$89,5,0)</f>
        <v>-5.3205440053716299E-14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198.26255998041</v>
      </c>
      <c r="GF89" s="59">
        <f t="shared" si="104"/>
        <v>238.62101708181166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65.596108253904674</v>
      </c>
      <c r="GM89" s="21">
        <f>EXP(-LN(2)/25)*GM88+(1-EXP(-LN(2)/25))/(LN(2)/25)*Calculateur!GH89*Calculateur!GJ89*VLOOKUP('Données projet'!$B$17,Paramètres!$A$1:$I$89,3,0)*0.475*44/12</f>
        <v>30.281840220618939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95.877948474523606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8.1999999999999993</v>
      </c>
      <c r="GU89" s="12">
        <f>IF('Données projet'!$A$270&gt;35,GU88+GT89-HC88,IF(A89&lt;'Données projet'!$A$270,$GR$205^A89,IF(A89='Données projet'!$A$270,'Données projet'!$B$270,GU88+GT89-HC88)))</f>
        <v>464.20000000000005</v>
      </c>
      <c r="GV89" s="17">
        <f>GU89*VLOOKUP('Données projet'!$B$18,Paramètres!$A$1:$I$89,3,0)*VLOOKUP('Données projet'!$B$18,Paramètres!$A$1:$I$89,5,0)</f>
        <v>534.75839999999994</v>
      </c>
      <c r="GW89" s="13">
        <f t="shared" si="105"/>
        <v>118.61841965664411</v>
      </c>
      <c r="GX89" s="20">
        <f t="shared" si="82"/>
        <v>1137.9646275686553</v>
      </c>
      <c r="GY89" s="59">
        <f t="shared" si="83"/>
        <v>1431.2979609019885</v>
      </c>
      <c r="GZ89" s="59">
        <f ca="1">AVERAGE(OFFSET($GY$3,0,0,'Données projet'!$E$18+1,1))-AVERAGE(OFFSET($H$3,0,0,'Données projet'!$E$18+1,1))</f>
        <v>604.0566904089452</v>
      </c>
      <c r="HA89" s="59">
        <f t="shared" si="106"/>
        <v>369.5187835902687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51.589760687207054</v>
      </c>
      <c r="HH89" s="21">
        <f>EXP(-LN(2)/25)*HH88+(1-EXP(-LN(2)/25))/(LN(2)/25)*Calculateur!HC89*Calculateur!HE89*VLOOKUP('Données projet'!$B$18,Paramètres!$A$1:$I$89,3,0)*0.475*44/12</f>
        <v>23.759542116627376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75.349302803834433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317</v>
      </c>
      <c r="L90" s="12">
        <f>VLOOKUP(A90,'Données projet'!$A$35:$I$55,9,0)</f>
        <v>7.7777777777777777</v>
      </c>
      <c r="M90" s="12">
        <f t="array" ref="M90">INDEX(L:L,MIN(IF(ISNUMBER(L90:L286),ROW(L90:L286),"")))</f>
        <v>7.7777777777777777</v>
      </c>
      <c r="N90" s="13">
        <f>IF('Données projet'!$A$36&gt;35,N89+M90-V89,IF(A90&lt;'Données projet'!$A$36,$K$205^A90,IF(A90='Données projet'!$A$36,'Données projet'!$B$36,N89+M90-V89)))</f>
        <v>316.99999999999983</v>
      </c>
      <c r="O90" s="13">
        <f>N90*VLOOKUP('Données projet'!$B$9,Paramètres!$A$1:$I$89,3,0)*VLOOKUP('Données projet'!$B$9,Paramètres!$A$1:$I$89,5,0)</f>
        <v>286.82159999999988</v>
      </c>
      <c r="P90" s="13">
        <f t="shared" si="87"/>
        <v>68.406583284351413</v>
      </c>
      <c r="Q90" s="20">
        <f t="shared" si="54"/>
        <v>618.68908588691181</v>
      </c>
      <c r="R90" s="59">
        <f t="shared" si="55"/>
        <v>912.02241922024518</v>
      </c>
      <c r="S90" s="59">
        <f ca="1">AVERAGE(OFFSET($R$3,0,0,'Données projet'!$E$9+1,1))-AVERAGE(OFFSET($H$3,0,0,'Données projet'!$E$9+1,1))</f>
        <v>528.20489749461376</v>
      </c>
      <c r="T90" s="59">
        <f t="shared" si="88"/>
        <v>276.26988364830532</v>
      </c>
      <c r="U90" s="15">
        <f>IF(ISNA(VLOOKUP(A90,'Données projet'!$A$35:$I$55,3,0)),0,VLOOKUP(A90,'Données projet'!$A$35:$I$55,3,0))</f>
        <v>7</v>
      </c>
      <c r="V90" s="15">
        <f>IF(ISNA(VLOOKUP(A90,'Données projet'!$A$35:$I$55,4,0)),0,VLOOKUP(A90,'Données projet'!$A$35:$I$55,4,0))</f>
        <v>46</v>
      </c>
      <c r="W90" s="16">
        <f>IF(ISNA(VLOOKUP(A90,'Données projet'!$A$35:$I$55,5,0)),0%,VLOOKUP(A90,'Données projet'!$A$35:$I$55,5,0)*VLOOKUP('Données projet'!$B$9,Paramètres!$A$1:$I$89,7,0))</f>
        <v>0.25800000000000001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46.481920703663718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46.481920703663718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2.2737367544323206E-13</v>
      </c>
      <c r="AJ90" s="13">
        <f>AI90*VLOOKUP('Données projet'!$B$10,Paramètres!$A$1:$I$89,3,0)*VLOOKUP('Données projet'!$B$10,Paramètres!$A$1:$I$89,5,0)</f>
        <v>2.0572770154103635E-13</v>
      </c>
      <c r="AK90" s="13">
        <f t="shared" si="89"/>
        <v>2.8416956338469711E-12</v>
      </c>
      <c r="AL90" s="20">
        <f t="shared" si="58"/>
        <v>5.3075956424674458E-12</v>
      </c>
      <c r="AM90" s="59">
        <f t="shared" si="59"/>
        <v>293.3333333333386</v>
      </c>
      <c r="AN90" s="59">
        <f ca="1">AVERAGE(OFFSET($AM$3,0,0,'Données projet'!$E$10+1,1))-AVERAGE(OFFSET($H$3,0,0,'Données projet'!$E$10+1,1))</f>
        <v>436.23918637269577</v>
      </c>
      <c r="AO90" s="59">
        <f t="shared" si="90"/>
        <v>611.43967996341894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31.784084340728487</v>
      </c>
      <c r="AV90" s="21">
        <f>EXP(-LN(2)/25)*AV89+(1-EXP(-LN(2)/25))/(LN(2)/25)*Calculateur!AQ90*Calculateur!AS90*VLOOKUP('Données projet'!$B$10,Paramètres!$A$1:$I$89,3,0)*0.475*44/12</f>
        <v>13.508962431577343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45.293046772305829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4.4337866711430253E-14</v>
      </c>
      <c r="BF90" s="13">
        <f t="shared" si="91"/>
        <v>7.3222115536967035E-13</v>
      </c>
      <c r="BG90" s="20">
        <f t="shared" si="61"/>
        <v>1.3525069634579169E-12</v>
      </c>
      <c r="BH90" s="59">
        <f t="shared" si="62"/>
        <v>293.33333333333468</v>
      </c>
      <c r="BI90" s="59">
        <f ca="1">AVERAGE(OFFSET($BH$3,0,0,'Données projet'!$E$11+1,1))-AVERAGE(OFFSET($H$3,0,0,'Données projet'!$E$11+1,1))</f>
        <v>288.82868507674738</v>
      </c>
      <c r="BJ90" s="59">
        <f t="shared" si="92"/>
        <v>283.48738729114024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61.924206164604975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61.924206164604975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2.1316282072803006E-14</v>
      </c>
      <c r="BZ90" s="13">
        <f>BY90*VLOOKUP('Données projet'!$B$12,Paramètres!$A$1:$I$89,3,0)*VLOOKUP('Données projet'!$B$12,Paramètres!$A$1:$I$89,5,0)</f>
        <v>1.8621904018800709E-14</v>
      </c>
      <c r="CA90" s="13">
        <f t="shared" si="93"/>
        <v>3.40208645124969E-13</v>
      </c>
      <c r="CB90" s="20">
        <f t="shared" si="64"/>
        <v>6.2496320642539887E-13</v>
      </c>
      <c r="CC90" s="59">
        <f t="shared" si="65"/>
        <v>293.33333333333394</v>
      </c>
      <c r="CD90" s="59">
        <f ca="1">AVERAGE(OFFSET($CC$3,0,0,'Données projet'!$E$12+1,1))-AVERAGE(OFFSET($H$3,0,0,'Données projet'!$E$12+1,1))</f>
        <v>93.329407403816901</v>
      </c>
      <c r="CE90" s="59">
        <f t="shared" si="94"/>
        <v>90.925148357295313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15.139972462903216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15.139972462903216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11.4</v>
      </c>
      <c r="CT90" s="12">
        <f>IF('Données projet'!$A$140&gt;35,CT89+CS90-DB89,IF(A90&lt;'Données projet'!$A$140,$CQ$205^A90,IF(A90='Données projet'!$A$140,'Données projet'!$B$140,CT89+CS90-DB89)))</f>
        <v>526.79999999999995</v>
      </c>
      <c r="CU90" s="17">
        <f>CT90*VLOOKUP('Données projet'!$B$13,Paramètres!$A$1:$I$89,3,0)*VLOOKUP('Données projet'!$B$13,Paramètres!$A$1:$I$89,5,0)</f>
        <v>501.30287999999996</v>
      </c>
      <c r="CV90" s="13">
        <f t="shared" si="95"/>
        <v>112.03677556830999</v>
      </c>
      <c r="CW90" s="20">
        <f t="shared" si="67"/>
        <v>1068.2332334481396</v>
      </c>
      <c r="CX90" s="59">
        <f t="shared" si="68"/>
        <v>1361.5665667814728</v>
      </c>
      <c r="CY90" s="59">
        <f ca="1">AVERAGE(OFFSET($CX$3,0,0,'Données projet'!$E$13+1,1))-AVERAGE(OFFSET($H$3,0,0,'Données projet'!$E$13+1,1))</f>
        <v>805.04572055352492</v>
      </c>
      <c r="CZ90" s="59">
        <f t="shared" si="96"/>
        <v>708.66645042414962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84.476490706154181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84.476490706154181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6.4</v>
      </c>
      <c r="DO90" s="12">
        <f>IF('Données projet'!$A$166&gt;35,DO89+DN90-DW89,IF(A90&lt;'Données projet'!$A$166,$DL$205^A90,IF(A90='Données projet'!$A$166,'Données projet'!$B$166,DO89+DN90-DW89)))</f>
        <v>463.7999999999999</v>
      </c>
      <c r="DP90" s="17">
        <f>DO90*VLOOKUP('Données projet'!$B$14,Paramètres!$A$1:$I$89,3,0)*VLOOKUP('Données projet'!$B$14,Paramètres!$A$1:$I$89,5,0)</f>
        <v>311.11703999999992</v>
      </c>
      <c r="DQ90" s="13">
        <f t="shared" si="97"/>
        <v>73.502063725794855</v>
      </c>
      <c r="DR90" s="20">
        <f t="shared" si="70"/>
        <v>669.87827232242591</v>
      </c>
      <c r="DS90" s="59">
        <f t="shared" si="71"/>
        <v>963.21160565575929</v>
      </c>
      <c r="DT90" s="59">
        <f ca="1">AVERAGE(OFFSET($DS$3,0,0,'Données projet'!$E$14+1,1))-AVERAGE(OFFSET($H$3,0,0,'Données projet'!$E$14+1,1))</f>
        <v>482.69499576870095</v>
      </c>
      <c r="DU90" s="59">
        <f t="shared" si="98"/>
        <v>384.28918352579575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30.170686541289122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30.170686541289122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1.7053025658242404E-13</v>
      </c>
      <c r="EK90" s="17">
        <f>EJ90*VLOOKUP('Données projet'!$B$15,Paramètres!$A$1:$I$89,3,0)*VLOOKUP('Données projet'!$B$15,Paramètres!$A$1:$I$89,5,0)</f>
        <v>1.250327841262333E-13</v>
      </c>
      <c r="EL90" s="13">
        <f t="shared" si="99"/>
        <v>1.8301318724634299E-12</v>
      </c>
      <c r="EM90" s="20">
        <f t="shared" si="73"/>
        <v>3.405245110226996E-12</v>
      </c>
      <c r="EN90" s="59">
        <f t="shared" si="74"/>
        <v>293.33333333333672</v>
      </c>
      <c r="EO90" s="59">
        <f ca="1">AVERAGE(OFFSET($EN$3,0,0,'Données projet'!$E$15+1,1))-AVERAGE(OFFSET($H$3,0,0,'Données projet'!$E$15+1,1))</f>
        <v>197.34725966440715</v>
      </c>
      <c r="EP90" s="59">
        <f t="shared" si="100"/>
        <v>240.16326570529532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21.026416252621928</v>
      </c>
      <c r="EW90" s="21">
        <f>EXP(-LN(2)/25)*EW89+(1-EXP(-LN(2)/25))/(LN(2)/25)*Calculateur!ER90*Calculateur!ET90*VLOOKUP('Données projet'!$B$15,Paramètres!$A$1:$I$89,3,0)*0.475*44/12</f>
        <v>11.041078484179547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32.067494736801478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2.2737367544323206E-13</v>
      </c>
      <c r="FF90" s="17">
        <f>FE90*VLOOKUP('Données projet'!$B$16,Paramètres!$A$1:$I$89,3,0)*VLOOKUP('Données projet'!$B$16,Paramètres!$A$1:$I$89,5,0)</f>
        <v>1.2710188457276673E-13</v>
      </c>
      <c r="FG90" s="13">
        <f t="shared" si="101"/>
        <v>1.856866851063998E-12</v>
      </c>
      <c r="FH90" s="20">
        <f t="shared" si="76"/>
        <v>3.4554122145673649E-12</v>
      </c>
      <c r="FI90" s="59">
        <f t="shared" si="77"/>
        <v>293.33333333333678</v>
      </c>
      <c r="FJ90" s="59">
        <f ca="1">AVERAGE(OFFSET($FI$3,0,0,'Données projet'!$E$16+1,1))-AVERAGE(OFFSET($H$3,0,0,'Données projet'!$E$16+1,1))</f>
        <v>346.42094266871379</v>
      </c>
      <c r="FK90" s="59">
        <f t="shared" si="102"/>
        <v>453.48153556975973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100.3321258070067</v>
      </c>
      <c r="FR90" s="21">
        <f>EXP(-LN(2)/25)*FR89+(1-EXP(-LN(2)/25))/(LN(2)/25)*Calculateur!FM90*Calculateur!FO90*VLOOKUP('Données projet'!$B$16,Paramètres!$A$1:$I$89,3,0)*0.475*44/12</f>
        <v>49.9070996021699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150.23922540917661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-1.1368683772161603E-13</v>
      </c>
      <c r="GA90" s="17">
        <f>FZ90*VLOOKUP('Données projet'!$B$17,Paramètres!$A$1:$I$89,3,0)*VLOOKUP('Données projet'!$B$17,Paramètres!$A$1:$I$89,5,0)</f>
        <v>-5.3205440053716299E-14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198.26255998041</v>
      </c>
      <c r="GF90" s="59">
        <f t="shared" si="104"/>
        <v>238.62101708181166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64.309808580721011</v>
      </c>
      <c r="GM90" s="21">
        <f>EXP(-LN(2)/25)*GM89+(1-EXP(-LN(2)/25))/(LN(2)/25)*Calculateur!GH90*Calculateur!GJ90*VLOOKUP('Données projet'!$B$17,Paramètres!$A$1:$I$89,3,0)*0.475*44/12</f>
        <v>29.453781707333349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93.76359028805436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8.1999999999999993</v>
      </c>
      <c r="GU90" s="12">
        <f>IF('Données projet'!$A$270&gt;35,GU89+GT90-HC89,IF(A90&lt;'Données projet'!$A$270,$GR$205^A90,IF(A90='Données projet'!$A$270,'Données projet'!$B$270,GU89+GT90-HC89)))</f>
        <v>472.40000000000003</v>
      </c>
      <c r="GV90" s="17">
        <f>GU90*VLOOKUP('Données projet'!$B$18,Paramètres!$A$1:$I$89,3,0)*VLOOKUP('Données projet'!$B$18,Paramètres!$A$1:$I$89,5,0)</f>
        <v>544.20479999999998</v>
      </c>
      <c r="GW90" s="13">
        <f t="shared" si="105"/>
        <v>120.46799805271155</v>
      </c>
      <c r="GX90" s="20">
        <f t="shared" si="82"/>
        <v>1157.6384566084726</v>
      </c>
      <c r="GY90" s="59">
        <f t="shared" si="83"/>
        <v>1450.9717899418058</v>
      </c>
      <c r="GZ90" s="59">
        <f ca="1">AVERAGE(OFFSET($GY$3,0,0,'Données projet'!$E$18+1,1))-AVERAGE(OFFSET($H$3,0,0,'Données projet'!$E$18+1,1))</f>
        <v>604.0566904089452</v>
      </c>
      <c r="HA90" s="59">
        <f t="shared" si="106"/>
        <v>369.5187835902687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50.578116946777868</v>
      </c>
      <c r="HH90" s="21">
        <f>EXP(-LN(2)/25)*HH89+(1-EXP(-LN(2)/25))/(LN(2)/25)*Calculateur!HC90*Calculateur!HE90*VLOOKUP('Données projet'!$B$18,Paramètres!$A$1:$I$89,3,0)*0.475*44/12</f>
        <v>23.109836187988183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73.687953134766047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7.4444444444444446</v>
      </c>
      <c r="N91" s="13">
        <f>IF('Données projet'!$A$36&gt;35,N90+M91-V90,IF(A91&lt;'Données projet'!$A$36,$K$205^A91,IF(A91='Données projet'!$A$36,'Données projet'!$B$36,N90+M91-V90)))</f>
        <v>278.44444444444429</v>
      </c>
      <c r="O91" s="13">
        <f>N91*VLOOKUP('Données projet'!$B$9,Paramètres!$A$1:$I$89,3,0)*VLOOKUP('Données projet'!$B$9,Paramètres!$A$1:$I$89,5,0)</f>
        <v>251.93653333333319</v>
      </c>
      <c r="P91" s="13">
        <f t="shared" si="87"/>
        <v>61.000433908432363</v>
      </c>
      <c r="Q91" s="20">
        <f t="shared" si="54"/>
        <v>545.03188461274169</v>
      </c>
      <c r="R91" s="59">
        <f t="shared" si="55"/>
        <v>838.36521794607506</v>
      </c>
      <c r="S91" s="59">
        <f ca="1">AVERAGE(OFFSET($R$3,0,0,'Données projet'!$E$9+1,1))-AVERAGE(OFFSET($H$3,0,0,'Données projet'!$E$9+1,1))</f>
        <v>528.20489749461376</v>
      </c>
      <c r="T91" s="59">
        <f t="shared" si="88"/>
        <v>276.26988364830532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45.570438589837053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45.570438589837053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2.2737367544323206E-13</v>
      </c>
      <c r="AJ91" s="13">
        <f>AI91*VLOOKUP('Données projet'!$B$10,Paramètres!$A$1:$I$89,3,0)*VLOOKUP('Données projet'!$B$10,Paramètres!$A$1:$I$89,5,0)</f>
        <v>2.0572770154103635E-13</v>
      </c>
      <c r="AK91" s="13">
        <f t="shared" si="89"/>
        <v>2.8416956338469711E-12</v>
      </c>
      <c r="AL91" s="20">
        <f t="shared" si="58"/>
        <v>5.3075956424674458E-12</v>
      </c>
      <c r="AM91" s="59">
        <f t="shared" si="59"/>
        <v>293.3333333333386</v>
      </c>
      <c r="AN91" s="59">
        <f ca="1">AVERAGE(OFFSET($AM$3,0,0,'Données projet'!$E$10+1,1))-AVERAGE(OFFSET($H$3,0,0,'Données projet'!$E$10+1,1))</f>
        <v>436.23918637269577</v>
      </c>
      <c r="AO91" s="59">
        <f t="shared" si="90"/>
        <v>611.43967996341894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31.160817833184005</v>
      </c>
      <c r="AV91" s="21">
        <f>EXP(-LN(2)/25)*AV90+(1-EXP(-LN(2)/25))/(LN(2)/25)*Calculateur!AQ91*Calculateur!AS91*VLOOKUP('Données projet'!$B$10,Paramètres!$A$1:$I$89,3,0)*0.475*44/12</f>
        <v>13.139559143480401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44.30037697666441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4.4337866711430253E-14</v>
      </c>
      <c r="BF91" s="13">
        <f t="shared" si="91"/>
        <v>7.3222115536967035E-13</v>
      </c>
      <c r="BG91" s="20">
        <f t="shared" si="61"/>
        <v>1.3525069634579169E-12</v>
      </c>
      <c r="BH91" s="59">
        <f t="shared" si="62"/>
        <v>293.33333333333468</v>
      </c>
      <c r="BI91" s="59">
        <f ca="1">AVERAGE(OFFSET($BH$3,0,0,'Données projet'!$E$11+1,1))-AVERAGE(OFFSET($H$3,0,0,'Données projet'!$E$11+1,1))</f>
        <v>288.82868507674738</v>
      </c>
      <c r="BJ91" s="59">
        <f t="shared" si="92"/>
        <v>283.48738729114024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60.70991025175335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60.70991025175335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2.1316282072803006E-14</v>
      </c>
      <c r="BZ91" s="13">
        <f>BY91*VLOOKUP('Données projet'!$B$12,Paramètres!$A$1:$I$89,3,0)*VLOOKUP('Données projet'!$B$12,Paramètres!$A$1:$I$89,5,0)</f>
        <v>1.8621904018800709E-14</v>
      </c>
      <c r="CA91" s="13">
        <f t="shared" si="93"/>
        <v>3.40208645124969E-13</v>
      </c>
      <c r="CB91" s="20">
        <f t="shared" si="64"/>
        <v>6.2496320642539887E-13</v>
      </c>
      <c r="CC91" s="59">
        <f t="shared" si="65"/>
        <v>293.33333333333394</v>
      </c>
      <c r="CD91" s="59">
        <f ca="1">AVERAGE(OFFSET($CC$3,0,0,'Données projet'!$E$12+1,1))-AVERAGE(OFFSET($H$3,0,0,'Données projet'!$E$12+1,1))</f>
        <v>93.329407403816901</v>
      </c>
      <c r="CE91" s="59">
        <f t="shared" si="94"/>
        <v>90.925148357295313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14.843086837377058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14.843086837377058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11.4</v>
      </c>
      <c r="CT91" s="12">
        <f>IF('Données projet'!$A$140&gt;35,CT90+CS91-DB90,IF(A91&lt;'Données projet'!$A$140,$CQ$205^A91,IF(A91='Données projet'!$A$140,'Données projet'!$B$140,CT90+CS91-DB90)))</f>
        <v>538.19999999999993</v>
      </c>
      <c r="CU91" s="17">
        <f>CT91*VLOOKUP('Données projet'!$B$13,Paramètres!$A$1:$I$89,3,0)*VLOOKUP('Données projet'!$B$13,Paramètres!$A$1:$I$89,5,0)</f>
        <v>512.15111999999999</v>
      </c>
      <c r="CV91" s="13">
        <f t="shared" si="95"/>
        <v>114.17637481177729</v>
      </c>
      <c r="CW91" s="20">
        <f t="shared" si="67"/>
        <v>1090.8537201305121</v>
      </c>
      <c r="CX91" s="59">
        <f t="shared" si="68"/>
        <v>1384.1870534638454</v>
      </c>
      <c r="CY91" s="59">
        <f ca="1">AVERAGE(OFFSET($CX$3,0,0,'Données projet'!$E$13+1,1))-AVERAGE(OFFSET($H$3,0,0,'Données projet'!$E$13+1,1))</f>
        <v>805.04572055352492</v>
      </c>
      <c r="CZ91" s="59">
        <f t="shared" si="96"/>
        <v>708.66645042414962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82.819958248978097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82.819958248978097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6.4</v>
      </c>
      <c r="DO91" s="12">
        <f>IF('Données projet'!$A$166&gt;35,DO90+DN91-DW90,IF(A91&lt;'Données projet'!$A$166,$DL$205^A91,IF(A91='Données projet'!$A$166,'Données projet'!$B$166,DO90+DN91-DW90)))</f>
        <v>470.19999999999987</v>
      </c>
      <c r="DP91" s="17">
        <f>DO91*VLOOKUP('Données projet'!$B$14,Paramètres!$A$1:$I$89,3,0)*VLOOKUP('Données projet'!$B$14,Paramètres!$A$1:$I$89,5,0)</f>
        <v>315.41015999999991</v>
      </c>
      <c r="DQ91" s="13">
        <f t="shared" si="97"/>
        <v>74.397546683974127</v>
      </c>
      <c r="DR91" s="20">
        <f t="shared" si="70"/>
        <v>678.91508914125473</v>
      </c>
      <c r="DS91" s="59">
        <f t="shared" si="71"/>
        <v>972.2484224745881</v>
      </c>
      <c r="DT91" s="59">
        <f ca="1">AVERAGE(OFFSET($DS$3,0,0,'Données projet'!$E$14+1,1))-AVERAGE(OFFSET($H$3,0,0,'Données projet'!$E$14+1,1))</f>
        <v>482.69499576870095</v>
      </c>
      <c r="DU91" s="59">
        <f t="shared" si="98"/>
        <v>384.28918352579575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29.579057780516155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29.579057780516155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1.7053025658242404E-13</v>
      </c>
      <c r="EK91" s="17">
        <f>EJ91*VLOOKUP('Données projet'!$B$15,Paramètres!$A$1:$I$89,3,0)*VLOOKUP('Données projet'!$B$15,Paramètres!$A$1:$I$89,5,0)</f>
        <v>1.250327841262333E-13</v>
      </c>
      <c r="EL91" s="13">
        <f t="shared" si="99"/>
        <v>1.8301318724634299E-12</v>
      </c>
      <c r="EM91" s="20">
        <f t="shared" si="73"/>
        <v>3.405245110226996E-12</v>
      </c>
      <c r="EN91" s="59">
        <f t="shared" si="74"/>
        <v>293.33333333333672</v>
      </c>
      <c r="EO91" s="59">
        <f ca="1">AVERAGE(OFFSET($EN$3,0,0,'Données projet'!$E$15+1,1))-AVERAGE(OFFSET($H$3,0,0,'Données projet'!$E$15+1,1))</f>
        <v>197.34725966440715</v>
      </c>
      <c r="EP91" s="59">
        <f t="shared" si="100"/>
        <v>240.16326570529532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20.614101054755576</v>
      </c>
      <c r="EW91" s="21">
        <f>EXP(-LN(2)/25)*EW90+(1-EXP(-LN(2)/25))/(LN(2)/25)*Calculateur!ER91*Calculateur!ET91*VLOOKUP('Données projet'!$B$15,Paramètres!$A$1:$I$89,3,0)*0.475*44/12</f>
        <v>10.739159612404574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31.35326066716015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2.2737367544323206E-13</v>
      </c>
      <c r="FF91" s="17">
        <f>FE91*VLOOKUP('Données projet'!$B$16,Paramètres!$A$1:$I$89,3,0)*VLOOKUP('Données projet'!$B$16,Paramètres!$A$1:$I$89,5,0)</f>
        <v>1.2710188457276673E-13</v>
      </c>
      <c r="FG91" s="13">
        <f t="shared" si="101"/>
        <v>1.856866851063998E-12</v>
      </c>
      <c r="FH91" s="20">
        <f t="shared" si="76"/>
        <v>3.4554122145673649E-12</v>
      </c>
      <c r="FI91" s="59">
        <f t="shared" si="77"/>
        <v>293.33333333333678</v>
      </c>
      <c r="FJ91" s="59">
        <f ca="1">AVERAGE(OFFSET($FI$3,0,0,'Données projet'!$E$16+1,1))-AVERAGE(OFFSET($H$3,0,0,'Données projet'!$E$16+1,1))</f>
        <v>346.42094266871379</v>
      </c>
      <c r="FK91" s="59">
        <f t="shared" si="102"/>
        <v>453.48153556975973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98.364674016485381</v>
      </c>
      <c r="FR91" s="21">
        <f>EXP(-LN(2)/25)*FR90+(1-EXP(-LN(2)/25))/(LN(2)/25)*Calculateur!FM91*Calculateur!FO91*VLOOKUP('Données projet'!$B$16,Paramètres!$A$1:$I$89,3,0)*0.475*44/12</f>
        <v>48.542387339048261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146.90706135553364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-1.1368683772161603E-13</v>
      </c>
      <c r="GA91" s="17">
        <f>FZ91*VLOOKUP('Données projet'!$B$17,Paramètres!$A$1:$I$89,3,0)*VLOOKUP('Données projet'!$B$17,Paramètres!$A$1:$I$89,5,0)</f>
        <v>-5.3205440053716299E-14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198.26255998041</v>
      </c>
      <c r="GF91" s="59">
        <f t="shared" si="104"/>
        <v>238.62101708181166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63.048732459563148</v>
      </c>
      <c r="GM91" s="21">
        <f>EXP(-LN(2)/25)*GM90+(1-EXP(-LN(2)/25))/(LN(2)/25)*Calculateur!GH91*Calculateur!GJ91*VLOOKUP('Données projet'!$B$17,Paramètres!$A$1:$I$89,3,0)*0.475*44/12</f>
        <v>28.648366497639255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91.6970989572024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8.1999999999999993</v>
      </c>
      <c r="GU91" s="12">
        <f>IF('Données projet'!$A$270&gt;35,GU90+GT91-HC90,IF(A91&lt;'Données projet'!$A$270,$GR$205^A91,IF(A91='Données projet'!$A$270,'Données projet'!$B$270,GU90+GT91-HC90)))</f>
        <v>480.6</v>
      </c>
      <c r="GV91" s="17">
        <f>GU91*VLOOKUP('Données projet'!$B$18,Paramètres!$A$1:$I$89,3,0)*VLOOKUP('Données projet'!$B$18,Paramètres!$A$1:$I$89,5,0)</f>
        <v>553.6511999999999</v>
      </c>
      <c r="GW91" s="13">
        <f t="shared" si="105"/>
        <v>122.31384296666472</v>
      </c>
      <c r="GX91" s="20">
        <f t="shared" si="82"/>
        <v>1177.305783166941</v>
      </c>
      <c r="GY91" s="59">
        <f t="shared" si="83"/>
        <v>1470.6391165002742</v>
      </c>
      <c r="GZ91" s="59">
        <f ca="1">AVERAGE(OFFSET($GY$3,0,0,'Données projet'!$E$18+1,1))-AVERAGE(OFFSET($H$3,0,0,'Données projet'!$E$18+1,1))</f>
        <v>604.0566904089452</v>
      </c>
      <c r="HA91" s="59">
        <f t="shared" si="106"/>
        <v>369.5187835902687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49.586310923056743</v>
      </c>
      <c r="HH91" s="21">
        <f>EXP(-LN(2)/25)*HH90+(1-EXP(-LN(2)/25))/(LN(2)/25)*Calculateur!HC91*Calculateur!HE91*VLOOKUP('Données projet'!$B$18,Paramètres!$A$1:$I$89,3,0)*0.475*44/12</f>
        <v>22.477896502134179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72.064207425190915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7.4444444444444446</v>
      </c>
      <c r="N92" s="13">
        <f>IF('Données projet'!$A$36&gt;35,N91+M92-V91,IF(A92&lt;'Données projet'!$A$36,$K$205^A92,IF(A92='Données projet'!$A$36,'Données projet'!$B$36,N91+M92-V91)))</f>
        <v>285.88888888888874</v>
      </c>
      <c r="O92" s="13">
        <f>N92*VLOOKUP('Données projet'!$B$9,Paramètres!$A$1:$I$89,3,0)*VLOOKUP('Données projet'!$B$9,Paramètres!$A$1:$I$89,5,0)</f>
        <v>258.67226666666653</v>
      </c>
      <c r="P92" s="13">
        <f t="shared" si="87"/>
        <v>62.439274588593669</v>
      </c>
      <c r="Q92" s="20">
        <f t="shared" si="54"/>
        <v>559.2692676862448</v>
      </c>
      <c r="R92" s="59">
        <f t="shared" si="55"/>
        <v>852.60260101957806</v>
      </c>
      <c r="S92" s="59">
        <f ca="1">AVERAGE(OFFSET($R$3,0,0,'Données projet'!$E$9+1,1))-AVERAGE(OFFSET($H$3,0,0,'Données projet'!$E$9+1,1))</f>
        <v>528.20489749461376</v>
      </c>
      <c r="T92" s="59">
        <f t="shared" si="88"/>
        <v>276.26988364830532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44.676830084313337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44.676830084313337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2.2737367544323206E-13</v>
      </c>
      <c r="AJ92" s="13">
        <f>AI92*VLOOKUP('Données projet'!$B$10,Paramètres!$A$1:$I$89,3,0)*VLOOKUP('Données projet'!$B$10,Paramètres!$A$1:$I$89,5,0)</f>
        <v>2.0572770154103635E-13</v>
      </c>
      <c r="AK92" s="13">
        <f t="shared" si="89"/>
        <v>2.8416956338469711E-12</v>
      </c>
      <c r="AL92" s="20">
        <f t="shared" si="58"/>
        <v>5.3075956424674458E-12</v>
      </c>
      <c r="AM92" s="59">
        <f t="shared" si="59"/>
        <v>293.3333333333386</v>
      </c>
      <c r="AN92" s="59">
        <f ca="1">AVERAGE(OFFSET($AM$3,0,0,'Données projet'!$E$10+1,1))-AVERAGE(OFFSET($H$3,0,0,'Données projet'!$E$10+1,1))</f>
        <v>436.23918637269577</v>
      </c>
      <c r="AO92" s="59">
        <f t="shared" si="90"/>
        <v>611.43967996341894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30.549773201697437</v>
      </c>
      <c r="AV92" s="21">
        <f>EXP(-LN(2)/25)*AV91+(1-EXP(-LN(2)/25))/(LN(2)/25)*Calculateur!AQ92*Calculateur!AS92*VLOOKUP('Données projet'!$B$10,Paramètres!$A$1:$I$89,3,0)*0.475*44/12</f>
        <v>12.780257207722546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43.330030409419983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4.4337866711430253E-14</v>
      </c>
      <c r="BF92" s="13">
        <f t="shared" si="91"/>
        <v>7.3222115536967035E-13</v>
      </c>
      <c r="BG92" s="20">
        <f t="shared" si="61"/>
        <v>1.3525069634579169E-12</v>
      </c>
      <c r="BH92" s="59">
        <f t="shared" si="62"/>
        <v>293.33333333333468</v>
      </c>
      <c r="BI92" s="59">
        <f ca="1">AVERAGE(OFFSET($BH$3,0,0,'Données projet'!$E$11+1,1))-AVERAGE(OFFSET($H$3,0,0,'Données projet'!$E$11+1,1))</f>
        <v>288.82868507674738</v>
      </c>
      <c r="BJ92" s="59">
        <f t="shared" si="92"/>
        <v>283.48738729114024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59.519425941105375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59.519425941105375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2.1316282072803006E-14</v>
      </c>
      <c r="BZ92" s="13">
        <f>BY92*VLOOKUP('Données projet'!$B$12,Paramètres!$A$1:$I$89,3,0)*VLOOKUP('Données projet'!$B$12,Paramètres!$A$1:$I$89,5,0)</f>
        <v>1.8621904018800709E-14</v>
      </c>
      <c r="CA92" s="13">
        <f t="shared" si="93"/>
        <v>3.40208645124969E-13</v>
      </c>
      <c r="CB92" s="20">
        <f t="shared" si="64"/>
        <v>6.2496320642539887E-13</v>
      </c>
      <c r="CC92" s="59">
        <f t="shared" si="65"/>
        <v>293.33333333333394</v>
      </c>
      <c r="CD92" s="59">
        <f ca="1">AVERAGE(OFFSET($CC$3,0,0,'Données projet'!$E$12+1,1))-AVERAGE(OFFSET($H$3,0,0,'Données projet'!$E$12+1,1))</f>
        <v>93.329407403816901</v>
      </c>
      <c r="CE92" s="59">
        <f t="shared" si="94"/>
        <v>90.925148357295313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14.552022957885116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14.552022957885116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11.4</v>
      </c>
      <c r="CT92" s="12">
        <f>IF('Données projet'!$A$140&gt;35,CT91+CS92-DB91,IF(A92&lt;'Données projet'!$A$140,$CQ$205^A92,IF(A92='Données projet'!$A$140,'Données projet'!$B$140,CT91+CS92-DB91)))</f>
        <v>549.59999999999991</v>
      </c>
      <c r="CU92" s="17">
        <f>CT92*VLOOKUP('Données projet'!$B$13,Paramètres!$A$1:$I$89,3,0)*VLOOKUP('Données projet'!$B$13,Paramètres!$A$1:$I$89,5,0)</f>
        <v>522.99935999999991</v>
      </c>
      <c r="CV92" s="13">
        <f t="shared" si="95"/>
        <v>116.31070484382474</v>
      </c>
      <c r="CW92" s="20">
        <f t="shared" si="67"/>
        <v>1113.4650296029945</v>
      </c>
      <c r="CX92" s="59">
        <f t="shared" si="68"/>
        <v>1406.7983629363277</v>
      </c>
      <c r="CY92" s="59">
        <f ca="1">AVERAGE(OFFSET($CX$3,0,0,'Données projet'!$E$13+1,1))-AVERAGE(OFFSET($H$3,0,0,'Données projet'!$E$13+1,1))</f>
        <v>805.04572055352492</v>
      </c>
      <c r="CZ92" s="59">
        <f t="shared" si="96"/>
        <v>708.66645042414962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81.195909382902201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81.195909382902201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6.4</v>
      </c>
      <c r="DO92" s="12">
        <f>IF('Données projet'!$A$166&gt;35,DO91+DN92-DW91,IF(A92&lt;'Données projet'!$A$166,$DL$205^A92,IF(A92='Données projet'!$A$166,'Données projet'!$B$166,DO91+DN92-DW91)))</f>
        <v>476.59999999999985</v>
      </c>
      <c r="DP92" s="17">
        <f>DO92*VLOOKUP('Données projet'!$B$14,Paramètres!$A$1:$I$89,3,0)*VLOOKUP('Données projet'!$B$14,Paramètres!$A$1:$I$89,5,0)</f>
        <v>319.70327999999989</v>
      </c>
      <c r="DQ92" s="13">
        <f t="shared" si="97"/>
        <v>75.291611963357667</v>
      </c>
      <c r="DR92" s="20">
        <f t="shared" si="70"/>
        <v>687.94943683618101</v>
      </c>
      <c r="DS92" s="59">
        <f t="shared" si="71"/>
        <v>981.28277016951438</v>
      </c>
      <c r="DT92" s="59">
        <f ca="1">AVERAGE(OFFSET($DS$3,0,0,'Données projet'!$E$14+1,1))-AVERAGE(OFFSET($H$3,0,0,'Données projet'!$E$14+1,1))</f>
        <v>482.69499576870095</v>
      </c>
      <c r="DU92" s="59">
        <f t="shared" si="98"/>
        <v>384.28918352579575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28.999030498884036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28.999030498884036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1.7053025658242404E-13</v>
      </c>
      <c r="EK92" s="17">
        <f>EJ92*VLOOKUP('Données projet'!$B$15,Paramètres!$A$1:$I$89,3,0)*VLOOKUP('Données projet'!$B$15,Paramètres!$A$1:$I$89,5,0)</f>
        <v>1.250327841262333E-13</v>
      </c>
      <c r="EL92" s="13">
        <f t="shared" si="99"/>
        <v>1.8301318724634299E-12</v>
      </c>
      <c r="EM92" s="20">
        <f t="shared" si="73"/>
        <v>3.405245110226996E-12</v>
      </c>
      <c r="EN92" s="59">
        <f t="shared" si="74"/>
        <v>293.33333333333672</v>
      </c>
      <c r="EO92" s="59">
        <f ca="1">AVERAGE(OFFSET($EN$3,0,0,'Données projet'!$E$15+1,1))-AVERAGE(OFFSET($H$3,0,0,'Données projet'!$E$15+1,1))</f>
        <v>197.34725966440715</v>
      </c>
      <c r="EP92" s="59">
        <f t="shared" si="100"/>
        <v>240.16326570529532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20.209871106431947</v>
      </c>
      <c r="EW92" s="21">
        <f>EXP(-LN(2)/25)*EW91+(1-EXP(-LN(2)/25))/(LN(2)/25)*Calculateur!ER92*Calculateur!ET92*VLOOKUP('Données projet'!$B$15,Paramètres!$A$1:$I$89,3,0)*0.475*44/12</f>
        <v>10.445496728055511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30.655367834487457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2.2737367544323206E-13</v>
      </c>
      <c r="FF92" s="17">
        <f>FE92*VLOOKUP('Données projet'!$B$16,Paramètres!$A$1:$I$89,3,0)*VLOOKUP('Données projet'!$B$16,Paramètres!$A$1:$I$89,5,0)</f>
        <v>1.2710188457276673E-13</v>
      </c>
      <c r="FG92" s="13">
        <f t="shared" si="101"/>
        <v>1.856866851063998E-12</v>
      </c>
      <c r="FH92" s="20">
        <f t="shared" si="76"/>
        <v>3.4554122145673649E-12</v>
      </c>
      <c r="FI92" s="59">
        <f t="shared" si="77"/>
        <v>293.33333333333678</v>
      </c>
      <c r="FJ92" s="59">
        <f ca="1">AVERAGE(OFFSET($FI$3,0,0,'Données projet'!$E$16+1,1))-AVERAGE(OFFSET($H$3,0,0,'Données projet'!$E$16+1,1))</f>
        <v>346.42094266871379</v>
      </c>
      <c r="FK92" s="59">
        <f t="shared" si="102"/>
        <v>453.48153556975973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96.435802755549091</v>
      </c>
      <c r="FR92" s="21">
        <f>EXP(-LN(2)/25)*FR91+(1-EXP(-LN(2)/25))/(LN(2)/25)*Calculateur!FM92*Calculateur!FO92*VLOOKUP('Données projet'!$B$16,Paramètres!$A$1:$I$89,3,0)*0.475*44/12</f>
        <v>47.214993204528781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143.65079596007786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-1.1368683772161603E-13</v>
      </c>
      <c r="GA92" s="17">
        <f>FZ92*VLOOKUP('Données projet'!$B$17,Paramètres!$A$1:$I$89,3,0)*VLOOKUP('Données projet'!$B$17,Paramètres!$A$1:$I$89,5,0)</f>
        <v>-5.3205440053716299E-14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198.26255998041</v>
      </c>
      <c r="GF92" s="59">
        <f t="shared" si="104"/>
        <v>238.62101708181166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61.812385271960707</v>
      </c>
      <c r="GM92" s="21">
        <f>EXP(-LN(2)/25)*GM91+(1-EXP(-LN(2)/25))/(LN(2)/25)*Calculateur!GH92*Calculateur!GJ92*VLOOKUP('Données projet'!$B$17,Paramètres!$A$1:$I$89,3,0)*0.475*44/12</f>
        <v>27.864975409209194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89.677360681169901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8.1999999999999993</v>
      </c>
      <c r="GU92" s="12">
        <f>IF('Données projet'!$A$270&gt;35,GU91+GT92-HC91,IF(A92&lt;'Données projet'!$A$270,$GR$205^A92,IF(A92='Données projet'!$A$270,'Données projet'!$B$270,GU91+GT92-HC91)))</f>
        <v>488.8</v>
      </c>
      <c r="GV92" s="17">
        <f>GU92*VLOOKUP('Données projet'!$B$18,Paramètres!$A$1:$I$89,3,0)*VLOOKUP('Données projet'!$B$18,Paramètres!$A$1:$I$89,5,0)</f>
        <v>563.09759999999994</v>
      </c>
      <c r="GW92" s="13">
        <f t="shared" si="105"/>
        <v>124.15602545033461</v>
      </c>
      <c r="GX92" s="20">
        <f t="shared" si="82"/>
        <v>1196.966730992666</v>
      </c>
      <c r="GY92" s="59">
        <f t="shared" si="83"/>
        <v>1490.3000643259993</v>
      </c>
      <c r="GZ92" s="59">
        <f ca="1">AVERAGE(OFFSET($GY$3,0,0,'Données projet'!$E$18+1,1))-AVERAGE(OFFSET($H$3,0,0,'Données projet'!$E$18+1,1))</f>
        <v>604.0566904089452</v>
      </c>
      <c r="HA92" s="59">
        <f t="shared" si="106"/>
        <v>369.5187835902687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48.613953610518848</v>
      </c>
      <c r="HH92" s="21">
        <f>EXP(-LN(2)/25)*HH91+(1-EXP(-LN(2)/25))/(LN(2)/25)*Calculateur!HC92*Calculateur!HE92*VLOOKUP('Données projet'!$B$18,Paramètres!$A$1:$I$89,3,0)*0.475*44/12</f>
        <v>21.863237240222116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70.477190850740968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7.4444444444444446</v>
      </c>
      <c r="N93" s="13">
        <f>IF('Données projet'!$A$36&gt;35,N92+M93-V92,IF(A93&lt;'Données projet'!$A$36,$K$205^A93,IF(A93='Données projet'!$A$36,'Données projet'!$B$36,N92+M93-V92)))</f>
        <v>293.3333333333332</v>
      </c>
      <c r="O93" s="13">
        <f>N93*VLOOKUP('Données projet'!$B$9,Paramètres!$A$1:$I$89,3,0)*VLOOKUP('Données projet'!$B$9,Paramètres!$A$1:$I$89,5,0)</f>
        <v>265.40799999999984</v>
      </c>
      <c r="P93" s="13">
        <f t="shared" si="87"/>
        <v>63.873760204530669</v>
      </c>
      <c r="Q93" s="20">
        <f t="shared" si="54"/>
        <v>573.49906568955737</v>
      </c>
      <c r="R93" s="59">
        <f t="shared" si="55"/>
        <v>866.83239902289074</v>
      </c>
      <c r="S93" s="59">
        <f ca="1">AVERAGE(OFFSET($R$3,0,0,'Données projet'!$E$9+1,1))-AVERAGE(OFFSET($H$3,0,0,'Données projet'!$E$9+1,1))</f>
        <v>528.20489749461376</v>
      </c>
      <c r="T93" s="59">
        <f t="shared" si="88"/>
        <v>276.26988364830532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43.800744696535574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43.800744696535574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2.2737367544323206E-13</v>
      </c>
      <c r="AJ93" s="13">
        <f>AI93*VLOOKUP('Données projet'!$B$10,Paramètres!$A$1:$I$89,3,0)*VLOOKUP('Données projet'!$B$10,Paramètres!$A$1:$I$89,5,0)</f>
        <v>2.0572770154103635E-13</v>
      </c>
      <c r="AK93" s="13">
        <f t="shared" si="89"/>
        <v>2.8416956338469711E-12</v>
      </c>
      <c r="AL93" s="20">
        <f t="shared" si="58"/>
        <v>5.3075956424674458E-12</v>
      </c>
      <c r="AM93" s="59">
        <f t="shared" si="59"/>
        <v>293.3333333333386</v>
      </c>
      <c r="AN93" s="59">
        <f ca="1">AVERAGE(OFFSET($AM$3,0,0,'Données projet'!$E$10+1,1))-AVERAGE(OFFSET($H$3,0,0,'Données projet'!$E$10+1,1))</f>
        <v>436.23918637269577</v>
      </c>
      <c r="AO93" s="59">
        <f t="shared" si="90"/>
        <v>611.43967996341894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29.950710782733896</v>
      </c>
      <c r="AV93" s="21">
        <f>EXP(-LN(2)/25)*AV92+(1-EXP(-LN(2)/25))/(LN(2)/25)*Calculateur!AQ93*Calculateur!AS93*VLOOKUP('Données projet'!$B$10,Paramètres!$A$1:$I$89,3,0)*0.475*44/12</f>
        <v>12.430780402292855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42.381491185026753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4.4337866711430253E-14</v>
      </c>
      <c r="BF93" s="13">
        <f t="shared" si="91"/>
        <v>7.3222115536967035E-13</v>
      </c>
      <c r="BG93" s="20">
        <f t="shared" si="61"/>
        <v>1.3525069634579169E-12</v>
      </c>
      <c r="BH93" s="59">
        <f t="shared" si="62"/>
        <v>293.33333333333468</v>
      </c>
      <c r="BI93" s="59">
        <f ca="1">AVERAGE(OFFSET($BH$3,0,0,'Données projet'!$E$11+1,1))-AVERAGE(OFFSET($H$3,0,0,'Données projet'!$E$11+1,1))</f>
        <v>288.82868507674738</v>
      </c>
      <c r="BJ93" s="59">
        <f t="shared" si="92"/>
        <v>283.48738729114024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58.352286301665472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58.352286301665472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2.1316282072803006E-14</v>
      </c>
      <c r="BZ93" s="13">
        <f>BY93*VLOOKUP('Données projet'!$B$12,Paramètres!$A$1:$I$89,3,0)*VLOOKUP('Données projet'!$B$12,Paramètres!$A$1:$I$89,5,0)</f>
        <v>1.8621904018800709E-14</v>
      </c>
      <c r="CA93" s="13">
        <f t="shared" si="93"/>
        <v>3.40208645124969E-13</v>
      </c>
      <c r="CB93" s="20">
        <f t="shared" si="64"/>
        <v>6.2496320642539887E-13</v>
      </c>
      <c r="CC93" s="59">
        <f t="shared" si="65"/>
        <v>293.33333333333394</v>
      </c>
      <c r="CD93" s="59">
        <f ca="1">AVERAGE(OFFSET($CC$3,0,0,'Données projet'!$E$12+1,1))-AVERAGE(OFFSET($H$3,0,0,'Données projet'!$E$12+1,1))</f>
        <v>93.329407403816901</v>
      </c>
      <c r="CE93" s="59">
        <f t="shared" si="94"/>
        <v>90.925148357295313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14.266666663538576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14.266666663538576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561</v>
      </c>
      <c r="CR93" s="12">
        <f>VLOOKUP(A93,'Données projet'!$A$139:$I$159,9,0)</f>
        <v>11.4</v>
      </c>
      <c r="CS93" s="12">
        <f t="array" ref="CS93">INDEX(CR:CR,MIN(IF(ISNUMBER(CR93:CR289),ROW(CR93:CR289),"")))</f>
        <v>11.4</v>
      </c>
      <c r="CT93" s="12">
        <f>IF('Données projet'!$A$140&gt;35,CT92+CS93-DB92,IF(A93&lt;'Données projet'!$A$140,$CQ$205^A93,IF(A93='Données projet'!$A$140,'Données projet'!$B$140,CT92+CS93-DB92)))</f>
        <v>560.99999999999989</v>
      </c>
      <c r="CU93" s="17">
        <f>CT93*VLOOKUP('Données projet'!$B$13,Paramètres!$A$1:$I$89,3,0)*VLOOKUP('Données projet'!$B$13,Paramètres!$A$1:$I$89,5,0)</f>
        <v>533.84759999999994</v>
      </c>
      <c r="CV93" s="13">
        <f t="shared" si="95"/>
        <v>118.43988755282577</v>
      </c>
      <c r="CW93" s="20">
        <f t="shared" si="67"/>
        <v>1136.0673741545049</v>
      </c>
      <c r="CX93" s="59">
        <f t="shared" si="68"/>
        <v>1429.4007074878382</v>
      </c>
      <c r="CY93" s="59">
        <f ca="1">AVERAGE(OFFSET($CX$3,0,0,'Données projet'!$E$13+1,1))-AVERAGE(OFFSET($H$3,0,0,'Données projet'!$E$13+1,1))</f>
        <v>805.04572055352492</v>
      </c>
      <c r="CZ93" s="59">
        <f t="shared" si="96"/>
        <v>708.66645042414962</v>
      </c>
      <c r="DA93" s="15">
        <f>IF(ISNA(VLOOKUP(A93,'Données projet'!$A$139:$I$159,3,0)),0,VLOOKUP(A93,'Données projet'!$A$139:$I$159,3,0))</f>
        <v>17</v>
      </c>
      <c r="DB93" s="15">
        <f>IF(ISNA(VLOOKUP(A93,'Données projet'!$A$139:$I$159,4,0)),0,VLOOKUP(A93,'Données projet'!$A$139:$I$159,4,0))</f>
        <v>53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93.98828491891652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93.98828491891652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483</v>
      </c>
      <c r="DM93" s="12">
        <f>VLOOKUP(A93,'Données projet'!$A$165:$I$185,9,0)</f>
        <v>6.4</v>
      </c>
      <c r="DN93" s="12">
        <f t="array" ref="DN93">INDEX(DM:DM,MIN(IF(ISNUMBER(DM93:DM289),ROW(DM93:DM289),"")))</f>
        <v>6.4</v>
      </c>
      <c r="DO93" s="12">
        <f>IF('Données projet'!$A$166&gt;35,DO92+DN93-DW92,IF(A93&lt;'Données projet'!$A$166,$DL$205^A93,IF(A93='Données projet'!$A$166,'Données projet'!$B$166,DO92+DN93-DW92)))</f>
        <v>482.99999999999983</v>
      </c>
      <c r="DP93" s="17">
        <f>DO93*VLOOKUP('Données projet'!$B$14,Paramètres!$A$1:$I$89,3,0)*VLOOKUP('Données projet'!$B$14,Paramètres!$A$1:$I$89,5,0)</f>
        <v>323.99639999999988</v>
      </c>
      <c r="DQ93" s="13">
        <f t="shared" si="97"/>
        <v>76.184280801792937</v>
      </c>
      <c r="DR93" s="20">
        <f t="shared" si="70"/>
        <v>696.9813523964558</v>
      </c>
      <c r="DS93" s="59">
        <f t="shared" si="71"/>
        <v>990.31468572978906</v>
      </c>
      <c r="DT93" s="59">
        <f ca="1">AVERAGE(OFFSET($DS$3,0,0,'Données projet'!$E$14+1,1))-AVERAGE(OFFSET($H$3,0,0,'Données projet'!$E$14+1,1))</f>
        <v>482.69499576870095</v>
      </c>
      <c r="DU93" s="59">
        <f t="shared" si="98"/>
        <v>384.28918352579575</v>
      </c>
      <c r="DV93" s="15">
        <f>IF(ISNA(VLOOKUP(A93,'Données projet'!$A$165:$I$185,3,0)),0,VLOOKUP(A93,'Données projet'!$A$165:$I$185,3,0))</f>
        <v>17</v>
      </c>
      <c r="DW93" s="15">
        <f>IF(ISNA(VLOOKUP(A93,'Données projet'!$A$165:$I$185,4,0)),0,VLOOKUP(A93,'Données projet'!$A$165:$I$185,4,0))</f>
        <v>20</v>
      </c>
      <c r="DX93" s="16">
        <f>IF(ISNA(VLOOKUP(A93,'Données projet'!$A$165:$I$185,5,0)),0%,VLOOKUP(A93,'Données projet'!$A$165:$I$185,5,0)*VLOOKUP('Données projet'!$B$14,Paramètres!$A$1:$I$89,7,0))</f>
        <v>0.318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33.146632213019885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33.146632213019885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1.7053025658242404E-13</v>
      </c>
      <c r="EK93" s="17">
        <f>EJ93*VLOOKUP('Données projet'!$B$15,Paramètres!$A$1:$I$89,3,0)*VLOOKUP('Données projet'!$B$15,Paramètres!$A$1:$I$89,5,0)</f>
        <v>1.250327841262333E-13</v>
      </c>
      <c r="EL93" s="13">
        <f t="shared" si="99"/>
        <v>1.8301318724634299E-12</v>
      </c>
      <c r="EM93" s="20">
        <f t="shared" si="73"/>
        <v>3.405245110226996E-12</v>
      </c>
      <c r="EN93" s="59">
        <f t="shared" si="74"/>
        <v>293.33333333333672</v>
      </c>
      <c r="EO93" s="59">
        <f ca="1">AVERAGE(OFFSET($EN$3,0,0,'Données projet'!$E$15+1,1))-AVERAGE(OFFSET($H$3,0,0,'Données projet'!$E$15+1,1))</f>
        <v>197.34725966440715</v>
      </c>
      <c r="EP93" s="59">
        <f t="shared" si="100"/>
        <v>240.16326570529532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19.813567860839022</v>
      </c>
      <c r="EW93" s="21">
        <f>EXP(-LN(2)/25)*EW92+(1-EXP(-LN(2)/25))/(LN(2)/25)*Calculateur!ER93*Calculateur!ET93*VLOOKUP('Données projet'!$B$15,Paramètres!$A$1:$I$89,3,0)*0.475*44/12</f>
        <v>10.159864070722033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29.973431931561056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2.2737367544323206E-13</v>
      </c>
      <c r="FF93" s="17">
        <f>FE93*VLOOKUP('Données projet'!$B$16,Paramètres!$A$1:$I$89,3,0)*VLOOKUP('Données projet'!$B$16,Paramètres!$A$1:$I$89,5,0)</f>
        <v>1.2710188457276673E-13</v>
      </c>
      <c r="FG93" s="13">
        <f t="shared" si="101"/>
        <v>1.856866851063998E-12</v>
      </c>
      <c r="FH93" s="20">
        <f t="shared" si="76"/>
        <v>3.4554122145673649E-12</v>
      </c>
      <c r="FI93" s="59">
        <f t="shared" si="77"/>
        <v>293.33333333333678</v>
      </c>
      <c r="FJ93" s="59">
        <f ca="1">AVERAGE(OFFSET($FI$3,0,0,'Données projet'!$E$16+1,1))-AVERAGE(OFFSET($H$3,0,0,'Données projet'!$E$16+1,1))</f>
        <v>346.42094266871379</v>
      </c>
      <c r="FK93" s="59">
        <f t="shared" si="102"/>
        <v>453.48153556975973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94.544755483544463</v>
      </c>
      <c r="FR93" s="21">
        <f>EXP(-LN(2)/25)*FR92+(1-EXP(-LN(2)/25))/(LN(2)/25)*Calculateur!FM93*Calculateur!FO93*VLOOKUP('Données projet'!$B$16,Paramètres!$A$1:$I$89,3,0)*0.475*44/12</f>
        <v>45.923896732422364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140.46865221596681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-1.1368683772161603E-13</v>
      </c>
      <c r="GA93" s="17">
        <f>FZ93*VLOOKUP('Données projet'!$B$17,Paramètres!$A$1:$I$89,3,0)*VLOOKUP('Données projet'!$B$17,Paramètres!$A$1:$I$89,5,0)</f>
        <v>-5.3205440053716299E-14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198.26255998041</v>
      </c>
      <c r="GF93" s="59">
        <f t="shared" si="104"/>
        <v>238.62101708181166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60.600282098609824</v>
      </c>
      <c r="GM93" s="21">
        <f>EXP(-LN(2)/25)*GM92+(1-EXP(-LN(2)/25))/(LN(2)/25)*Calculateur!GH93*Calculateur!GJ93*VLOOKUP('Données projet'!$B$17,Paramètres!$A$1:$I$89,3,0)*0.475*44/12</f>
        <v>27.103006191288998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87.703288289898822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497</v>
      </c>
      <c r="GS93" s="12">
        <f>VLOOKUP(A93,'Données projet'!$A$269:$I$289,9,0)</f>
        <v>8.1999999999999993</v>
      </c>
      <c r="GT93" s="12">
        <f t="array" ref="GT93">INDEX(GS:GS,MIN(IF(ISNUMBER(GS93:GS289),ROW(GS93:GS289),"")))</f>
        <v>8.1999999999999993</v>
      </c>
      <c r="GU93" s="12">
        <f>IF('Données projet'!$A$270&gt;35,GU92+GT93-HC92,IF(A93&lt;'Données projet'!$A$270,$GR$205^A93,IF(A93='Données projet'!$A$270,'Données projet'!$B$270,GU92+GT93-HC92)))</f>
        <v>497</v>
      </c>
      <c r="GV93" s="17">
        <f>GU93*VLOOKUP('Données projet'!$B$18,Paramètres!$A$1:$I$89,3,0)*VLOOKUP('Données projet'!$B$18,Paramètres!$A$1:$I$89,5,0)</f>
        <v>572.54399999999998</v>
      </c>
      <c r="GW93" s="13">
        <f t="shared" si="105"/>
        <v>125.99461403501745</v>
      </c>
      <c r="GX93" s="20">
        <f t="shared" si="82"/>
        <v>1216.6214194443221</v>
      </c>
      <c r="GY93" s="59">
        <f t="shared" si="83"/>
        <v>1509.9547527776554</v>
      </c>
      <c r="GZ93" s="59">
        <f ca="1">AVERAGE(OFFSET($GY$3,0,0,'Données projet'!$E$18+1,1))-AVERAGE(OFFSET($H$3,0,0,'Données projet'!$E$18+1,1))</f>
        <v>604.0566904089452</v>
      </c>
      <c r="HA93" s="59">
        <f t="shared" si="106"/>
        <v>369.5187835902687</v>
      </c>
      <c r="HB93" s="15">
        <f>IF(ISNA(VLOOKUP(A93,'Données projet'!$A$269:$I$289,3,0)),0,VLOOKUP(A93,'Données projet'!$A$269:$I$289,3,0))</f>
        <v>9</v>
      </c>
      <c r="HC93" s="15">
        <f>IF(ISNA(VLOOKUP(A93,'Données projet'!$A$269:$I$289,4,0)),0,VLOOKUP(A93,'Données projet'!$A$269:$I$289,4,0))</f>
        <v>497</v>
      </c>
      <c r="HD93" s="16">
        <f>IF(ISNA(VLOOKUP(A93,'Données projet'!$A$269:$I$289,5,0)),0%,VLOOKUP(A93,'Données projet'!$A$269:$I$289,5,0)*VLOOKUP('Données projet'!$B$18,Paramètres!$A$1:$I$89,7,0))</f>
        <v>0.315</v>
      </c>
      <c r="HE93" s="16">
        <f>IF(ISNA(VLOOKUP(A93,'Données projet'!$A$269:$I$289,6,0)),0%,VLOOKUP(A93,'Données projet'!$A$269:$I$289,6,0)*VLOOKUP('Données projet'!$B$18,Paramètres!$A$1:$I$89,7,0))</f>
        <v>0.13500000000000001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177.25316978431482</v>
      </c>
      <c r="HH93" s="21">
        <f>EXP(-LN(2)/25)*HH92+(1-EXP(-LN(2)/25))/(LN(2)/25)*Calculateur!HC93*Calculateur!HE93*VLOOKUP('Données projet'!$B$18,Paramètres!$A$1:$I$89,3,0)*0.475*44/12</f>
        <v>76.586350615511662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253.83952039982648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7.4444444444444446</v>
      </c>
      <c r="N94" s="13">
        <f>IF('Données projet'!$A$36&gt;35,N93+M94-V93,IF(A94&lt;'Données projet'!$A$36,$K$205^A94,IF(A94='Données projet'!$A$36,'Données projet'!$B$36,N93+M94-V93)))</f>
        <v>300.77777777777766</v>
      </c>
      <c r="O94" s="13">
        <f>N94*VLOOKUP('Données projet'!$B$9,Paramètres!$A$1:$I$89,3,0)*VLOOKUP('Données projet'!$B$9,Paramètres!$A$1:$I$89,5,0)</f>
        <v>272.14373333333322</v>
      </c>
      <c r="P94" s="13">
        <f t="shared" si="87"/>
        <v>65.304013992442066</v>
      </c>
      <c r="Q94" s="20">
        <f t="shared" si="54"/>
        <v>587.72149325905855</v>
      </c>
      <c r="R94" s="59">
        <f t="shared" si="55"/>
        <v>881.05482659239192</v>
      </c>
      <c r="S94" s="59">
        <f ca="1">AVERAGE(OFFSET($R$3,0,0,'Données projet'!$E$9+1,1))-AVERAGE(OFFSET($H$3,0,0,'Données projet'!$E$9+1,1))</f>
        <v>528.20489749461376</v>
      </c>
      <c r="T94" s="59">
        <f t="shared" si="88"/>
        <v>276.26988364830532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42.941838808852808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42.941838808852808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2.2737367544323206E-13</v>
      </c>
      <c r="AJ94" s="13">
        <f>AI94*VLOOKUP('Données projet'!$B$10,Paramètres!$A$1:$I$89,3,0)*VLOOKUP('Données projet'!$B$10,Paramètres!$A$1:$I$89,5,0)</f>
        <v>2.0572770154103635E-13</v>
      </c>
      <c r="AK94" s="13">
        <f t="shared" si="89"/>
        <v>2.8416956338469711E-12</v>
      </c>
      <c r="AL94" s="20">
        <f t="shared" si="58"/>
        <v>5.3075956424674458E-12</v>
      </c>
      <c r="AM94" s="59">
        <f t="shared" si="59"/>
        <v>293.3333333333386</v>
      </c>
      <c r="AN94" s="59">
        <f ca="1">AVERAGE(OFFSET($AM$3,0,0,'Données projet'!$E$10+1,1))-AVERAGE(OFFSET($H$3,0,0,'Données projet'!$E$10+1,1))</f>
        <v>436.23918637269577</v>
      </c>
      <c r="AO94" s="59">
        <f t="shared" si="90"/>
        <v>611.43967996341894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29.363395612414234</v>
      </c>
      <c r="AV94" s="21">
        <f>EXP(-LN(2)/25)*AV93+(1-EXP(-LN(2)/25))/(LN(2)/25)*Calculateur!AQ94*Calculateur!AS94*VLOOKUP('Données projet'!$B$10,Paramètres!$A$1:$I$89,3,0)*0.475*44/12</f>
        <v>12.090860058485827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41.454255670900061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4.4337866711430253E-14</v>
      </c>
      <c r="BF94" s="13">
        <f t="shared" si="91"/>
        <v>7.3222115536967035E-13</v>
      </c>
      <c r="BG94" s="20">
        <f t="shared" si="61"/>
        <v>1.3525069634579169E-12</v>
      </c>
      <c r="BH94" s="59">
        <f t="shared" si="62"/>
        <v>293.33333333333468</v>
      </c>
      <c r="BI94" s="59">
        <f ca="1">AVERAGE(OFFSET($BH$3,0,0,'Données projet'!$E$11+1,1))-AVERAGE(OFFSET($H$3,0,0,'Données projet'!$E$11+1,1))</f>
        <v>288.82868507674738</v>
      </c>
      <c r="BJ94" s="59">
        <f t="shared" si="92"/>
        <v>283.48738729114024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57.208033558670103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57.208033558670103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2.1316282072803006E-14</v>
      </c>
      <c r="BZ94" s="13">
        <f>BY94*VLOOKUP('Données projet'!$B$12,Paramètres!$A$1:$I$89,3,0)*VLOOKUP('Données projet'!$B$12,Paramètres!$A$1:$I$89,5,0)</f>
        <v>1.8621904018800709E-14</v>
      </c>
      <c r="CA94" s="13">
        <f t="shared" si="93"/>
        <v>3.40208645124969E-13</v>
      </c>
      <c r="CB94" s="20">
        <f t="shared" si="64"/>
        <v>6.2496320642539887E-13</v>
      </c>
      <c r="CC94" s="59">
        <f t="shared" si="65"/>
        <v>293.33333333333394</v>
      </c>
      <c r="CD94" s="59">
        <f ca="1">AVERAGE(OFFSET($CC$3,0,0,'Données projet'!$E$12+1,1))-AVERAGE(OFFSET($H$3,0,0,'Données projet'!$E$12+1,1))</f>
        <v>93.329407403816901</v>
      </c>
      <c r="CE94" s="59">
        <f t="shared" si="94"/>
        <v>90.925148357295313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13.986906032074018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13.986906032074018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11.4</v>
      </c>
      <c r="CT94" s="12">
        <f>IF('Données projet'!$A$140&gt;35,CT93+CS94-DB93,IF(A94&lt;'Données projet'!$A$140,$CQ$205^A94,IF(A94='Données projet'!$A$140,'Données projet'!$B$140,CT93+CS94-DB93)))</f>
        <v>519.39999999999986</v>
      </c>
      <c r="CU94" s="17">
        <f>CT94*VLOOKUP('Données projet'!$B$13,Paramètres!$A$1:$I$89,3,0)*VLOOKUP('Données projet'!$B$13,Paramètres!$A$1:$I$89,5,0)</f>
        <v>494.26103999999987</v>
      </c>
      <c r="CV94" s="13">
        <f t="shared" si="95"/>
        <v>110.64503259178163</v>
      </c>
      <c r="CW94" s="20">
        <f t="shared" si="67"/>
        <v>1053.5447430973527</v>
      </c>
      <c r="CX94" s="59">
        <f t="shared" si="68"/>
        <v>1346.878076430686</v>
      </c>
      <c r="CY94" s="59">
        <f ca="1">AVERAGE(OFFSET($CX$3,0,0,'Données projet'!$E$13+1,1))-AVERAGE(OFFSET($H$3,0,0,'Données projet'!$E$13+1,1))</f>
        <v>805.04572055352492</v>
      </c>
      <c r="CZ94" s="59">
        <f t="shared" si="96"/>
        <v>708.66645042414962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92.145231978849779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92.145231978849779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6.2</v>
      </c>
      <c r="DO94" s="12">
        <f>IF('Données projet'!$A$166&gt;35,DO93+DN94-DW93,IF(A94&lt;'Données projet'!$A$166,$DL$205^A94,IF(A94='Données projet'!$A$166,'Données projet'!$B$166,DO93+DN94-DW93)))</f>
        <v>469.19999999999982</v>
      </c>
      <c r="DP94" s="17">
        <f>DO94*VLOOKUP('Données projet'!$B$14,Paramètres!$A$1:$I$89,3,0)*VLOOKUP('Données projet'!$B$14,Paramètres!$A$1:$I$89,5,0)</f>
        <v>314.73935999999986</v>
      </c>
      <c r="DQ94" s="13">
        <f t="shared" si="97"/>
        <v>74.257721470200224</v>
      </c>
      <c r="DR94" s="20">
        <f t="shared" si="70"/>
        <v>677.50325022726508</v>
      </c>
      <c r="DS94" s="59">
        <f t="shared" si="71"/>
        <v>970.83658356059846</v>
      </c>
      <c r="DT94" s="59">
        <f ca="1">AVERAGE(OFFSET($DS$3,0,0,'Données projet'!$E$14+1,1))-AVERAGE(OFFSET($H$3,0,0,'Données projet'!$E$14+1,1))</f>
        <v>482.69499576870095</v>
      </c>
      <c r="DU94" s="59">
        <f t="shared" si="98"/>
        <v>384.28918352579575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32.496646972771906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32.496646972771906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1.7053025658242404E-13</v>
      </c>
      <c r="EK94" s="17">
        <f>EJ94*VLOOKUP('Données projet'!$B$15,Paramètres!$A$1:$I$89,3,0)*VLOOKUP('Données projet'!$B$15,Paramètres!$A$1:$I$89,5,0)</f>
        <v>1.250327841262333E-13</v>
      </c>
      <c r="EL94" s="13">
        <f t="shared" si="99"/>
        <v>1.8301318724634299E-12</v>
      </c>
      <c r="EM94" s="20">
        <f t="shared" si="73"/>
        <v>3.405245110226996E-12</v>
      </c>
      <c r="EN94" s="59">
        <f t="shared" si="74"/>
        <v>293.33333333333672</v>
      </c>
      <c r="EO94" s="59">
        <f ca="1">AVERAGE(OFFSET($EN$3,0,0,'Données projet'!$E$15+1,1))-AVERAGE(OFFSET($H$3,0,0,'Données projet'!$E$15+1,1))</f>
        <v>197.34725966440715</v>
      </c>
      <c r="EP94" s="59">
        <f t="shared" si="100"/>
        <v>240.16326570529532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19.425035880171063</v>
      </c>
      <c r="EW94" s="21">
        <f>EXP(-LN(2)/25)*EW93+(1-EXP(-LN(2)/25))/(LN(2)/25)*Calculateur!ER94*Calculateur!ET94*VLOOKUP('Données projet'!$B$15,Paramètres!$A$1:$I$89,3,0)*0.475*44/12</f>
        <v>9.882042053424108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29.307077933595171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2.2737367544323206E-13</v>
      </c>
      <c r="FF94" s="17">
        <f>FE94*VLOOKUP('Données projet'!$B$16,Paramètres!$A$1:$I$89,3,0)*VLOOKUP('Données projet'!$B$16,Paramètres!$A$1:$I$89,5,0)</f>
        <v>1.2710188457276673E-13</v>
      </c>
      <c r="FG94" s="13">
        <f t="shared" si="101"/>
        <v>1.856866851063998E-12</v>
      </c>
      <c r="FH94" s="20">
        <f t="shared" si="76"/>
        <v>3.4554122145673649E-12</v>
      </c>
      <c r="FI94" s="59">
        <f t="shared" si="77"/>
        <v>293.33333333333678</v>
      </c>
      <c r="FJ94" s="59">
        <f ca="1">AVERAGE(OFFSET($FI$3,0,0,'Données projet'!$E$16+1,1))-AVERAGE(OFFSET($H$3,0,0,'Données projet'!$E$16+1,1))</f>
        <v>346.42094266871379</v>
      </c>
      <c r="FK94" s="59">
        <f t="shared" si="102"/>
        <v>453.48153556975973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92.690790495118904</v>
      </c>
      <c r="FR94" s="21">
        <f>EXP(-LN(2)/25)*FR93+(1-EXP(-LN(2)/25))/(LN(2)/25)*Calculateur!FM94*Calculateur!FO94*VLOOKUP('Données projet'!$B$16,Paramètres!$A$1:$I$89,3,0)*0.475*44/12</f>
        <v>44.668105361241508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137.35889585636042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-1.1368683772161603E-13</v>
      </c>
      <c r="GA94" s="17">
        <f>FZ94*VLOOKUP('Données projet'!$B$17,Paramètres!$A$1:$I$89,3,0)*VLOOKUP('Données projet'!$B$17,Paramètres!$A$1:$I$89,5,0)</f>
        <v>-5.3205440053716299E-14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198.26255998041</v>
      </c>
      <c r="GF94" s="59">
        <f t="shared" si="104"/>
        <v>238.62101708181166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59.41194752917842</v>
      </c>
      <c r="GM94" s="21">
        <f>EXP(-LN(2)/25)*GM93+(1-EXP(-LN(2)/25))/(LN(2)/25)*Calculateur!GH94*Calculateur!GJ94*VLOOKUP('Données projet'!$B$17,Paramètres!$A$1:$I$89,3,0)*0.475*44/12</f>
        <v>26.361873061703051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85.773820590881471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>
        <f>GU94*VLOOKUP('Données projet'!$B$18,Paramètres!$A$1:$I$89,3,0)*VLOOKUP('Données projet'!$B$18,Paramètres!$A$1:$I$89,5,0)</f>
        <v>0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604.0566904089452</v>
      </c>
      <c r="HA94" s="59">
        <f t="shared" si="106"/>
        <v>369.5187835902687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173.77734323860264</v>
      </c>
      <c r="HH94" s="21">
        <f>EXP(-LN(2)/25)*HH93+(1-EXP(-LN(2)/25))/(LN(2)/25)*Calculateur!HC94*Calculateur!HE94*VLOOKUP('Données projet'!$B$18,Paramètres!$A$1:$I$89,3,0)*0.475*44/12</f>
        <v>74.492092830429357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248.269436069032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7.4444444444444446</v>
      </c>
      <c r="N95" s="13">
        <f>IF('Données projet'!$A$36&gt;35,N94+M95-V94,IF(A95&lt;'Données projet'!$A$36,$K$205^A95,IF(A95='Données projet'!$A$36,'Données projet'!$B$36,N94+M95-V94)))</f>
        <v>308.22222222222211</v>
      </c>
      <c r="O95" s="13">
        <f>N95*VLOOKUP('Données projet'!$B$9,Paramètres!$A$1:$I$89,3,0)*VLOOKUP('Données projet'!$B$9,Paramètres!$A$1:$I$89,5,0)</f>
        <v>278.87946666666659</v>
      </c>
      <c r="P95" s="13">
        <f t="shared" si="87"/>
        <v>66.730152740440772</v>
      </c>
      <c r="Q95" s="20">
        <f t="shared" si="54"/>
        <v>601.93675380071193</v>
      </c>
      <c r="R95" s="59">
        <f t="shared" si="55"/>
        <v>895.2700871340453</v>
      </c>
      <c r="S95" s="59">
        <f ca="1">AVERAGE(OFFSET($R$3,0,0,'Données projet'!$E$9+1,1))-AVERAGE(OFFSET($H$3,0,0,'Données projet'!$E$9+1,1))</f>
        <v>528.20489749461376</v>
      </c>
      <c r="T95" s="59">
        <f t="shared" si="88"/>
        <v>276.26988364830532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42.099775541746638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42.099775541746638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2.2737367544323206E-13</v>
      </c>
      <c r="AJ95" s="13">
        <f>AI95*VLOOKUP('Données projet'!$B$10,Paramètres!$A$1:$I$89,3,0)*VLOOKUP('Données projet'!$B$10,Paramètres!$A$1:$I$89,5,0)</f>
        <v>2.0572770154103635E-13</v>
      </c>
      <c r="AK95" s="13">
        <f t="shared" si="89"/>
        <v>2.8416956338469711E-12</v>
      </c>
      <c r="AL95" s="20">
        <f t="shared" si="58"/>
        <v>5.3075956424674458E-12</v>
      </c>
      <c r="AM95" s="59">
        <f t="shared" si="59"/>
        <v>293.3333333333386</v>
      </c>
      <c r="AN95" s="59">
        <f ca="1">AVERAGE(OFFSET($AM$3,0,0,'Données projet'!$E$10+1,1))-AVERAGE(OFFSET($H$3,0,0,'Données projet'!$E$10+1,1))</f>
        <v>436.23918637269577</v>
      </c>
      <c r="AO95" s="59">
        <f t="shared" si="90"/>
        <v>611.43967996341894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28.78759733435766</v>
      </c>
      <c r="AV95" s="21">
        <f>EXP(-LN(2)/25)*AV94+(1-EXP(-LN(2)/25))/(LN(2)/25)*Calculateur!AQ95*Calculateur!AS95*VLOOKUP('Données projet'!$B$10,Paramètres!$A$1:$I$89,3,0)*0.475*44/12</f>
        <v>11.760234854355836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40.5478321887135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4.4337866711430253E-14</v>
      </c>
      <c r="BF95" s="13">
        <f t="shared" si="91"/>
        <v>7.3222115536967035E-13</v>
      </c>
      <c r="BG95" s="20">
        <f t="shared" si="61"/>
        <v>1.3525069634579169E-12</v>
      </c>
      <c r="BH95" s="59">
        <f t="shared" si="62"/>
        <v>293.33333333333468</v>
      </c>
      <c r="BI95" s="59">
        <f ca="1">AVERAGE(OFFSET($BH$3,0,0,'Données projet'!$E$11+1,1))-AVERAGE(OFFSET($H$3,0,0,'Données projet'!$E$11+1,1))</f>
        <v>288.82868507674738</v>
      </c>
      <c r="BJ95" s="59">
        <f t="shared" si="92"/>
        <v>283.48738729114024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56.086218914039613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56.086218914039613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2.1316282072803006E-14</v>
      </c>
      <c r="BZ95" s="13">
        <f>BY95*VLOOKUP('Données projet'!$B$12,Paramètres!$A$1:$I$89,3,0)*VLOOKUP('Données projet'!$B$12,Paramètres!$A$1:$I$89,5,0)</f>
        <v>1.8621904018800709E-14</v>
      </c>
      <c r="CA95" s="13">
        <f t="shared" si="93"/>
        <v>3.40208645124969E-13</v>
      </c>
      <c r="CB95" s="20">
        <f t="shared" si="64"/>
        <v>6.2496320642539887E-13</v>
      </c>
      <c r="CC95" s="59">
        <f t="shared" si="65"/>
        <v>293.33333333333394</v>
      </c>
      <c r="CD95" s="59">
        <f ca="1">AVERAGE(OFFSET($CC$3,0,0,'Données projet'!$E$12+1,1))-AVERAGE(OFFSET($H$3,0,0,'Données projet'!$E$12+1,1))</f>
        <v>93.329407403816901</v>
      </c>
      <c r="CE95" s="59">
        <f t="shared" si="94"/>
        <v>90.925148357295313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13.712631335955342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13.712631335955342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11.4</v>
      </c>
      <c r="CT95" s="12">
        <f>IF('Données projet'!$A$140&gt;35,CT94+CS95-DB94,IF(A95&lt;'Données projet'!$A$140,$CQ$205^A95,IF(A95='Données projet'!$A$140,'Données projet'!$B$140,CT94+CS95-DB94)))</f>
        <v>530.79999999999984</v>
      </c>
      <c r="CU95" s="17">
        <f>CT95*VLOOKUP('Données projet'!$B$13,Paramètres!$A$1:$I$89,3,0)*VLOOKUP('Données projet'!$B$13,Paramètres!$A$1:$I$89,5,0)</f>
        <v>505.10927999999984</v>
      </c>
      <c r="CV95" s="13">
        <f t="shared" si="95"/>
        <v>112.78812006704547</v>
      </c>
      <c r="CW95" s="20">
        <f t="shared" si="67"/>
        <v>1076.1713051167706</v>
      </c>
      <c r="CX95" s="59">
        <f t="shared" si="68"/>
        <v>1369.5046384501038</v>
      </c>
      <c r="CY95" s="59">
        <f ca="1">AVERAGE(OFFSET($CX$3,0,0,'Données projet'!$E$13+1,1))-AVERAGE(OFFSET($H$3,0,0,'Données projet'!$E$13+1,1))</f>
        <v>805.04572055352492</v>
      </c>
      <c r="CZ95" s="59">
        <f t="shared" si="96"/>
        <v>708.66645042414962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90.338320182786447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90.338320182786447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6.2</v>
      </c>
      <c r="DO95" s="12">
        <f>IF('Données projet'!$A$166&gt;35,DO94+DN95-DW94,IF(A95&lt;'Données projet'!$A$166,$DL$205^A95,IF(A95='Données projet'!$A$166,'Données projet'!$B$166,DO94+DN95-DW94)))</f>
        <v>475.39999999999981</v>
      </c>
      <c r="DP95" s="17">
        <f>DO95*VLOOKUP('Données projet'!$B$14,Paramètres!$A$1:$I$89,3,0)*VLOOKUP('Données projet'!$B$14,Paramètres!$A$1:$I$89,5,0)</f>
        <v>318.8983199999999</v>
      </c>
      <c r="DQ95" s="13">
        <f t="shared" si="97"/>
        <v>75.124081725068081</v>
      </c>
      <c r="DR95" s="20">
        <f t="shared" si="70"/>
        <v>686.25568300449333</v>
      </c>
      <c r="DS95" s="59">
        <f t="shared" si="71"/>
        <v>979.58901633782671</v>
      </c>
      <c r="DT95" s="59">
        <f ca="1">AVERAGE(OFFSET($DS$3,0,0,'Données projet'!$E$14+1,1))-AVERAGE(OFFSET($H$3,0,0,'Données projet'!$E$14+1,1))</f>
        <v>482.69499576870095</v>
      </c>
      <c r="DU95" s="59">
        <f t="shared" si="98"/>
        <v>384.28918352579575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31.859407546633342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31.859407546633342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1.7053025658242404E-13</v>
      </c>
      <c r="EK95" s="17">
        <f>EJ95*VLOOKUP('Données projet'!$B$15,Paramètres!$A$1:$I$89,3,0)*VLOOKUP('Données projet'!$B$15,Paramètres!$A$1:$I$89,5,0)</f>
        <v>1.250327841262333E-13</v>
      </c>
      <c r="EL95" s="13">
        <f t="shared" si="99"/>
        <v>1.8301318724634299E-12</v>
      </c>
      <c r="EM95" s="20">
        <f t="shared" si="73"/>
        <v>3.405245110226996E-12</v>
      </c>
      <c r="EN95" s="59">
        <f t="shared" si="74"/>
        <v>293.33333333333672</v>
      </c>
      <c r="EO95" s="59">
        <f ca="1">AVERAGE(OFFSET($EN$3,0,0,'Données projet'!$E$15+1,1))-AVERAGE(OFFSET($H$3,0,0,'Données projet'!$E$15+1,1))</f>
        <v>197.34725966440715</v>
      </c>
      <c r="EP95" s="59">
        <f t="shared" si="100"/>
        <v>240.16326570529532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19.044122774662892</v>
      </c>
      <c r="EW95" s="21">
        <f>EXP(-LN(2)/25)*EW94+(1-EXP(-LN(2)/25))/(LN(2)/25)*Calculateur!ER95*Calculateur!ET95*VLOOKUP('Données projet'!$B$15,Paramètres!$A$1:$I$89,3,0)*0.475*44/12</f>
        <v>9.6118170937992193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28.655939868462113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2.2737367544323206E-13</v>
      </c>
      <c r="FF95" s="17">
        <f>FE95*VLOOKUP('Données projet'!$B$16,Paramètres!$A$1:$I$89,3,0)*VLOOKUP('Données projet'!$B$16,Paramètres!$A$1:$I$89,5,0)</f>
        <v>1.2710188457276673E-13</v>
      </c>
      <c r="FG95" s="13">
        <f t="shared" si="101"/>
        <v>1.856866851063998E-12</v>
      </c>
      <c r="FH95" s="20">
        <f t="shared" si="76"/>
        <v>3.4554122145673649E-12</v>
      </c>
      <c r="FI95" s="59">
        <f t="shared" si="77"/>
        <v>293.33333333333678</v>
      </c>
      <c r="FJ95" s="59">
        <f ca="1">AVERAGE(OFFSET($FI$3,0,0,'Données projet'!$E$16+1,1))-AVERAGE(OFFSET($H$3,0,0,'Données projet'!$E$16+1,1))</f>
        <v>346.42094266871379</v>
      </c>
      <c r="FK95" s="59">
        <f t="shared" si="102"/>
        <v>453.48153556975973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90.873180629309374</v>
      </c>
      <c r="FR95" s="21">
        <f>EXP(-LN(2)/25)*FR94+(1-EXP(-LN(2)/25))/(LN(2)/25)*Calculateur!FM95*Calculateur!FO95*VLOOKUP('Données projet'!$B$16,Paramètres!$A$1:$I$89,3,0)*0.475*44/12</f>
        <v>43.446653671144787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134.31983430045415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-1.1368683772161603E-13</v>
      </c>
      <c r="GA95" s="17">
        <f>FZ95*VLOOKUP('Données projet'!$B$17,Paramètres!$A$1:$I$89,3,0)*VLOOKUP('Données projet'!$B$17,Paramètres!$A$1:$I$89,5,0)</f>
        <v>-5.3205440053716299E-14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198.26255998041</v>
      </c>
      <c r="GF95" s="59">
        <f t="shared" si="104"/>
        <v>238.62101708181166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58.24691547584105</v>
      </c>
      <c r="GM95" s="21">
        <f>EXP(-LN(2)/25)*GM94+(1-EXP(-LN(2)/25))/(LN(2)/25)*Calculateur!GH95*Calculateur!GJ95*VLOOKUP('Données projet'!$B$17,Paramètres!$A$1:$I$89,3,0)*0.475*44/12</f>
        <v>25.641006256520129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83.887921732361178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>
        <f>GU95*VLOOKUP('Données projet'!$B$18,Paramètres!$A$1:$I$89,3,0)*VLOOKUP('Données projet'!$B$18,Paramètres!$A$1:$I$89,5,0)</f>
        <v>0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604.0566904089452</v>
      </c>
      <c r="HA95" s="59">
        <f t="shared" si="106"/>
        <v>369.5187835902687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170.36967553140701</v>
      </c>
      <c r="HH95" s="21">
        <f>EXP(-LN(2)/25)*HH94+(1-EXP(-LN(2)/25))/(LN(2)/25)*Calculateur!HC95*Calculateur!HE95*VLOOKUP('Données projet'!$B$18,Paramètres!$A$1:$I$89,3,0)*0.475*44/12</f>
        <v>72.455102634612359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242.82477816601937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7.4444444444444446</v>
      </c>
      <c r="N96" s="13">
        <f>IF('Données projet'!$A$36&gt;35,N95+M96-V95,IF(A96&lt;'Données projet'!$A$36,$K$205^A96,IF(A96='Données projet'!$A$36,'Données projet'!$B$36,N95+M96-V95)))</f>
        <v>315.66666666666657</v>
      </c>
      <c r="O96" s="13">
        <f>N96*VLOOKUP('Données projet'!$B$9,Paramètres!$A$1:$I$89,3,0)*VLOOKUP('Données projet'!$B$9,Paramètres!$A$1:$I$89,5,0)</f>
        <v>285.6151999999999</v>
      </c>
      <c r="P96" s="13">
        <f t="shared" si="87"/>
        <v>68.152287273408987</v>
      </c>
      <c r="Q96" s="20">
        <f t="shared" si="54"/>
        <v>616.14504033452056</v>
      </c>
      <c r="R96" s="59">
        <f t="shared" si="55"/>
        <v>909.47837366785393</v>
      </c>
      <c r="S96" s="59">
        <f ca="1">AVERAGE(OFFSET($R$3,0,0,'Données projet'!$E$9+1,1))-AVERAGE(OFFSET($H$3,0,0,'Données projet'!$E$9+1,1))</f>
        <v>528.20489749461376</v>
      </c>
      <c r="T96" s="59">
        <f t="shared" si="88"/>
        <v>276.26988364830532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41.27422462170054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41.27422462170054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2.2737367544323206E-13</v>
      </c>
      <c r="AJ96" s="13">
        <f>AI96*VLOOKUP('Données projet'!$B$10,Paramètres!$A$1:$I$89,3,0)*VLOOKUP('Données projet'!$B$10,Paramètres!$A$1:$I$89,5,0)</f>
        <v>2.0572770154103635E-13</v>
      </c>
      <c r="AK96" s="13">
        <f t="shared" si="89"/>
        <v>2.8416956338469711E-12</v>
      </c>
      <c r="AL96" s="20">
        <f t="shared" si="58"/>
        <v>5.3075956424674458E-12</v>
      </c>
      <c r="AM96" s="59">
        <f t="shared" si="59"/>
        <v>293.3333333333386</v>
      </c>
      <c r="AN96" s="59">
        <f ca="1">AVERAGE(OFFSET($AM$3,0,0,'Données projet'!$E$10+1,1))-AVERAGE(OFFSET($H$3,0,0,'Données projet'!$E$10+1,1))</f>
        <v>436.23918637269577</v>
      </c>
      <c r="AO96" s="59">
        <f t="shared" si="90"/>
        <v>611.43967996341894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28.223090109331501</v>
      </c>
      <c r="AV96" s="21">
        <f>EXP(-LN(2)/25)*AV95+(1-EXP(-LN(2)/25))/(LN(2)/25)*Calculateur!AQ96*Calculateur!AS96*VLOOKUP('Données projet'!$B$10,Paramètres!$A$1:$I$89,3,0)*0.475*44/12</f>
        <v>11.438650613819604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39.661740723151105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4.4337866711430253E-14</v>
      </c>
      <c r="BF96" s="13">
        <f t="shared" si="91"/>
        <v>7.3222115536967035E-13</v>
      </c>
      <c r="BG96" s="20">
        <f t="shared" si="61"/>
        <v>1.3525069634579169E-12</v>
      </c>
      <c r="BH96" s="59">
        <f t="shared" si="62"/>
        <v>293.33333333333468</v>
      </c>
      <c r="BI96" s="59">
        <f ca="1">AVERAGE(OFFSET($BH$3,0,0,'Données projet'!$E$11+1,1))-AVERAGE(OFFSET($H$3,0,0,'Données projet'!$E$11+1,1))</f>
        <v>288.82868507674738</v>
      </c>
      <c r="BJ96" s="59">
        <f t="shared" si="92"/>
        <v>283.48738729114024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54.986402370350952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54.986402370350952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2.1316282072803006E-14</v>
      </c>
      <c r="BZ96" s="13">
        <f>BY96*VLOOKUP('Données projet'!$B$12,Paramètres!$A$1:$I$89,3,0)*VLOOKUP('Données projet'!$B$12,Paramètres!$A$1:$I$89,5,0)</f>
        <v>1.8621904018800709E-14</v>
      </c>
      <c r="CA96" s="13">
        <f t="shared" si="93"/>
        <v>3.40208645124969E-13</v>
      </c>
      <c r="CB96" s="20">
        <f t="shared" si="64"/>
        <v>6.2496320642539887E-13</v>
      </c>
      <c r="CC96" s="59">
        <f t="shared" si="65"/>
        <v>293.33333333333394</v>
      </c>
      <c r="CD96" s="59">
        <f ca="1">AVERAGE(OFFSET($CC$3,0,0,'Données projet'!$E$12+1,1))-AVERAGE(OFFSET($H$3,0,0,'Données projet'!$E$12+1,1))</f>
        <v>93.329407403816901</v>
      </c>
      <c r="CE96" s="59">
        <f t="shared" si="94"/>
        <v>90.925148357295313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13.443734999336508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13.443734999336508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11.4</v>
      </c>
      <c r="CT96" s="12">
        <f>IF('Données projet'!$A$140&gt;35,CT95+CS96-DB95,IF(A96&lt;'Données projet'!$A$140,$CQ$205^A96,IF(A96='Données projet'!$A$140,'Données projet'!$B$140,CT95+CS96-DB95)))</f>
        <v>542.19999999999982</v>
      </c>
      <c r="CU96" s="17">
        <f>CT96*VLOOKUP('Données projet'!$B$13,Paramètres!$A$1:$I$89,3,0)*VLOOKUP('Données projet'!$B$13,Paramètres!$A$1:$I$89,5,0)</f>
        <v>515.95751999999982</v>
      </c>
      <c r="CV96" s="13">
        <f t="shared" si="95"/>
        <v>114.92585624144762</v>
      </c>
      <c r="CW96" s="20">
        <f t="shared" si="67"/>
        <v>1098.7885469538544</v>
      </c>
      <c r="CX96" s="59">
        <f t="shared" si="68"/>
        <v>1392.1218802871877</v>
      </c>
      <c r="CY96" s="59">
        <f ca="1">AVERAGE(OFFSET($CX$3,0,0,'Données projet'!$E$13+1,1))-AVERAGE(OFFSET($H$3,0,0,'Données projet'!$E$13+1,1))</f>
        <v>805.04572055352492</v>
      </c>
      <c r="CZ96" s="59">
        <f t="shared" si="96"/>
        <v>708.66645042414962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88.566840824936548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88.566840824936548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6.2</v>
      </c>
      <c r="DO96" s="12">
        <f>IF('Données projet'!$A$166&gt;35,DO95+DN96-DW95,IF(A96&lt;'Données projet'!$A$166,$DL$205^A96,IF(A96='Données projet'!$A$166,'Données projet'!$B$166,DO95+DN96-DW95)))</f>
        <v>481.5999999999998</v>
      </c>
      <c r="DP96" s="17">
        <f>DO96*VLOOKUP('Données projet'!$B$14,Paramètres!$A$1:$I$89,3,0)*VLOOKUP('Données projet'!$B$14,Paramètres!$A$1:$I$89,5,0)</f>
        <v>323.05727999999988</v>
      </c>
      <c r="DQ96" s="13">
        <f t="shared" si="97"/>
        <v>75.989127761869611</v>
      </c>
      <c r="DR96" s="20">
        <f t="shared" si="70"/>
        <v>695.00582685192273</v>
      </c>
      <c r="DS96" s="59">
        <f t="shared" si="71"/>
        <v>988.33916018525611</v>
      </c>
      <c r="DT96" s="59">
        <f ca="1">AVERAGE(OFFSET($DS$3,0,0,'Données projet'!$E$14+1,1))-AVERAGE(OFFSET($H$3,0,0,'Données projet'!$E$14+1,1))</f>
        <v>482.69499576870095</v>
      </c>
      <c r="DU96" s="59">
        <f t="shared" si="98"/>
        <v>384.28918352579575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31.234663996963683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31.234663996963683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1.7053025658242404E-13</v>
      </c>
      <c r="EK96" s="17">
        <f>EJ96*VLOOKUP('Données projet'!$B$15,Paramètres!$A$1:$I$89,3,0)*VLOOKUP('Données projet'!$B$15,Paramètres!$A$1:$I$89,5,0)</f>
        <v>1.250327841262333E-13</v>
      </c>
      <c r="EL96" s="13">
        <f t="shared" si="99"/>
        <v>1.8301318724634299E-12</v>
      </c>
      <c r="EM96" s="20">
        <f t="shared" si="73"/>
        <v>3.405245110226996E-12</v>
      </c>
      <c r="EN96" s="59">
        <f t="shared" si="74"/>
        <v>293.33333333333672</v>
      </c>
      <c r="EO96" s="59">
        <f ca="1">AVERAGE(OFFSET($EN$3,0,0,'Données projet'!$E$15+1,1))-AVERAGE(OFFSET($H$3,0,0,'Données projet'!$E$15+1,1))</f>
        <v>197.34725966440715</v>
      </c>
      <c r="EP96" s="59">
        <f t="shared" si="100"/>
        <v>240.16326570529532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18.670679142819683</v>
      </c>
      <c r="EW96" s="21">
        <f>EXP(-LN(2)/25)*EW95+(1-EXP(-LN(2)/25))/(LN(2)/25)*Calculateur!ER96*Calculateur!ET96*VLOOKUP('Données projet'!$B$15,Paramètres!$A$1:$I$89,3,0)*0.475*44/12</f>
        <v>9.3489814499057875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28.019660592725472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2.2737367544323206E-13</v>
      </c>
      <c r="FF96" s="17">
        <f>FE96*VLOOKUP('Données projet'!$B$16,Paramètres!$A$1:$I$89,3,0)*VLOOKUP('Données projet'!$B$16,Paramètres!$A$1:$I$89,5,0)</f>
        <v>1.2710188457276673E-13</v>
      </c>
      <c r="FG96" s="13">
        <f t="shared" si="101"/>
        <v>1.856866851063998E-12</v>
      </c>
      <c r="FH96" s="20">
        <f t="shared" si="76"/>
        <v>3.4554122145673649E-12</v>
      </c>
      <c r="FI96" s="59">
        <f t="shared" si="77"/>
        <v>293.33333333333678</v>
      </c>
      <c r="FJ96" s="59">
        <f ca="1">AVERAGE(OFFSET($FI$3,0,0,'Données projet'!$E$16+1,1))-AVERAGE(OFFSET($H$3,0,0,'Données projet'!$E$16+1,1))</f>
        <v>346.42094266871379</v>
      </c>
      <c r="FK96" s="59">
        <f t="shared" si="102"/>
        <v>453.48153556975973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89.091212984335826</v>
      </c>
      <c r="FR96" s="21">
        <f>EXP(-LN(2)/25)*FR95+(1-EXP(-LN(2)/25))/(LN(2)/25)*Calculateur!FM96*Calculateur!FO96*VLOOKUP('Données projet'!$B$16,Paramètres!$A$1:$I$89,3,0)*0.475*44/12</f>
        <v>42.258602641747117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131.34981562608294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-1.1368683772161603E-13</v>
      </c>
      <c r="GA96" s="17">
        <f>FZ96*VLOOKUP('Données projet'!$B$17,Paramètres!$A$1:$I$89,3,0)*VLOOKUP('Données projet'!$B$17,Paramètres!$A$1:$I$89,5,0)</f>
        <v>-5.3205440053716299E-14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198.26255998041</v>
      </c>
      <c r="GF96" s="59">
        <f t="shared" si="104"/>
        <v>238.62101708181166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57.104728990470235</v>
      </c>
      <c r="GM96" s="21">
        <f>EXP(-LN(2)/25)*GM95+(1-EXP(-LN(2)/25))/(LN(2)/25)*Calculateur!GH96*Calculateur!GJ96*VLOOKUP('Données projet'!$B$17,Paramètres!$A$1:$I$89,3,0)*0.475*44/12</f>
        <v>24.939851592033669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82.044580582503897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>
        <f>GU96*VLOOKUP('Données projet'!$B$18,Paramètres!$A$1:$I$89,3,0)*VLOOKUP('Données projet'!$B$18,Paramètres!$A$1:$I$89,5,0)</f>
        <v>0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604.0566904089452</v>
      </c>
      <c r="HA96" s="59">
        <f t="shared" si="106"/>
        <v>369.5187835902687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167.02883010947741</v>
      </c>
      <c r="HH96" s="21">
        <f>EXP(-LN(2)/25)*HH95+(1-EXP(-LN(2)/25))/(LN(2)/25)*Calculateur!HC96*Calculateur!HE96*VLOOKUP('Données projet'!$B$18,Paramètres!$A$1:$I$89,3,0)*0.475*44/12</f>
        <v>70.473814042820635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237.50264415229805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7.4444444444444446</v>
      </c>
      <c r="N97" s="13">
        <f>IF('Données projet'!$A$36&gt;35,N96+M97-V96,IF(A97&lt;'Données projet'!$A$36,$K$205^A97,IF(A97='Données projet'!$A$36,'Données projet'!$B$36,N96+M97-V96)))</f>
        <v>323.11111111111103</v>
      </c>
      <c r="O97" s="13">
        <f>N97*VLOOKUP('Données projet'!$B$9,Paramètres!$A$1:$I$89,3,0)*VLOOKUP('Données projet'!$B$9,Paramètres!$A$1:$I$89,5,0)</f>
        <v>292.35093333333322</v>
      </c>
      <c r="P97" s="13">
        <f t="shared" si="87"/>
        <v>69.570522890827434</v>
      </c>
      <c r="Q97" s="20">
        <f t="shared" si="54"/>
        <v>630.34653625707972</v>
      </c>
      <c r="R97" s="59">
        <f t="shared" si="55"/>
        <v>923.67986959041309</v>
      </c>
      <c r="S97" s="59">
        <f ca="1">AVERAGE(OFFSET($R$3,0,0,'Données projet'!$E$9+1,1))-AVERAGE(OFFSET($H$3,0,0,'Données projet'!$E$9+1,1))</f>
        <v>528.20489749461376</v>
      </c>
      <c r="T97" s="59">
        <f t="shared" si="88"/>
        <v>276.26988364830532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40.464862251660207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40.464862251660207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2.2737367544323206E-13</v>
      </c>
      <c r="AJ97" s="13">
        <f>AI97*VLOOKUP('Données projet'!$B$10,Paramètres!$A$1:$I$89,3,0)*VLOOKUP('Données projet'!$B$10,Paramètres!$A$1:$I$89,5,0)</f>
        <v>2.0572770154103635E-13</v>
      </c>
      <c r="AK97" s="13">
        <f t="shared" si="89"/>
        <v>2.8416956338469711E-12</v>
      </c>
      <c r="AL97" s="20">
        <f t="shared" si="58"/>
        <v>5.3075956424674458E-12</v>
      </c>
      <c r="AM97" s="59">
        <f t="shared" si="59"/>
        <v>293.3333333333386</v>
      </c>
      <c r="AN97" s="59">
        <f ca="1">AVERAGE(OFFSET($AM$3,0,0,'Données projet'!$E$10+1,1))-AVERAGE(OFFSET($H$3,0,0,'Données projet'!$E$10+1,1))</f>
        <v>436.23918637269577</v>
      </c>
      <c r="AO97" s="59">
        <f t="shared" si="90"/>
        <v>611.43967996341894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27.669652526672699</v>
      </c>
      <c r="AV97" s="21">
        <f>EXP(-LN(2)/25)*AV96+(1-EXP(-LN(2)/25))/(LN(2)/25)*Calculateur!AQ97*Calculateur!AS97*VLOOKUP('Données projet'!$B$10,Paramètres!$A$1:$I$89,3,0)*0.475*44/12</f>
        <v>11.125860111252214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38.795512637924915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4.4337866711430253E-14</v>
      </c>
      <c r="BF97" s="13">
        <f t="shared" si="91"/>
        <v>7.3222115536967035E-13</v>
      </c>
      <c r="BG97" s="20">
        <f t="shared" si="61"/>
        <v>1.3525069634579169E-12</v>
      </c>
      <c r="BH97" s="59">
        <f t="shared" si="62"/>
        <v>293.33333333333468</v>
      </c>
      <c r="BI97" s="59">
        <f ca="1">AVERAGE(OFFSET($BH$3,0,0,'Données projet'!$E$11+1,1))-AVERAGE(OFFSET($H$3,0,0,'Données projet'!$E$11+1,1))</f>
        <v>288.82868507674738</v>
      </c>
      <c r="BJ97" s="59">
        <f t="shared" si="92"/>
        <v>283.48738729114024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53.908152558262174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53.908152558262174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2.1316282072803006E-14</v>
      </c>
      <c r="BZ97" s="13">
        <f>BY97*VLOOKUP('Données projet'!$B$12,Paramètres!$A$1:$I$89,3,0)*VLOOKUP('Données projet'!$B$12,Paramètres!$A$1:$I$89,5,0)</f>
        <v>1.8621904018800709E-14</v>
      </c>
      <c r="CA97" s="13">
        <f t="shared" si="93"/>
        <v>3.40208645124969E-13</v>
      </c>
      <c r="CB97" s="20">
        <f t="shared" si="64"/>
        <v>6.2496320642539887E-13</v>
      </c>
      <c r="CC97" s="59">
        <f t="shared" si="65"/>
        <v>293.33333333333394</v>
      </c>
      <c r="CD97" s="59">
        <f ca="1">AVERAGE(OFFSET($CC$3,0,0,'Données projet'!$E$12+1,1))-AVERAGE(OFFSET($H$3,0,0,'Données projet'!$E$12+1,1))</f>
        <v>93.329407403816901</v>
      </c>
      <c r="CE97" s="59">
        <f t="shared" si="94"/>
        <v>90.925148357295313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13.1801115558682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13.1801115558682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11.4</v>
      </c>
      <c r="CT97" s="12">
        <f>IF('Données projet'!$A$140&gt;35,CT96+CS97-DB96,IF(A97&lt;'Données projet'!$A$140,$CQ$205^A97,IF(A97='Données projet'!$A$140,'Données projet'!$B$140,CT96+CS97-DB96)))</f>
        <v>553.5999999999998</v>
      </c>
      <c r="CU97" s="17">
        <f>CT97*VLOOKUP('Données projet'!$B$13,Paramètres!$A$1:$I$89,3,0)*VLOOKUP('Données projet'!$B$13,Paramètres!$A$1:$I$89,5,0)</f>
        <v>526.80575999999974</v>
      </c>
      <c r="CV97" s="13">
        <f t="shared" si="95"/>
        <v>117.05836659016626</v>
      </c>
      <c r="CW97" s="20">
        <f t="shared" si="67"/>
        <v>1121.3966871445391</v>
      </c>
      <c r="CX97" s="59">
        <f t="shared" si="68"/>
        <v>1414.7300204778724</v>
      </c>
      <c r="CY97" s="59">
        <f ca="1">AVERAGE(OFFSET($CX$3,0,0,'Données projet'!$E$13+1,1))-AVERAGE(OFFSET($H$3,0,0,'Données projet'!$E$13+1,1))</f>
        <v>805.04572055352492</v>
      </c>
      <c r="CZ97" s="59">
        <f t="shared" si="96"/>
        <v>708.66645042414962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86.830099096798364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86.830099096798364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6.2</v>
      </c>
      <c r="DO97" s="12">
        <f>IF('Données projet'!$A$166&gt;35,DO96+DN97-DW96,IF(A97&lt;'Données projet'!$A$166,$DL$205^A97,IF(A97='Données projet'!$A$166,'Données projet'!$B$166,DO96+DN97-DW96)))</f>
        <v>487.79999999999978</v>
      </c>
      <c r="DP97" s="17">
        <f>DO97*VLOOKUP('Données projet'!$B$14,Paramètres!$A$1:$I$89,3,0)*VLOOKUP('Données projet'!$B$14,Paramètres!$A$1:$I$89,5,0)</f>
        <v>327.21623999999986</v>
      </c>
      <c r="DQ97" s="13">
        <f t="shared" si="97"/>
        <v>76.852878455791185</v>
      </c>
      <c r="DR97" s="20">
        <f t="shared" si="70"/>
        <v>703.75371464383613</v>
      </c>
      <c r="DS97" s="59">
        <f t="shared" si="71"/>
        <v>997.0870479771695</v>
      </c>
      <c r="DT97" s="59">
        <f ca="1">AVERAGE(OFFSET($DS$3,0,0,'Données projet'!$E$14+1,1))-AVERAGE(OFFSET($H$3,0,0,'Données projet'!$E$14+1,1))</f>
        <v>482.69499576870095</v>
      </c>
      <c r="DU97" s="59">
        <f t="shared" si="98"/>
        <v>384.28918352579575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30.622171287247106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30.622171287247106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1.7053025658242404E-13</v>
      </c>
      <c r="EK97" s="17">
        <f>EJ97*VLOOKUP('Données projet'!$B$15,Paramètres!$A$1:$I$89,3,0)*VLOOKUP('Données projet'!$B$15,Paramètres!$A$1:$I$89,5,0)</f>
        <v>1.250327841262333E-13</v>
      </c>
      <c r="EL97" s="13">
        <f t="shared" si="99"/>
        <v>1.8301318724634299E-12</v>
      </c>
      <c r="EM97" s="20">
        <f t="shared" si="73"/>
        <v>3.405245110226996E-12</v>
      </c>
      <c r="EN97" s="59">
        <f t="shared" si="74"/>
        <v>293.33333333333672</v>
      </c>
      <c r="EO97" s="59">
        <f ca="1">AVERAGE(OFFSET($EN$3,0,0,'Données projet'!$E$15+1,1))-AVERAGE(OFFSET($H$3,0,0,'Données projet'!$E$15+1,1))</f>
        <v>197.34725966440715</v>
      </c>
      <c r="EP97" s="59">
        <f t="shared" si="100"/>
        <v>240.16326570529532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18.304558512818794</v>
      </c>
      <c r="EW97" s="21">
        <f>EXP(-LN(2)/25)*EW96+(1-EXP(-LN(2)/25))/(LN(2)/25)*Calculateur!ER97*Calculateur!ET97*VLOOKUP('Données projet'!$B$15,Paramètres!$A$1:$I$89,3,0)*0.475*44/12</f>
        <v>9.0933330605165459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27.39789157333534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2.2737367544323206E-13</v>
      </c>
      <c r="FF97" s="17">
        <f>FE97*VLOOKUP('Données projet'!$B$16,Paramètres!$A$1:$I$89,3,0)*VLOOKUP('Données projet'!$B$16,Paramètres!$A$1:$I$89,5,0)</f>
        <v>1.2710188457276673E-13</v>
      </c>
      <c r="FG97" s="13">
        <f t="shared" si="101"/>
        <v>1.856866851063998E-12</v>
      </c>
      <c r="FH97" s="20">
        <f t="shared" si="76"/>
        <v>3.4554122145673649E-12</v>
      </c>
      <c r="FI97" s="59">
        <f t="shared" si="77"/>
        <v>293.33333333333678</v>
      </c>
      <c r="FJ97" s="59">
        <f ca="1">AVERAGE(OFFSET($FI$3,0,0,'Données projet'!$E$16+1,1))-AVERAGE(OFFSET($H$3,0,0,'Données projet'!$E$16+1,1))</f>
        <v>346.42094266871379</v>
      </c>
      <c r="FK97" s="59">
        <f t="shared" si="102"/>
        <v>453.48153556975973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87.344188637987259</v>
      </c>
      <c r="FR97" s="21">
        <f>EXP(-LN(2)/25)*FR96+(1-EXP(-LN(2)/25))/(LN(2)/25)*Calculateur!FM97*Calculateur!FO97*VLOOKUP('Données projet'!$B$16,Paramètres!$A$1:$I$89,3,0)*0.475*44/12</f>
        <v>41.10303893022521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128.44722756821247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-1.1368683772161603E-13</v>
      </c>
      <c r="GA97" s="17">
        <f>FZ97*VLOOKUP('Données projet'!$B$17,Paramètres!$A$1:$I$89,3,0)*VLOOKUP('Données projet'!$B$17,Paramètres!$A$1:$I$89,5,0)</f>
        <v>-5.3205440053716299E-14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198.26255998041</v>
      </c>
      <c r="GF97" s="59">
        <f t="shared" si="104"/>
        <v>238.62101708181166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55.984940085412575</v>
      </c>
      <c r="GM97" s="21">
        <f>EXP(-LN(2)/25)*GM96+(1-EXP(-LN(2)/25))/(LN(2)/25)*Calculateur!GH97*Calculateur!GJ97*VLOOKUP('Données projet'!$B$17,Paramètres!$A$1:$I$89,3,0)*0.475*44/12</f>
        <v>24.257870038719712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80.242810124132291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>
        <f>GU97*VLOOKUP('Données projet'!$B$18,Paramètres!$A$1:$I$89,3,0)*VLOOKUP('Données projet'!$B$18,Paramètres!$A$1:$I$89,5,0)</f>
        <v>0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604.0566904089452</v>
      </c>
      <c r="HA97" s="59">
        <f t="shared" si="106"/>
        <v>369.5187835902687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163.75349662855734</v>
      </c>
      <c r="HH97" s="21">
        <f>EXP(-LN(2)/25)*HH96+(1-EXP(-LN(2)/25))/(LN(2)/25)*Calculateur!HC97*Calculateur!HE97*VLOOKUP('Données projet'!$B$18,Paramètres!$A$1:$I$89,3,0)*0.475*44/12</f>
        <v>68.546703891762888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232.30020052032023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7.4444444444444446</v>
      </c>
      <c r="N98" s="13">
        <f>IF('Données projet'!$A$36&gt;35,N97+M98-V97,IF(A98&lt;'Données projet'!$A$36,$K$205^A98,IF(A98='Données projet'!$A$36,'Données projet'!$B$36,N97+M98-V97)))</f>
        <v>330.55555555555549</v>
      </c>
      <c r="O98" s="13">
        <f>N98*VLOOKUP('Données projet'!$B$9,Paramètres!$A$1:$I$89,3,0)*VLOOKUP('Données projet'!$B$9,Paramètres!$A$1:$I$89,5,0)</f>
        <v>299.08666666666659</v>
      </c>
      <c r="P98" s="13">
        <f t="shared" si="87"/>
        <v>70.984959763116834</v>
      </c>
      <c r="Q98" s="20">
        <f t="shared" si="54"/>
        <v>644.5414160318727</v>
      </c>
      <c r="R98" s="59">
        <f t="shared" si="55"/>
        <v>937.87474936520607</v>
      </c>
      <c r="S98" s="59">
        <f ca="1">AVERAGE(OFFSET($R$3,0,0,'Données projet'!$E$9+1,1))-AVERAGE(OFFSET($H$3,0,0,'Données projet'!$E$9+1,1))</f>
        <v>528.20489749461376</v>
      </c>
      <c r="T98" s="59">
        <f t="shared" si="88"/>
        <v>276.26988364830532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39.671370984034063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39.671370984034063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2.2737367544323206E-13</v>
      </c>
      <c r="AJ98" s="13">
        <f>AI98*VLOOKUP('Données projet'!$B$10,Paramètres!$A$1:$I$89,3,0)*VLOOKUP('Données projet'!$B$10,Paramètres!$A$1:$I$89,5,0)</f>
        <v>2.0572770154103635E-13</v>
      </c>
      <c r="AK98" s="13">
        <f t="shared" si="89"/>
        <v>2.8416956338469711E-12</v>
      </c>
      <c r="AL98" s="20">
        <f t="shared" si="58"/>
        <v>5.3075956424674458E-12</v>
      </c>
      <c r="AM98" s="59">
        <f t="shared" si="59"/>
        <v>293.3333333333386</v>
      </c>
      <c r="AN98" s="59">
        <f ca="1">AVERAGE(OFFSET($AM$3,0,0,'Données projet'!$E$10+1,1))-AVERAGE(OFFSET($H$3,0,0,'Données projet'!$E$10+1,1))</f>
        <v>436.23918637269577</v>
      </c>
      <c r="AO98" s="59">
        <f t="shared" si="90"/>
        <v>611.43967996341894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27.127067517446243</v>
      </c>
      <c r="AV98" s="21">
        <f>EXP(-LN(2)/25)*AV97+(1-EXP(-LN(2)/25))/(LN(2)/25)*Calculateur!AQ98*Calculateur!AS98*VLOOKUP('Données projet'!$B$10,Paramètres!$A$1:$I$89,3,0)*0.475*44/12</f>
        <v>10.821622881426467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37.948690398872714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4.4337866711430253E-14</v>
      </c>
      <c r="BF98" s="13">
        <f t="shared" si="91"/>
        <v>7.3222115536967035E-13</v>
      </c>
      <c r="BG98" s="20">
        <f t="shared" si="61"/>
        <v>1.3525069634579169E-12</v>
      </c>
      <c r="BH98" s="59">
        <f t="shared" si="62"/>
        <v>293.33333333333468</v>
      </c>
      <c r="BI98" s="59">
        <f ca="1">AVERAGE(OFFSET($BH$3,0,0,'Données projet'!$E$11+1,1))-AVERAGE(OFFSET($H$3,0,0,'Données projet'!$E$11+1,1))</f>
        <v>288.82868507674738</v>
      </c>
      <c r="BJ98" s="59">
        <f t="shared" si="92"/>
        <v>283.48738729114024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52.851046567321013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52.851046567321013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2.1316282072803006E-14</v>
      </c>
      <c r="BZ98" s="13">
        <f>BY98*VLOOKUP('Données projet'!$B$12,Paramètres!$A$1:$I$89,3,0)*VLOOKUP('Données projet'!$B$12,Paramètres!$A$1:$I$89,5,0)</f>
        <v>1.8621904018800709E-14</v>
      </c>
      <c r="CA98" s="13">
        <f t="shared" si="93"/>
        <v>3.40208645124969E-13</v>
      </c>
      <c r="CB98" s="20">
        <f t="shared" si="64"/>
        <v>6.2496320642539887E-13</v>
      </c>
      <c r="CC98" s="59">
        <f t="shared" si="65"/>
        <v>293.33333333333394</v>
      </c>
      <c r="CD98" s="59">
        <f ca="1">AVERAGE(OFFSET($CC$3,0,0,'Données projet'!$E$12+1,1))-AVERAGE(OFFSET($H$3,0,0,'Données projet'!$E$12+1,1))</f>
        <v>93.329407403816901</v>
      </c>
      <c r="CE98" s="59">
        <f t="shared" si="94"/>
        <v>90.925148357295313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12.921657607331881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12.921657607331881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565</v>
      </c>
      <c r="CR98" s="12">
        <f>VLOOKUP(A98,'Données projet'!$A$139:$I$159,9,0)</f>
        <v>11.4</v>
      </c>
      <c r="CS98" s="12">
        <f t="array" ref="CS98">INDEX(CR:CR,MIN(IF(ISNUMBER(CR98:CR294),ROW(CR98:CR294),"")))</f>
        <v>11.4</v>
      </c>
      <c r="CT98" s="12">
        <f>IF('Données projet'!$A$140&gt;35,CT97+CS98-DB97,IF(A98&lt;'Données projet'!$A$140,$CQ$205^A98,IF(A98='Données projet'!$A$140,'Données projet'!$B$140,CT97+CS98-DB97)))</f>
        <v>564.99999999999977</v>
      </c>
      <c r="CU98" s="17">
        <f>CT98*VLOOKUP('Données projet'!$B$13,Paramètres!$A$1:$I$89,3,0)*VLOOKUP('Données projet'!$B$13,Paramètres!$A$1:$I$89,5,0)</f>
        <v>537.65399999999977</v>
      </c>
      <c r="CV98" s="13">
        <f t="shared" si="95"/>
        <v>119.18577112531787</v>
      </c>
      <c r="CW98" s="20">
        <f t="shared" si="67"/>
        <v>1143.9959347099282</v>
      </c>
      <c r="CX98" s="59">
        <f t="shared" si="68"/>
        <v>1437.3292680432614</v>
      </c>
      <c r="CY98" s="59">
        <f ca="1">AVERAGE(OFFSET($CX$3,0,0,'Données projet'!$E$13+1,1))-AVERAGE(OFFSET($H$3,0,0,'Données projet'!$E$13+1,1))</f>
        <v>805.04572055352492</v>
      </c>
      <c r="CZ98" s="59">
        <f t="shared" si="96"/>
        <v>708.66645042414962</v>
      </c>
      <c r="DA98" s="15">
        <f>IF(ISNA(VLOOKUP(A98,'Données projet'!$A$139:$I$159,3,0)),0,VLOOKUP(A98,'Données projet'!$A$139:$I$159,3,0))</f>
        <v>18</v>
      </c>
      <c r="DB98" s="15">
        <f>IF(ISNA(VLOOKUP(A98,'Données projet'!$A$139:$I$159,4,0)),0,VLOOKUP(A98,'Données projet'!$A$139:$I$159,4,0))</f>
        <v>51</v>
      </c>
      <c r="DC98" s="16">
        <f>IF(ISNA(VLOOKUP(A98,'Données projet'!$A$139:$I$159,5,0)),0%,VLOOKUP(A98,'Données projet'!$A$139:$I$159,5,0)*VLOOKUP('Données projet'!$B$13,Paramètres!$A$1:$I$89,7,0))</f>
        <v>0.25800000000000001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98.969177352647179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98.969177352647179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494</v>
      </c>
      <c r="DM98" s="12">
        <f>VLOOKUP(A98,'Données projet'!$A$165:$I$185,9,0)</f>
        <v>6.2</v>
      </c>
      <c r="DN98" s="12">
        <f t="array" ref="DN98">INDEX(DM:DM,MIN(IF(ISNUMBER(DM98:DM294),ROW(DM98:DM294),"")))</f>
        <v>6.2</v>
      </c>
      <c r="DO98" s="12">
        <f>IF('Données projet'!$A$166&gt;35,DO97+DN98-DW97,IF(A98&lt;'Données projet'!$A$166,$DL$205^A98,IF(A98='Données projet'!$A$166,'Données projet'!$B$166,DO97+DN98-DW97)))</f>
        <v>493.99999999999977</v>
      </c>
      <c r="DP98" s="17">
        <f>DO98*VLOOKUP('Données projet'!$B$14,Paramètres!$A$1:$I$89,3,0)*VLOOKUP('Données projet'!$B$14,Paramètres!$A$1:$I$89,5,0)</f>
        <v>331.37519999999984</v>
      </c>
      <c r="DQ98" s="13">
        <f t="shared" si="97"/>
        <v>77.715352174616896</v>
      </c>
      <c r="DR98" s="20">
        <f t="shared" si="70"/>
        <v>712.49937837079085</v>
      </c>
      <c r="DS98" s="59">
        <f t="shared" si="71"/>
        <v>1005.8327117041242</v>
      </c>
      <c r="DT98" s="59">
        <f ca="1">AVERAGE(OFFSET($DS$3,0,0,'Données projet'!$E$14+1,1))-AVERAGE(OFFSET($H$3,0,0,'Données projet'!$E$14+1,1))</f>
        <v>482.69499576870095</v>
      </c>
      <c r="DU98" s="59">
        <f t="shared" si="98"/>
        <v>384.28918352579575</v>
      </c>
      <c r="DV98" s="15">
        <f>IF(ISNA(VLOOKUP(A98,'Données projet'!$A$165:$I$185,3,0)),0,VLOOKUP(A98,'Données projet'!$A$165:$I$185,3,0))</f>
        <v>18</v>
      </c>
      <c r="DW98" s="15">
        <f>IF(ISNA(VLOOKUP(A98,'Données projet'!$A$165:$I$185,4,0)),0,VLOOKUP(A98,'Données projet'!$A$165:$I$185,4,0))</f>
        <v>19</v>
      </c>
      <c r="DX98" s="16">
        <f>IF(ISNA(VLOOKUP(A98,'Données projet'!$A$165:$I$185,5,0)),0%,VLOOKUP(A98,'Données projet'!$A$165:$I$185,5,0)*VLOOKUP('Données projet'!$B$14,Paramètres!$A$1:$I$89,7,0))</f>
        <v>0.318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34.502131449813433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34.502131449813433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1.7053025658242404E-13</v>
      </c>
      <c r="EK98" s="17">
        <f>EJ98*VLOOKUP('Données projet'!$B$15,Paramètres!$A$1:$I$89,3,0)*VLOOKUP('Données projet'!$B$15,Paramètres!$A$1:$I$89,5,0)</f>
        <v>1.250327841262333E-13</v>
      </c>
      <c r="EL98" s="13">
        <f t="shared" si="99"/>
        <v>1.8301318724634299E-12</v>
      </c>
      <c r="EM98" s="20">
        <f t="shared" si="73"/>
        <v>3.405245110226996E-12</v>
      </c>
      <c r="EN98" s="59">
        <f t="shared" si="74"/>
        <v>293.33333333333672</v>
      </c>
      <c r="EO98" s="59">
        <f ca="1">AVERAGE(OFFSET($EN$3,0,0,'Données projet'!$E$15+1,1))-AVERAGE(OFFSET($H$3,0,0,'Données projet'!$E$15+1,1))</f>
        <v>197.34725966440715</v>
      </c>
      <c r="EP98" s="59">
        <f t="shared" si="100"/>
        <v>240.16326570529532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17.945617285060688</v>
      </c>
      <c r="EW98" s="21">
        <f>EXP(-LN(2)/25)*EW97+(1-EXP(-LN(2)/25))/(LN(2)/25)*Calculateur!ER98*Calculateur!ET98*VLOOKUP('Données projet'!$B$15,Paramètres!$A$1:$I$89,3,0)*0.475*44/12</f>
        <v>8.8446753897791179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26.790292674839804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2.2737367544323206E-13</v>
      </c>
      <c r="FF98" s="17">
        <f>FE98*VLOOKUP('Données projet'!$B$16,Paramètres!$A$1:$I$89,3,0)*VLOOKUP('Données projet'!$B$16,Paramètres!$A$1:$I$89,5,0)</f>
        <v>1.2710188457276673E-13</v>
      </c>
      <c r="FG98" s="13">
        <f t="shared" si="101"/>
        <v>1.856866851063998E-12</v>
      </c>
      <c r="FH98" s="20">
        <f t="shared" si="76"/>
        <v>3.4554122145673649E-12</v>
      </c>
      <c r="FI98" s="59">
        <f t="shared" si="77"/>
        <v>293.33333333333678</v>
      </c>
      <c r="FJ98" s="59">
        <f ca="1">AVERAGE(OFFSET($FI$3,0,0,'Données projet'!$E$16+1,1))-AVERAGE(OFFSET($H$3,0,0,'Données projet'!$E$16+1,1))</f>
        <v>346.42094266871379</v>
      </c>
      <c r="FK98" s="59">
        <f t="shared" si="102"/>
        <v>453.48153556975973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85.631422373490963</v>
      </c>
      <c r="FR98" s="21">
        <f>EXP(-LN(2)/25)*FR97+(1-EXP(-LN(2)/25))/(LN(2)/25)*Calculateur!FM98*Calculateur!FO98*VLOOKUP('Données projet'!$B$16,Paramètres!$A$1:$I$89,3,0)*0.475*44/12</f>
        <v>39.979074169163326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125.61049654265429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-1.1368683772161603E-13</v>
      </c>
      <c r="GA98" s="17">
        <f>FZ98*VLOOKUP('Données projet'!$B$17,Paramètres!$A$1:$I$89,3,0)*VLOOKUP('Données projet'!$B$17,Paramètres!$A$1:$I$89,5,0)</f>
        <v>-5.3205440053716299E-14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198.26255998041</v>
      </c>
      <c r="GF98" s="59">
        <f t="shared" si="104"/>
        <v>238.62101708181166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54.887109557779304</v>
      </c>
      <c r="GM98" s="21">
        <f>EXP(-LN(2)/25)*GM97+(1-EXP(-LN(2)/25))/(LN(2)/25)*Calculateur!GH98*Calculateur!GJ98*VLOOKUP('Données projet'!$B$17,Paramètres!$A$1:$I$89,3,0)*0.475*44/12</f>
        <v>23.594537306844977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78.481646864624281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>
        <f>GU98*VLOOKUP('Données projet'!$B$18,Paramètres!$A$1:$I$89,3,0)*VLOOKUP('Données projet'!$B$18,Paramètres!$A$1:$I$89,5,0)</f>
        <v>0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604.0566904089452</v>
      </c>
      <c r="HA98" s="59">
        <f t="shared" si="106"/>
        <v>369.5187835902687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160.54239043944196</v>
      </c>
      <c r="HH98" s="21">
        <f>EXP(-LN(2)/25)*HH97+(1-EXP(-LN(2)/25))/(LN(2)/25)*Calculateur!HC98*Calculateur!HE98*VLOOKUP('Données projet'!$B$18,Paramètres!$A$1:$I$89,3,0)*0.475*44/12</f>
        <v>66.672290669128145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227.21468110857012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>
        <f>VLOOKUP(A99,'Données projet'!$A$35:$I$55,2,0)</f>
        <v>338</v>
      </c>
      <c r="L99" s="12">
        <f>VLOOKUP(A99,'Données projet'!$A$35:$I$55,9,0)</f>
        <v>7.4444444444444446</v>
      </c>
      <c r="M99" s="12">
        <f t="array" ref="M99">INDEX(L:L,MIN(IF(ISNUMBER(L99:L295),ROW(L99:L295),"")))</f>
        <v>7.4444444444444446</v>
      </c>
      <c r="N99" s="13">
        <f>IF('Données projet'!$A$36&gt;35,N98+M99-V98,IF(A99&lt;'Données projet'!$A$36,$K$205^A99,IF(A99='Données projet'!$A$36,'Données projet'!$B$36,N98+M99-V98)))</f>
        <v>337.99999999999994</v>
      </c>
      <c r="O99" s="13">
        <f>N99*VLOOKUP('Données projet'!$B$9,Paramètres!$A$1:$I$89,3,0)*VLOOKUP('Données projet'!$B$9,Paramètres!$A$1:$I$89,5,0)</f>
        <v>305.82239999999996</v>
      </c>
      <c r="P99" s="13">
        <f t="shared" si="87"/>
        <v>72.395693291268941</v>
      </c>
      <c r="Q99" s="20">
        <f t="shared" ref="Q99:Q130" si="107">(O99+P99)*0.475*44/12</f>
        <v>658.72984581562662</v>
      </c>
      <c r="R99" s="59">
        <f t="shared" si="55"/>
        <v>952.06317914895999</v>
      </c>
      <c r="S99" s="59">
        <f ca="1">AVERAGE(OFFSET($R$3,0,0,'Données projet'!$E$9+1,1))-AVERAGE(OFFSET($H$3,0,0,'Données projet'!$E$9+1,1))</f>
        <v>528.20489749461376</v>
      </c>
      <c r="T99" s="59">
        <f t="shared" si="88"/>
        <v>276.26988364830532</v>
      </c>
      <c r="U99" s="15">
        <f>IF(ISNA(VLOOKUP(A99,'Données projet'!$A$35:$I$55,3,0)),0,VLOOKUP(A99,'Données projet'!$A$35:$I$55,3,0))</f>
        <v>8</v>
      </c>
      <c r="V99" s="15">
        <f>IF(ISNA(VLOOKUP(A99,'Données projet'!$A$35:$I$55,4,0)),0,VLOOKUP(A99,'Données projet'!$A$35:$I$55,4,0))</f>
        <v>44</v>
      </c>
      <c r="W99" s="16">
        <f>IF(ISNA(VLOOKUP(A99,'Données projet'!$A$35:$I$55,5,0)),0%,VLOOKUP(A99,'Données projet'!$A$35:$I$55,5,0)*VLOOKUP('Données projet'!$B$9,Paramètres!$A$1:$I$89,7,0))</f>
        <v>0.25800000000000001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50.248046008589029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50.248046008589029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2.2737367544323206E-13</v>
      </c>
      <c r="AJ99" s="13">
        <f>AI99*VLOOKUP('Données projet'!$B$10,Paramètres!$A$1:$I$89,3,0)*VLOOKUP('Données projet'!$B$10,Paramètres!$A$1:$I$89,5,0)</f>
        <v>2.0572770154103635E-13</v>
      </c>
      <c r="AK99" s="13">
        <f t="shared" si="89"/>
        <v>2.8416956338469711E-12</v>
      </c>
      <c r="AL99" s="20">
        <f t="shared" si="58"/>
        <v>5.3075956424674458E-12</v>
      </c>
      <c r="AM99" s="59">
        <f t="shared" si="59"/>
        <v>293.3333333333386</v>
      </c>
      <c r="AN99" s="59">
        <f ca="1">AVERAGE(OFFSET($AM$3,0,0,'Données projet'!$E$10+1,1))-AVERAGE(OFFSET($H$3,0,0,'Données projet'!$E$10+1,1))</f>
        <v>436.23918637269577</v>
      </c>
      <c r="AO99" s="59">
        <f t="shared" si="90"/>
        <v>611.43967996341894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26.595122269306536</v>
      </c>
      <c r="AV99" s="21">
        <f>EXP(-LN(2)/25)*AV98+(1-EXP(-LN(2)/25))/(LN(2)/25)*Calculateur!AQ99*Calculateur!AS99*VLOOKUP('Données projet'!$B$10,Paramètres!$A$1:$I$89,3,0)*0.475*44/12</f>
        <v>10.525705034649446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37.120827303955984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4.4337866711430253E-14</v>
      </c>
      <c r="BF99" s="13">
        <f t="shared" si="91"/>
        <v>7.3222115536967035E-13</v>
      </c>
      <c r="BG99" s="20">
        <f t="shared" si="61"/>
        <v>1.3525069634579169E-12</v>
      </c>
      <c r="BH99" s="59">
        <f t="shared" si="62"/>
        <v>293.33333333333468</v>
      </c>
      <c r="BI99" s="59">
        <f ca="1">AVERAGE(OFFSET($BH$3,0,0,'Données projet'!$E$11+1,1))-AVERAGE(OFFSET($H$3,0,0,'Données projet'!$E$11+1,1))</f>
        <v>288.82868507674738</v>
      </c>
      <c r="BJ99" s="59">
        <f t="shared" si="92"/>
        <v>283.48738729114024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51.814669780091215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51.814669780091215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2.1316282072803006E-14</v>
      </c>
      <c r="BZ99" s="13">
        <f>BY99*VLOOKUP('Données projet'!$B$12,Paramètres!$A$1:$I$89,3,0)*VLOOKUP('Données projet'!$B$12,Paramètres!$A$1:$I$89,5,0)</f>
        <v>1.8621904018800709E-14</v>
      </c>
      <c r="CA99" s="13">
        <f t="shared" si="93"/>
        <v>3.40208645124969E-13</v>
      </c>
      <c r="CB99" s="20">
        <f t="shared" si="64"/>
        <v>6.2496320642539887E-13</v>
      </c>
      <c r="CC99" s="59">
        <f t="shared" si="65"/>
        <v>293.33333333333394</v>
      </c>
      <c r="CD99" s="59">
        <f ca="1">AVERAGE(OFFSET($CC$3,0,0,'Données projet'!$E$12+1,1))-AVERAGE(OFFSET($H$3,0,0,'Données projet'!$E$12+1,1))</f>
        <v>93.329407403816901</v>
      </c>
      <c r="CE99" s="59">
        <f t="shared" si="94"/>
        <v>90.925148357295313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12.668271783085016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12.668271783085016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10.6</v>
      </c>
      <c r="CT99" s="12">
        <f>IF('Données projet'!$A$140&gt;35,CT98+CS99-DB98,IF(A99&lt;'Données projet'!$A$140,$CQ$205^A99,IF(A99='Données projet'!$A$140,'Données projet'!$B$140,CT98+CS99-DB98)))</f>
        <v>524.5999999999998</v>
      </c>
      <c r="CU99" s="17">
        <f>CT99*VLOOKUP('Données projet'!$B$13,Paramètres!$A$1:$I$89,3,0)*VLOOKUP('Données projet'!$B$13,Paramètres!$A$1:$I$89,5,0)</f>
        <v>499.20935999999978</v>
      </c>
      <c r="CV99" s="13">
        <f t="shared" si="95"/>
        <v>111.62325327195697</v>
      </c>
      <c r="CW99" s="20">
        <f t="shared" si="67"/>
        <v>1063.8668014486577</v>
      </c>
      <c r="CX99" s="59">
        <f t="shared" si="68"/>
        <v>1357.200134781991</v>
      </c>
      <c r="CY99" s="59">
        <f ca="1">AVERAGE(OFFSET($CX$3,0,0,'Données projet'!$E$13+1,1))-AVERAGE(OFFSET($H$3,0,0,'Données projet'!$E$13+1,1))</f>
        <v>805.04572055352492</v>
      </c>
      <c r="CZ99" s="59">
        <f t="shared" si="96"/>
        <v>708.66645042414962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97.028452149999382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97.028452149999382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5.8</v>
      </c>
      <c r="DO99" s="12">
        <f>IF('Données projet'!$A$166&gt;35,DO98+DN99-DW98,IF(A99&lt;'Données projet'!$A$166,$DL$205^A99,IF(A99='Données projet'!$A$166,'Données projet'!$B$166,DO98+DN99-DW98)))</f>
        <v>480.79999999999978</v>
      </c>
      <c r="DP99" s="17">
        <f>DO99*VLOOKUP('Données projet'!$B$14,Paramètres!$A$1:$I$89,3,0)*VLOOKUP('Données projet'!$B$14,Paramètres!$A$1:$I$89,5,0)</f>
        <v>322.5206399999999</v>
      </c>
      <c r="DQ99" s="13">
        <f t="shared" si="97"/>
        <v>75.877582099683266</v>
      </c>
      <c r="DR99" s="20">
        <f t="shared" si="70"/>
        <v>693.87690349028151</v>
      </c>
      <c r="DS99" s="59">
        <f t="shared" si="71"/>
        <v>987.21023682361488</v>
      </c>
      <c r="DT99" s="59">
        <f ca="1">AVERAGE(OFFSET($DS$3,0,0,'Données projet'!$E$14+1,1))-AVERAGE(OFFSET($H$3,0,0,'Données projet'!$E$14+1,1))</f>
        <v>482.69499576870095</v>
      </c>
      <c r="DU99" s="59">
        <f t="shared" si="98"/>
        <v>384.28918352579575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33.825565696304828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33.825565696304828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1.7053025658242404E-13</v>
      </c>
      <c r="EK99" s="17">
        <f>EJ99*VLOOKUP('Données projet'!$B$15,Paramètres!$A$1:$I$89,3,0)*VLOOKUP('Données projet'!$B$15,Paramètres!$A$1:$I$89,5,0)</f>
        <v>1.250327841262333E-13</v>
      </c>
      <c r="EL99" s="13">
        <f t="shared" si="99"/>
        <v>1.8301318724634299E-12</v>
      </c>
      <c r="EM99" s="20">
        <f t="shared" si="73"/>
        <v>3.405245110226996E-12</v>
      </c>
      <c r="EN99" s="59">
        <f t="shared" si="74"/>
        <v>293.33333333333672</v>
      </c>
      <c r="EO99" s="59">
        <f ca="1">AVERAGE(OFFSET($EN$3,0,0,'Données projet'!$E$15+1,1))-AVERAGE(OFFSET($H$3,0,0,'Données projet'!$E$15+1,1))</f>
        <v>197.34725966440715</v>
      </c>
      <c r="EP99" s="59">
        <f t="shared" si="100"/>
        <v>240.16326570529532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17.593714675846389</v>
      </c>
      <c r="EW99" s="21">
        <f>EXP(-LN(2)/25)*EW98+(1-EXP(-LN(2)/25))/(LN(2)/25)*Calculateur!ER99*Calculateur!ET99*VLOOKUP('Données projet'!$B$15,Paramètres!$A$1:$I$89,3,0)*0.475*44/12</f>
        <v>8.6028172761243447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26.196531951970734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2.2737367544323206E-13</v>
      </c>
      <c r="FF99" s="17">
        <f>FE99*VLOOKUP('Données projet'!$B$16,Paramètres!$A$1:$I$89,3,0)*VLOOKUP('Données projet'!$B$16,Paramètres!$A$1:$I$89,5,0)</f>
        <v>1.2710188457276673E-13</v>
      </c>
      <c r="FG99" s="13">
        <f t="shared" si="101"/>
        <v>1.856866851063998E-12</v>
      </c>
      <c r="FH99" s="20">
        <f t="shared" si="76"/>
        <v>3.4554122145673649E-12</v>
      </c>
      <c r="FI99" s="59">
        <f t="shared" si="77"/>
        <v>293.33333333333678</v>
      </c>
      <c r="FJ99" s="59">
        <f ca="1">AVERAGE(OFFSET($FI$3,0,0,'Données projet'!$E$16+1,1))-AVERAGE(OFFSET($H$3,0,0,'Données projet'!$E$16+1,1))</f>
        <v>346.42094266871379</v>
      </c>
      <c r="FK99" s="59">
        <f t="shared" si="102"/>
        <v>453.48153556975973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83.952242410757165</v>
      </c>
      <c r="FR99" s="21">
        <f>EXP(-LN(2)/25)*FR98+(1-EXP(-LN(2)/25))/(LN(2)/25)*Calculateur!FM99*Calculateur!FO99*VLOOKUP('Données projet'!$B$16,Paramètres!$A$1:$I$89,3,0)*0.475*44/12</f>
        <v>38.885844283599418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122.83808669435658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-1.1368683772161603E-13</v>
      </c>
      <c r="GA99" s="17">
        <f>FZ99*VLOOKUP('Données projet'!$B$17,Paramètres!$A$1:$I$89,3,0)*VLOOKUP('Données projet'!$B$17,Paramètres!$A$1:$I$89,5,0)</f>
        <v>-5.3205440053716299E-14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198.26255998041</v>
      </c>
      <c r="GF99" s="59">
        <f t="shared" si="104"/>
        <v>238.62101708181166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53.810806817182424</v>
      </c>
      <c r="GM99" s="21">
        <f>EXP(-LN(2)/25)*GM98+(1-EXP(-LN(2)/25))/(LN(2)/25)*Calculateur!GH99*Calculateur!GJ99*VLOOKUP('Données projet'!$B$17,Paramètres!$A$1:$I$89,3,0)*0.475*44/12</f>
        <v>22.949343443406509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76.760150260588929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>
        <f>GU99*VLOOKUP('Données projet'!$B$18,Paramètres!$A$1:$I$89,3,0)*VLOOKUP('Données projet'!$B$18,Paramètres!$A$1:$I$89,5,0)</f>
        <v>0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604.0566904089452</v>
      </c>
      <c r="HA99" s="59">
        <f t="shared" si="106"/>
        <v>369.5187835902687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157.39425208411376</v>
      </c>
      <c r="HH99" s="21">
        <f>EXP(-LN(2)/25)*HH98+(1-EXP(-LN(2)/25))/(LN(2)/25)*Calculateur!HC99*Calculateur!HE99*VLOOKUP('Données projet'!$B$18,Paramètres!$A$1:$I$89,3,0)*0.475*44/12</f>
        <v>64.849133374637447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222.24338545875122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7.1111111111111107</v>
      </c>
      <c r="N100" s="13">
        <f>IF('Données projet'!$A$36&gt;35,N99+M100-V99,IF(A100&lt;'Données projet'!$A$36,$K$205^A100,IF(A100='Données projet'!$A$36,'Données projet'!$B$36,N99+M100-V99)))</f>
        <v>301.11111111111103</v>
      </c>
      <c r="O100" s="13">
        <f>N100*VLOOKUP('Données projet'!$B$9,Paramètres!$A$1:$I$89,3,0)*VLOOKUP('Données projet'!$B$9,Paramètres!$A$1:$I$89,5,0)</f>
        <v>272.44533333333328</v>
      </c>
      <c r="P100" s="13">
        <f t="shared" si="87"/>
        <v>65.36795810752551</v>
      </c>
      <c r="Q100" s="20">
        <f t="shared" si="107"/>
        <v>588.35814925949569</v>
      </c>
      <c r="R100" s="59">
        <f t="shared" si="55"/>
        <v>881.69148259282906</v>
      </c>
      <c r="S100" s="59">
        <f ca="1">AVERAGE(OFFSET($R$3,0,0,'Données projet'!$E$9+1,1))-AVERAGE(OFFSET($H$3,0,0,'Données projet'!$E$9+1,1))</f>
        <v>528.20489749461376</v>
      </c>
      <c r="T100" s="59">
        <f t="shared" si="88"/>
        <v>276.26988364830532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49.262712474642399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49.262712474642399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2.2737367544323206E-13</v>
      </c>
      <c r="AJ100" s="13">
        <f>AI100*VLOOKUP('Données projet'!$B$10,Paramètres!$A$1:$I$89,3,0)*VLOOKUP('Données projet'!$B$10,Paramètres!$A$1:$I$89,5,0)</f>
        <v>2.0572770154103635E-13</v>
      </c>
      <c r="AK100" s="13">
        <f t="shared" si="89"/>
        <v>2.8416956338469711E-12</v>
      </c>
      <c r="AL100" s="20">
        <f t="shared" si="58"/>
        <v>5.3075956424674458E-12</v>
      </c>
      <c r="AM100" s="59">
        <f t="shared" si="59"/>
        <v>293.3333333333386</v>
      </c>
      <c r="AN100" s="59">
        <f ca="1">AVERAGE(OFFSET($AM$3,0,0,'Données projet'!$E$10+1,1))-AVERAGE(OFFSET($H$3,0,0,'Données projet'!$E$10+1,1))</f>
        <v>436.23918637269577</v>
      </c>
      <c r="AO100" s="59">
        <f t="shared" si="90"/>
        <v>611.43967996341894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26.073608143028288</v>
      </c>
      <c r="AV100" s="21">
        <f>EXP(-LN(2)/25)*AV99+(1-EXP(-LN(2)/25))/(LN(2)/25)*Calculateur!AQ100*Calculateur!AS100*VLOOKUP('Données projet'!$B$10,Paramètres!$A$1:$I$89,3,0)*0.475*44/12</f>
        <v>10.237879076954187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36.311487219982475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4.4337866711430253E-14</v>
      </c>
      <c r="BF100" s="13">
        <f t="shared" si="91"/>
        <v>7.3222115536967035E-13</v>
      </c>
      <c r="BG100" s="20">
        <f t="shared" si="61"/>
        <v>1.3525069634579169E-12</v>
      </c>
      <c r="BH100" s="59">
        <f t="shared" si="62"/>
        <v>293.33333333333468</v>
      </c>
      <c r="BI100" s="59">
        <f ca="1">AVERAGE(OFFSET($BH$3,0,0,'Données projet'!$E$11+1,1))-AVERAGE(OFFSET($H$3,0,0,'Données projet'!$E$11+1,1))</f>
        <v>288.82868507674738</v>
      </c>
      <c r="BJ100" s="59">
        <f t="shared" si="92"/>
        <v>283.48738729114024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50.798615709531575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50.798615709531575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2.1316282072803006E-14</v>
      </c>
      <c r="BZ100" s="13">
        <f>BY100*VLOOKUP('Données projet'!$B$12,Paramètres!$A$1:$I$89,3,0)*VLOOKUP('Données projet'!$B$12,Paramètres!$A$1:$I$89,5,0)</f>
        <v>1.8621904018800709E-14</v>
      </c>
      <c r="CA100" s="13">
        <f t="shared" si="93"/>
        <v>3.40208645124969E-13</v>
      </c>
      <c r="CB100" s="20">
        <f t="shared" si="64"/>
        <v>6.2496320642539887E-13</v>
      </c>
      <c r="CC100" s="59">
        <f t="shared" si="65"/>
        <v>293.33333333333394</v>
      </c>
      <c r="CD100" s="59">
        <f ca="1">AVERAGE(OFFSET($CC$3,0,0,'Données projet'!$E$12+1,1))-AVERAGE(OFFSET($H$3,0,0,'Données projet'!$E$12+1,1))</f>
        <v>93.329407403816901</v>
      </c>
      <c r="CE100" s="59">
        <f t="shared" si="94"/>
        <v>90.925148357295313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12.41985470030154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12.41985470030154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10.6</v>
      </c>
      <c r="CT100" s="12">
        <f>IF('Données projet'!$A$140&gt;35,CT99+CS100-DB99,IF(A100&lt;'Données projet'!$A$140,$CQ$205^A100,IF(A100='Données projet'!$A$140,'Données projet'!$B$140,CT99+CS100-DB99)))</f>
        <v>535.19999999999982</v>
      </c>
      <c r="CU100" s="17">
        <f>CT100*VLOOKUP('Données projet'!$B$13,Paramètres!$A$1:$I$89,3,0)*VLOOKUP('Données projet'!$B$13,Paramètres!$A$1:$I$89,5,0)</f>
        <v>509.29631999999981</v>
      </c>
      <c r="CV100" s="13">
        <f t="shared" si="95"/>
        <v>113.61383834657393</v>
      </c>
      <c r="CW100" s="20">
        <f t="shared" si="67"/>
        <v>1084.9018591202828</v>
      </c>
      <c r="CX100" s="59">
        <f t="shared" si="68"/>
        <v>1378.235192453616</v>
      </c>
      <c r="CY100" s="59">
        <f ca="1">AVERAGE(OFFSET($CX$3,0,0,'Données projet'!$E$13+1,1))-AVERAGE(OFFSET($H$3,0,0,'Données projet'!$E$13+1,1))</f>
        <v>805.04572055352492</v>
      </c>
      <c r="CZ100" s="59">
        <f t="shared" si="96"/>
        <v>708.66645042414962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95.12578338485001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95.12578338485001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5.8</v>
      </c>
      <c r="DO100" s="12">
        <f>IF('Données projet'!$A$166&gt;35,DO99+DN100-DW99,IF(A100&lt;'Données projet'!$A$166,$DL$205^A100,IF(A100='Données projet'!$A$166,'Données projet'!$B$166,DO99+DN100-DW99)))</f>
        <v>486.5999999999998</v>
      </c>
      <c r="DP100" s="17">
        <f>DO100*VLOOKUP('Données projet'!$B$14,Paramètres!$A$1:$I$89,3,0)*VLOOKUP('Données projet'!$B$14,Paramètres!$A$1:$I$89,5,0)</f>
        <v>326.41127999999986</v>
      </c>
      <c r="DQ100" s="13">
        <f t="shared" si="97"/>
        <v>76.685801125353322</v>
      </c>
      <c r="DR100" s="20">
        <f t="shared" si="70"/>
        <v>702.06074962665673</v>
      </c>
      <c r="DS100" s="59">
        <f t="shared" si="71"/>
        <v>995.3940829599901</v>
      </c>
      <c r="DT100" s="59">
        <f ca="1">AVERAGE(OFFSET($DS$3,0,0,'Données projet'!$E$14+1,1))-AVERAGE(OFFSET($H$3,0,0,'Données projet'!$E$14+1,1))</f>
        <v>482.69499576870095</v>
      </c>
      <c r="DU100" s="59">
        <f t="shared" si="98"/>
        <v>384.28918352579575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33.162266984558165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33.162266984558165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1.7053025658242404E-13</v>
      </c>
      <c r="EK100" s="17">
        <f>EJ100*VLOOKUP('Données projet'!$B$15,Paramètres!$A$1:$I$89,3,0)*VLOOKUP('Données projet'!$B$15,Paramètres!$A$1:$I$89,5,0)</f>
        <v>1.250327841262333E-13</v>
      </c>
      <c r="EL100" s="13">
        <f t="shared" si="99"/>
        <v>1.8301318724634299E-12</v>
      </c>
      <c r="EM100" s="20">
        <f t="shared" si="73"/>
        <v>3.405245110226996E-12</v>
      </c>
      <c r="EN100" s="59">
        <f t="shared" si="74"/>
        <v>293.33333333333672</v>
      </c>
      <c r="EO100" s="59">
        <f ca="1">AVERAGE(OFFSET($EN$3,0,0,'Données projet'!$E$15+1,1))-AVERAGE(OFFSET($H$3,0,0,'Données projet'!$E$15+1,1))</f>
        <v>197.34725966440715</v>
      </c>
      <c r="EP100" s="59">
        <f t="shared" si="100"/>
        <v>240.16326570529532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17.248712662159384</v>
      </c>
      <c r="EW100" s="21">
        <f>EXP(-LN(2)/25)*EW99+(1-EXP(-LN(2)/25))/(LN(2)/25)*Calculateur!ER100*Calculateur!ET100*VLOOKUP('Données projet'!$B$15,Paramètres!$A$1:$I$89,3,0)*0.475*44/12</f>
        <v>8.3675727853062263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25.616285447465611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2.2737367544323206E-13</v>
      </c>
      <c r="FF100" s="17">
        <f>FE100*VLOOKUP('Données projet'!$B$16,Paramètres!$A$1:$I$89,3,0)*VLOOKUP('Données projet'!$B$16,Paramètres!$A$1:$I$89,5,0)</f>
        <v>1.2710188457276673E-13</v>
      </c>
      <c r="FG100" s="13">
        <f t="shared" si="101"/>
        <v>1.856866851063998E-12</v>
      </c>
      <c r="FH100" s="20">
        <f t="shared" si="76"/>
        <v>3.4554122145673649E-12</v>
      </c>
      <c r="FI100" s="59">
        <f t="shared" si="77"/>
        <v>293.33333333333678</v>
      </c>
      <c r="FJ100" s="59">
        <f ca="1">AVERAGE(OFFSET($FI$3,0,0,'Données projet'!$E$16+1,1))-AVERAGE(OFFSET($H$3,0,0,'Données projet'!$E$16+1,1))</f>
        <v>346.42094266871379</v>
      </c>
      <c r="FK100" s="59">
        <f t="shared" si="102"/>
        <v>453.48153556975973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82.305990142893933</v>
      </c>
      <c r="FR100" s="21">
        <f>EXP(-LN(2)/25)*FR99+(1-EXP(-LN(2)/25))/(LN(2)/25)*Calculateur!FM100*Calculateur!FO100*VLOOKUP('Données projet'!$B$16,Paramètres!$A$1:$I$89,3,0)*0.475*44/12</f>
        <v>37.822508826746713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120.12849896964065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-1.1368683772161603E-13</v>
      </c>
      <c r="GA100" s="17">
        <f>FZ100*VLOOKUP('Données projet'!$B$17,Paramètres!$A$1:$I$89,3,0)*VLOOKUP('Données projet'!$B$17,Paramètres!$A$1:$I$89,5,0)</f>
        <v>-5.3205440053716299E-14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198.26255998041</v>
      </c>
      <c r="GF100" s="59">
        <f t="shared" si="104"/>
        <v>238.62101708181166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52.755609716848795</v>
      </c>
      <c r="GM100" s="21">
        <f>EXP(-LN(2)/25)*GM99+(1-EXP(-LN(2)/25))/(LN(2)/25)*Calculateur!GH100*Calculateur!GJ100*VLOOKUP('Données projet'!$B$17,Paramètres!$A$1:$I$89,3,0)*0.475*44/12</f>
        <v>22.321792440093038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75.07740215694183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>
        <f>GU100*VLOOKUP('Données projet'!$B$18,Paramètres!$A$1:$I$89,3,0)*VLOOKUP('Données projet'!$B$18,Paramètres!$A$1:$I$89,5,0)</f>
        <v>0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604.0566904089452</v>
      </c>
      <c r="HA100" s="59">
        <f t="shared" si="106"/>
        <v>369.5187835902687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154.30784680175876</v>
      </c>
      <c r="HH100" s="21">
        <f>EXP(-LN(2)/25)*HH99+(1-EXP(-LN(2)/25))/(LN(2)/25)*Calculateur!HC100*Calculateur!HE100*VLOOKUP('Données projet'!$B$18,Paramètres!$A$1:$I$89,3,0)*0.475*44/12</f>
        <v>63.075830412240279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217.38367721399902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7.1111111111111107</v>
      </c>
      <c r="N101" s="13">
        <f>IF('Données projet'!$A$36&gt;35,N100+M101-V100,IF(A101&lt;'Données projet'!$A$36,$K$205^A101,IF(A101='Données projet'!$A$36,'Données projet'!$B$36,N100+M101-V100)))</f>
        <v>308.22222222222211</v>
      </c>
      <c r="O101" s="13">
        <f>N101*VLOOKUP('Données projet'!$B$9,Paramètres!$A$1:$I$89,3,0)*VLOOKUP('Données projet'!$B$9,Paramètres!$A$1:$I$89,5,0)</f>
        <v>278.87946666666659</v>
      </c>
      <c r="P101" s="13">
        <f t="shared" si="87"/>
        <v>66.730152740440772</v>
      </c>
      <c r="Q101" s="20">
        <f t="shared" si="107"/>
        <v>601.93675380071193</v>
      </c>
      <c r="R101" s="59">
        <f t="shared" si="55"/>
        <v>895.2700871340453</v>
      </c>
      <c r="S101" s="59">
        <f ca="1">AVERAGE(OFFSET($R$3,0,0,'Données projet'!$E$9+1,1))-AVERAGE(OFFSET($H$3,0,0,'Données projet'!$E$9+1,1))</f>
        <v>528.20489749461376</v>
      </c>
      <c r="T101" s="59">
        <f t="shared" si="88"/>
        <v>276.26988364830532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48.296700730302348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48.296700730302348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2.2737367544323206E-13</v>
      </c>
      <c r="AJ101" s="13">
        <f>AI101*VLOOKUP('Données projet'!$B$10,Paramètres!$A$1:$I$89,3,0)*VLOOKUP('Données projet'!$B$10,Paramètres!$A$1:$I$89,5,0)</f>
        <v>2.0572770154103635E-13</v>
      </c>
      <c r="AK101" s="13">
        <f t="shared" si="89"/>
        <v>2.8416956338469711E-12</v>
      </c>
      <c r="AL101" s="20">
        <f t="shared" si="58"/>
        <v>5.3075956424674458E-12</v>
      </c>
      <c r="AM101" s="59">
        <f t="shared" si="59"/>
        <v>293.3333333333386</v>
      </c>
      <c r="AN101" s="59">
        <f ca="1">AVERAGE(OFFSET($AM$3,0,0,'Données projet'!$E$10+1,1))-AVERAGE(OFFSET($H$3,0,0,'Données projet'!$E$10+1,1))</f>
        <v>436.23918637269577</v>
      </c>
      <c r="AO101" s="59">
        <f t="shared" si="90"/>
        <v>611.43967996341894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25.562320590674148</v>
      </c>
      <c r="AV101" s="21">
        <f>EXP(-LN(2)/25)*AV100+(1-EXP(-LN(2)/25))/(LN(2)/25)*Calculateur!AQ101*Calculateur!AS101*VLOOKUP('Données projet'!$B$10,Paramètres!$A$1:$I$89,3,0)*0.475*44/12</f>
        <v>9.9579237352082135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35.520244325882359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4.4337866711430253E-14</v>
      </c>
      <c r="BF101" s="13">
        <f t="shared" si="91"/>
        <v>7.3222115536967035E-13</v>
      </c>
      <c r="BG101" s="20">
        <f t="shared" si="61"/>
        <v>1.3525069634579169E-12</v>
      </c>
      <c r="BH101" s="59">
        <f t="shared" si="62"/>
        <v>293.33333333333468</v>
      </c>
      <c r="BI101" s="59">
        <f ca="1">AVERAGE(OFFSET($BH$3,0,0,'Données projet'!$E$11+1,1))-AVERAGE(OFFSET($H$3,0,0,'Données projet'!$E$11+1,1))</f>
        <v>288.82868507674738</v>
      </c>
      <c r="BJ101" s="59">
        <f t="shared" si="92"/>
        <v>283.48738729114024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49.802485839563815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49.802485839563815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2.1316282072803006E-14</v>
      </c>
      <c r="BZ101" s="13">
        <f>BY101*VLOOKUP('Données projet'!$B$12,Paramètres!$A$1:$I$89,3,0)*VLOOKUP('Données projet'!$B$12,Paramètres!$A$1:$I$89,5,0)</f>
        <v>1.8621904018800709E-14</v>
      </c>
      <c r="CA101" s="13">
        <f t="shared" si="93"/>
        <v>3.40208645124969E-13</v>
      </c>
      <c r="CB101" s="20">
        <f t="shared" si="64"/>
        <v>6.2496320642539887E-13</v>
      </c>
      <c r="CC101" s="59">
        <f t="shared" si="65"/>
        <v>293.33333333333394</v>
      </c>
      <c r="CD101" s="59">
        <f ca="1">AVERAGE(OFFSET($CC$3,0,0,'Données projet'!$E$12+1,1))-AVERAGE(OFFSET($H$3,0,0,'Données projet'!$E$12+1,1))</f>
        <v>93.329407403816901</v>
      </c>
      <c r="CE101" s="59">
        <f t="shared" si="94"/>
        <v>90.925148357295313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12.176308924991989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12.176308924991989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10.6</v>
      </c>
      <c r="CT101" s="12">
        <f>IF('Données projet'!$A$140&gt;35,CT100+CS101-DB100,IF(A101&lt;'Données projet'!$A$140,$CQ$205^A101,IF(A101='Données projet'!$A$140,'Données projet'!$B$140,CT100+CS101-DB100)))</f>
        <v>545.79999999999984</v>
      </c>
      <c r="CU101" s="17">
        <f>CT101*VLOOKUP('Données projet'!$B$13,Paramètres!$A$1:$I$89,3,0)*VLOOKUP('Données projet'!$B$13,Paramètres!$A$1:$I$89,5,0)</f>
        <v>519.38327999999979</v>
      </c>
      <c r="CV101" s="13">
        <f t="shared" si="95"/>
        <v>115.59983933274799</v>
      </c>
      <c r="CW101" s="20">
        <f t="shared" si="67"/>
        <v>1105.9289328378688</v>
      </c>
      <c r="CX101" s="59">
        <f t="shared" si="68"/>
        <v>1399.2622661712021</v>
      </c>
      <c r="CY101" s="59">
        <f ca="1">AVERAGE(OFFSET($CX$3,0,0,'Données projet'!$E$13+1,1))-AVERAGE(OFFSET($H$3,0,0,'Données projet'!$E$13+1,1))</f>
        <v>805.04572055352492</v>
      </c>
      <c r="CZ101" s="59">
        <f t="shared" si="96"/>
        <v>708.66645042414962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93.260424793671874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93.260424793671874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5.8</v>
      </c>
      <c r="DO101" s="12">
        <f>IF('Données projet'!$A$166&gt;35,DO100+DN101-DW100,IF(A101&lt;'Données projet'!$A$166,$DL$205^A101,IF(A101='Données projet'!$A$166,'Données projet'!$B$166,DO100+DN101-DW100)))</f>
        <v>492.39999999999981</v>
      </c>
      <c r="DP101" s="17">
        <f>DO101*VLOOKUP('Données projet'!$B$14,Paramètres!$A$1:$I$89,3,0)*VLOOKUP('Données projet'!$B$14,Paramètres!$A$1:$I$89,5,0)</f>
        <v>330.30191999999988</v>
      </c>
      <c r="DQ101" s="13">
        <f t="shared" si="97"/>
        <v>77.492899558878662</v>
      </c>
      <c r="DR101" s="20">
        <f t="shared" si="70"/>
        <v>710.24264406504665</v>
      </c>
      <c r="DS101" s="59">
        <f t="shared" si="71"/>
        <v>1003.57597739838</v>
      </c>
      <c r="DT101" s="59">
        <f ca="1">AVERAGE(OFFSET($DS$3,0,0,'Données projet'!$E$14+1,1))-AVERAGE(OFFSET($H$3,0,0,'Données projet'!$E$14+1,1))</f>
        <v>482.69499576870095</v>
      </c>
      <c r="DU101" s="59">
        <f t="shared" si="98"/>
        <v>384.28918352579575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32.511975155976593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32.511975155976593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1.7053025658242404E-13</v>
      </c>
      <c r="EK101" s="17">
        <f>EJ101*VLOOKUP('Données projet'!$B$15,Paramètres!$A$1:$I$89,3,0)*VLOOKUP('Données projet'!$B$15,Paramètres!$A$1:$I$89,5,0)</f>
        <v>1.250327841262333E-13</v>
      </c>
      <c r="EL101" s="13">
        <f t="shared" si="99"/>
        <v>1.8301318724634299E-12</v>
      </c>
      <c r="EM101" s="20">
        <f t="shared" si="73"/>
        <v>3.405245110226996E-12</v>
      </c>
      <c r="EN101" s="59">
        <f t="shared" si="74"/>
        <v>293.33333333333672</v>
      </c>
      <c r="EO101" s="59">
        <f ca="1">AVERAGE(OFFSET($EN$3,0,0,'Données projet'!$E$15+1,1))-AVERAGE(OFFSET($H$3,0,0,'Données projet'!$E$15+1,1))</f>
        <v>197.34725966440715</v>
      </c>
      <c r="EP101" s="59">
        <f t="shared" si="100"/>
        <v>240.16326570529532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16.910475927530332</v>
      </c>
      <c r="EW101" s="21">
        <f>EXP(-LN(2)/25)*EW100+(1-EXP(-LN(2)/25))/(LN(2)/25)*Calculateur!ER101*Calculateur!ET101*VLOOKUP('Données projet'!$B$15,Paramètres!$A$1:$I$89,3,0)*0.475*44/12</f>
        <v>8.1387610674604982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25.049236994990828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2.2737367544323206E-13</v>
      </c>
      <c r="FF101" s="17">
        <f>FE101*VLOOKUP('Données projet'!$B$16,Paramètres!$A$1:$I$89,3,0)*VLOOKUP('Données projet'!$B$16,Paramètres!$A$1:$I$89,5,0)</f>
        <v>1.2710188457276673E-13</v>
      </c>
      <c r="FG101" s="13">
        <f t="shared" si="101"/>
        <v>1.856866851063998E-12</v>
      </c>
      <c r="FH101" s="20">
        <f t="shared" si="76"/>
        <v>3.4554122145673649E-12</v>
      </c>
      <c r="FI101" s="59">
        <f t="shared" si="77"/>
        <v>293.33333333333678</v>
      </c>
      <c r="FJ101" s="59">
        <f ca="1">AVERAGE(OFFSET($FI$3,0,0,'Données projet'!$E$16+1,1))-AVERAGE(OFFSET($H$3,0,0,'Données projet'!$E$16+1,1))</f>
        <v>346.42094266871379</v>
      </c>
      <c r="FK101" s="59">
        <f t="shared" si="102"/>
        <v>453.48153556975973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80.692019877888768</v>
      </c>
      <c r="FR101" s="21">
        <f>EXP(-LN(2)/25)*FR100+(1-EXP(-LN(2)/25))/(LN(2)/25)*Calculateur!FM101*Calculateur!FO101*VLOOKUP('Données projet'!$B$16,Paramètres!$A$1:$I$89,3,0)*0.475*44/12</f>
        <v>36.788250333880029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117.4802702117688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-1.1368683772161603E-13</v>
      </c>
      <c r="GA101" s="17">
        <f>FZ101*VLOOKUP('Données projet'!$B$17,Paramètres!$A$1:$I$89,3,0)*VLOOKUP('Données projet'!$B$17,Paramètres!$A$1:$I$89,5,0)</f>
        <v>-5.3205440053716299E-14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198.26255998041</v>
      </c>
      <c r="GF101" s="59">
        <f t="shared" si="104"/>
        <v>238.62101708181166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51.721104388046029</v>
      </c>
      <c r="GM101" s="21">
        <f>EXP(-LN(2)/25)*GM100+(1-EXP(-LN(2)/25))/(LN(2)/25)*Calculateur!GH101*Calculateur!GJ101*VLOOKUP('Données projet'!$B$17,Paramètres!$A$1:$I$89,3,0)*0.475*44/12</f>
        <v>21.711401851966645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73.432506240012671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>
        <f>GU101*VLOOKUP('Données projet'!$B$18,Paramètres!$A$1:$I$89,3,0)*VLOOKUP('Données projet'!$B$18,Paramètres!$A$1:$I$89,5,0)</f>
        <v>0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604.0566904089452</v>
      </c>
      <c r="HA101" s="59">
        <f t="shared" si="106"/>
        <v>369.5187835902687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151.28196404446939</v>
      </c>
      <c r="HH101" s="21">
        <f>EXP(-LN(2)/25)*HH100+(1-EXP(-LN(2)/25))/(LN(2)/25)*Calculateur!HC101*Calculateur!HE101*VLOOKUP('Données projet'!$B$18,Paramètres!$A$1:$I$89,3,0)*0.475*44/12</f>
        <v>61.351018512603808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212.63298255707321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7.1111111111111107</v>
      </c>
      <c r="N102" s="13">
        <f>IF('Données projet'!$A$36&gt;35,N101+M102-V101,IF(A102&lt;'Données projet'!$A$36,$K$205^A102,IF(A102='Données projet'!$A$36,'Données projet'!$B$36,N101+M102-V101)))</f>
        <v>315.3333333333332</v>
      </c>
      <c r="O102" s="13">
        <f>N102*VLOOKUP('Données projet'!$B$9,Paramètres!$A$1:$I$89,3,0)*VLOOKUP('Données projet'!$B$9,Paramètres!$A$1:$I$89,5,0)</f>
        <v>285.31359999999984</v>
      </c>
      <c r="P102" s="13">
        <f t="shared" si="87"/>
        <v>68.088693753445668</v>
      </c>
      <c r="Q102" s="20">
        <f t="shared" si="107"/>
        <v>615.50899495391752</v>
      </c>
      <c r="R102" s="59">
        <f t="shared" si="55"/>
        <v>908.84232828725089</v>
      </c>
      <c r="S102" s="59">
        <f ca="1">AVERAGE(OFFSET($R$3,0,0,'Données projet'!$E$9+1,1))-AVERAGE(OFFSET($H$3,0,0,'Données projet'!$E$9+1,1))</f>
        <v>528.20489749461376</v>
      </c>
      <c r="T102" s="59">
        <f t="shared" si="88"/>
        <v>276.26988364830532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47.349631887059822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47.349631887059822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2.2737367544323206E-13</v>
      </c>
      <c r="AJ102" s="13">
        <f>AI102*VLOOKUP('Données projet'!$B$10,Paramètres!$A$1:$I$89,3,0)*VLOOKUP('Données projet'!$B$10,Paramètres!$A$1:$I$89,5,0)</f>
        <v>2.0572770154103635E-13</v>
      </c>
      <c r="AK102" s="13">
        <f t="shared" si="89"/>
        <v>2.8416956338469711E-12</v>
      </c>
      <c r="AL102" s="20">
        <f t="shared" si="58"/>
        <v>5.3075956424674458E-12</v>
      </c>
      <c r="AM102" s="59">
        <f t="shared" si="59"/>
        <v>293.3333333333386</v>
      </c>
      <c r="AN102" s="59">
        <f ca="1">AVERAGE(OFFSET($AM$3,0,0,'Données projet'!$E$10+1,1))-AVERAGE(OFFSET($H$3,0,0,'Données projet'!$E$10+1,1))</f>
        <v>436.23918637269577</v>
      </c>
      <c r="AO102" s="59">
        <f t="shared" si="90"/>
        <v>611.43967996341894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25.061059075367059</v>
      </c>
      <c r="AV102" s="21">
        <f>EXP(-LN(2)/25)*AV101+(1-EXP(-LN(2)/25))/(LN(2)/25)*Calculateur!AQ102*Calculateur!AS102*VLOOKUP('Données projet'!$B$10,Paramètres!$A$1:$I$89,3,0)*0.475*44/12</f>
        <v>9.685623787004495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34.746682862371557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4.4337866711430253E-14</v>
      </c>
      <c r="BF102" s="13">
        <f t="shared" si="91"/>
        <v>7.3222115536967035E-13</v>
      </c>
      <c r="BG102" s="20">
        <f t="shared" si="61"/>
        <v>1.3525069634579169E-12</v>
      </c>
      <c r="BH102" s="59">
        <f t="shared" si="62"/>
        <v>293.33333333333468</v>
      </c>
      <c r="BI102" s="59">
        <f ca="1">AVERAGE(OFFSET($BH$3,0,0,'Données projet'!$E$11+1,1))-AVERAGE(OFFSET($H$3,0,0,'Données projet'!$E$11+1,1))</f>
        <v>288.82868507674738</v>
      </c>
      <c r="BJ102" s="59">
        <f t="shared" si="92"/>
        <v>283.48738729114024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48.825889468766896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48.825889468766896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2.1316282072803006E-14</v>
      </c>
      <c r="BZ102" s="13">
        <f>BY102*VLOOKUP('Données projet'!$B$12,Paramètres!$A$1:$I$89,3,0)*VLOOKUP('Données projet'!$B$12,Paramètres!$A$1:$I$89,5,0)</f>
        <v>1.8621904018800709E-14</v>
      </c>
      <c r="CA102" s="13">
        <f t="shared" si="93"/>
        <v>3.40208645124969E-13</v>
      </c>
      <c r="CB102" s="20">
        <f t="shared" si="64"/>
        <v>6.2496320642539887E-13</v>
      </c>
      <c r="CC102" s="59">
        <f t="shared" si="65"/>
        <v>293.33333333333394</v>
      </c>
      <c r="CD102" s="59">
        <f ca="1">AVERAGE(OFFSET($CC$3,0,0,'Données projet'!$E$12+1,1))-AVERAGE(OFFSET($H$3,0,0,'Données projet'!$E$12+1,1))</f>
        <v>93.329407403816901</v>
      </c>
      <c r="CE102" s="59">
        <f t="shared" si="94"/>
        <v>90.925148357295313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11.937538933788003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11.937538933788003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10.6</v>
      </c>
      <c r="CT102" s="12">
        <f>IF('Données projet'!$A$140&gt;35,CT101+CS102-DB101,IF(A102&lt;'Données projet'!$A$140,$CQ$205^A102,IF(A102='Données projet'!$A$140,'Données projet'!$B$140,CT101+CS102-DB101)))</f>
        <v>556.39999999999986</v>
      </c>
      <c r="CU102" s="17">
        <f>CT102*VLOOKUP('Données projet'!$B$13,Paramètres!$A$1:$I$89,3,0)*VLOOKUP('Données projet'!$B$13,Paramètres!$A$1:$I$89,5,0)</f>
        <v>529.47023999999988</v>
      </c>
      <c r="CV102" s="13">
        <f t="shared" si="95"/>
        <v>117.58135552137907</v>
      </c>
      <c r="CW102" s="20">
        <f t="shared" si="67"/>
        <v>1126.9481955330682</v>
      </c>
      <c r="CX102" s="59">
        <f t="shared" si="68"/>
        <v>1420.2815288664015</v>
      </c>
      <c r="CY102" s="59">
        <f ca="1">AVERAGE(OFFSET($CX$3,0,0,'Données projet'!$E$13+1,1))-AVERAGE(OFFSET($H$3,0,0,'Données projet'!$E$13+1,1))</f>
        <v>805.04572055352492</v>
      </c>
      <c r="CZ102" s="59">
        <f t="shared" si="96"/>
        <v>708.66645042414962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91.431644746710333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91.431644746710333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5.8</v>
      </c>
      <c r="DO102" s="12">
        <f>IF('Données projet'!$A$166&gt;35,DO101+DN102-DW101,IF(A102&lt;'Données projet'!$A$166,$DL$205^A102,IF(A102='Données projet'!$A$166,'Données projet'!$B$166,DO101+DN102-DW101)))</f>
        <v>498.19999999999982</v>
      </c>
      <c r="DP102" s="17">
        <f>DO102*VLOOKUP('Données projet'!$B$14,Paramètres!$A$1:$I$89,3,0)*VLOOKUP('Données projet'!$B$14,Paramètres!$A$1:$I$89,5,0)</f>
        <v>334.1925599999999</v>
      </c>
      <c r="DQ102" s="13">
        <f t="shared" si="97"/>
        <v>78.298892126769857</v>
      </c>
      <c r="DR102" s="20">
        <f t="shared" si="70"/>
        <v>718.42261245412408</v>
      </c>
      <c r="DS102" s="59">
        <f t="shared" si="71"/>
        <v>1011.7559457874574</v>
      </c>
      <c r="DT102" s="59">
        <f ca="1">AVERAGE(OFFSET($DS$3,0,0,'Données projet'!$E$14+1,1))-AVERAGE(OFFSET($H$3,0,0,'Données projet'!$E$14+1,1))</f>
        <v>482.69499576870095</v>
      </c>
      <c r="DU102" s="59">
        <f t="shared" si="98"/>
        <v>384.28918352579575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31.874435153514654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31.874435153514654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1.7053025658242404E-13</v>
      </c>
      <c r="EK102" s="17">
        <f>EJ102*VLOOKUP('Données projet'!$B$15,Paramètres!$A$1:$I$89,3,0)*VLOOKUP('Données projet'!$B$15,Paramètres!$A$1:$I$89,5,0)</f>
        <v>1.250327841262333E-13</v>
      </c>
      <c r="EL102" s="13">
        <f t="shared" si="99"/>
        <v>1.8301318724634299E-12</v>
      </c>
      <c r="EM102" s="20">
        <f t="shared" si="73"/>
        <v>3.405245110226996E-12</v>
      </c>
      <c r="EN102" s="59">
        <f t="shared" si="74"/>
        <v>293.33333333333672</v>
      </c>
      <c r="EO102" s="59">
        <f ca="1">AVERAGE(OFFSET($EN$3,0,0,'Données projet'!$E$15+1,1))-AVERAGE(OFFSET($H$3,0,0,'Données projet'!$E$15+1,1))</f>
        <v>197.34725966440715</v>
      </c>
      <c r="EP102" s="59">
        <f t="shared" si="100"/>
        <v>240.16326570529532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16.578871808963317</v>
      </c>
      <c r="EW102" s="21">
        <f>EXP(-LN(2)/25)*EW101+(1-EXP(-LN(2)/25))/(LN(2)/25)*Calculateur!ER102*Calculateur!ET102*VLOOKUP('Données projet'!$B$15,Paramètres!$A$1:$I$89,3,0)*0.475*44/12</f>
        <v>7.9162062180719479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24.495078027035266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2.2737367544323206E-13</v>
      </c>
      <c r="FF102" s="17">
        <f>FE102*VLOOKUP('Données projet'!$B$16,Paramètres!$A$1:$I$89,3,0)*VLOOKUP('Données projet'!$B$16,Paramètres!$A$1:$I$89,5,0)</f>
        <v>1.2710188457276673E-13</v>
      </c>
      <c r="FG102" s="13">
        <f t="shared" si="101"/>
        <v>1.856866851063998E-12</v>
      </c>
      <c r="FH102" s="20">
        <f t="shared" si="76"/>
        <v>3.4554122145673649E-12</v>
      </c>
      <c r="FI102" s="59">
        <f t="shared" si="77"/>
        <v>293.33333333333678</v>
      </c>
      <c r="FJ102" s="59">
        <f ca="1">AVERAGE(OFFSET($FI$3,0,0,'Données projet'!$E$16+1,1))-AVERAGE(OFFSET($H$3,0,0,'Données projet'!$E$16+1,1))</f>
        <v>346.42094266871379</v>
      </c>
      <c r="FK102" s="59">
        <f t="shared" si="102"/>
        <v>453.48153556975973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79.109698585355687</v>
      </c>
      <c r="FR102" s="21">
        <f>EXP(-LN(2)/25)*FR101+(1-EXP(-LN(2)/25))/(LN(2)/25)*Calculateur!FM102*Calculateur!FO102*VLOOKUP('Données projet'!$B$16,Paramètres!$A$1:$I$89,3,0)*0.475*44/12</f>
        <v>35.782273693890076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114.89197227924576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-1.1368683772161603E-13</v>
      </c>
      <c r="GA102" s="17">
        <f>FZ102*VLOOKUP('Données projet'!$B$17,Paramètres!$A$1:$I$89,3,0)*VLOOKUP('Données projet'!$B$17,Paramètres!$A$1:$I$89,5,0)</f>
        <v>-5.3205440053716299E-14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198.26255998041</v>
      </c>
      <c r="GF102" s="59">
        <f t="shared" si="104"/>
        <v>238.62101708181166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50.706885077755139</v>
      </c>
      <c r="GM102" s="21">
        <f>EXP(-LN(2)/25)*GM101+(1-EXP(-LN(2)/25))/(LN(2)/25)*Calculateur!GH102*Calculateur!GJ102*VLOOKUP('Données projet'!$B$17,Paramètres!$A$1:$I$89,3,0)*0.475*44/12</f>
        <v>21.117702426571615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71.824587504326757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>
        <f>GU102*VLOOKUP('Données projet'!$B$18,Paramètres!$A$1:$I$89,3,0)*VLOOKUP('Données projet'!$B$18,Paramètres!$A$1:$I$89,5,0)</f>
        <v>0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604.0566904089452</v>
      </c>
      <c r="HA102" s="59">
        <f t="shared" si="106"/>
        <v>369.5187835902687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148.31541700244424</v>
      </c>
      <c r="HH102" s="21">
        <f>EXP(-LN(2)/25)*HH101+(1-EXP(-LN(2)/25))/(LN(2)/25)*Calculateur!HC102*Calculateur!HE102*VLOOKUP('Données projet'!$B$18,Paramètres!$A$1:$I$89,3,0)*0.475*44/12</f>
        <v>59.673371685066812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207.98878868751103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7.1111111111111107</v>
      </c>
      <c r="N103" s="13">
        <f>IF('Données projet'!$A$36&gt;35,N102+M103-V102,IF(A103&lt;'Données projet'!$A$36,$K$205^A103,IF(A103='Données projet'!$A$36,'Données projet'!$B$36,N102+M103-V102)))</f>
        <v>322.44444444444429</v>
      </c>
      <c r="O103" s="13">
        <f>N103*VLOOKUP('Données projet'!$B$9,Paramètres!$A$1:$I$89,3,0)*VLOOKUP('Données projet'!$B$9,Paramètres!$A$1:$I$89,5,0)</f>
        <v>291.74773333333314</v>
      </c>
      <c r="P103" s="13">
        <f t="shared" si="87"/>
        <v>69.443673025334803</v>
      </c>
      <c r="Q103" s="20">
        <f t="shared" si="107"/>
        <v>629.0750327413466</v>
      </c>
      <c r="R103" s="59">
        <f t="shared" si="55"/>
        <v>922.40836607467986</v>
      </c>
      <c r="S103" s="59">
        <f ca="1">AVERAGE(OFFSET($R$3,0,0,'Données projet'!$E$9+1,1))-AVERAGE(OFFSET($H$3,0,0,'Données projet'!$E$9+1,1))</f>
        <v>528.20489749461376</v>
      </c>
      <c r="T103" s="59">
        <f t="shared" si="88"/>
        <v>276.26988364830532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46.421134486178325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46.421134486178325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2.2737367544323206E-13</v>
      </c>
      <c r="AJ103" s="13">
        <f>AI103*VLOOKUP('Données projet'!$B$10,Paramètres!$A$1:$I$89,3,0)*VLOOKUP('Données projet'!$B$10,Paramètres!$A$1:$I$89,5,0)</f>
        <v>2.0572770154103635E-13</v>
      </c>
      <c r="AK103" s="13">
        <f t="shared" si="89"/>
        <v>2.8416956338469711E-12</v>
      </c>
      <c r="AL103" s="20">
        <f t="shared" si="58"/>
        <v>5.3075956424674458E-12</v>
      </c>
      <c r="AM103" s="59">
        <f t="shared" si="59"/>
        <v>293.3333333333386</v>
      </c>
      <c r="AN103" s="59">
        <f ca="1">AVERAGE(OFFSET($AM$3,0,0,'Données projet'!$E$10+1,1))-AVERAGE(OFFSET($H$3,0,0,'Données projet'!$E$10+1,1))</f>
        <v>436.23918637269577</v>
      </c>
      <c r="AO103" s="59">
        <f t="shared" si="90"/>
        <v>611.43967996341894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24.569626992635804</v>
      </c>
      <c r="AV103" s="21">
        <f>EXP(-LN(2)/25)*AV102+(1-EXP(-LN(2)/25))/(LN(2)/25)*Calculateur!AQ103*Calculateur!AS103*VLOOKUP('Données projet'!$B$10,Paramètres!$A$1:$I$89,3,0)*0.475*44/12</f>
        <v>9.4207698952040388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33.990396887839843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4.4337866711430253E-14</v>
      </c>
      <c r="BF103" s="13">
        <f t="shared" si="91"/>
        <v>7.3222115536967035E-13</v>
      </c>
      <c r="BG103" s="20">
        <f t="shared" si="61"/>
        <v>1.3525069634579169E-12</v>
      </c>
      <c r="BH103" s="59">
        <f t="shared" si="62"/>
        <v>293.33333333333468</v>
      </c>
      <c r="BI103" s="59">
        <f ca="1">AVERAGE(OFFSET($BH$3,0,0,'Données projet'!$E$11+1,1))-AVERAGE(OFFSET($H$3,0,0,'Données projet'!$E$11+1,1))</f>
        <v>288.82868507674738</v>
      </c>
      <c r="BJ103" s="59">
        <f t="shared" si="92"/>
        <v>283.48738729114024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47.868443557136338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47.868443557136338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2.1316282072803006E-14</v>
      </c>
      <c r="BZ103" s="13">
        <f>BY103*VLOOKUP('Données projet'!$B$12,Paramètres!$A$1:$I$89,3,0)*VLOOKUP('Données projet'!$B$12,Paramètres!$A$1:$I$89,5,0)</f>
        <v>1.8621904018800709E-14</v>
      </c>
      <c r="CA103" s="13">
        <f t="shared" si="93"/>
        <v>3.40208645124969E-13</v>
      </c>
      <c r="CB103" s="20">
        <f t="shared" si="64"/>
        <v>6.2496320642539887E-13</v>
      </c>
      <c r="CC103" s="59">
        <f t="shared" si="65"/>
        <v>293.33333333333394</v>
      </c>
      <c r="CD103" s="59">
        <f ca="1">AVERAGE(OFFSET($CC$3,0,0,'Données projet'!$E$12+1,1))-AVERAGE(OFFSET($H$3,0,0,'Données projet'!$E$12+1,1))</f>
        <v>93.329407403816901</v>
      </c>
      <c r="CE103" s="59">
        <f t="shared" si="94"/>
        <v>90.925148357295313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11.703451076476213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11.703451076476213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567</v>
      </c>
      <c r="CR103" s="12">
        <f>VLOOKUP(A103,'Données projet'!$A$139:$I$159,9,0)</f>
        <v>10.6</v>
      </c>
      <c r="CS103" s="12">
        <f t="array" ref="CS103">INDEX(CR:CR,MIN(IF(ISNUMBER(CR103:CR299),ROW(CR103:CR299),"")))</f>
        <v>10.6</v>
      </c>
      <c r="CT103" s="12">
        <f>IF('Données projet'!$A$140&gt;35,CT102+CS103-DB102,IF(A103&lt;'Données projet'!$A$140,$CQ$205^A103,IF(A103='Données projet'!$A$140,'Données projet'!$B$140,CT102+CS103-DB102)))</f>
        <v>566.99999999999989</v>
      </c>
      <c r="CU103" s="17">
        <f>CT103*VLOOKUP('Données projet'!$B$13,Paramètres!$A$1:$I$89,3,0)*VLOOKUP('Données projet'!$B$13,Paramètres!$A$1:$I$89,5,0)</f>
        <v>539.55719999999997</v>
      </c>
      <c r="CV103" s="13">
        <f t="shared" si="95"/>
        <v>119.55848220370511</v>
      </c>
      <c r="CW103" s="20">
        <f t="shared" si="67"/>
        <v>1147.9598131714531</v>
      </c>
      <c r="CX103" s="59">
        <f t="shared" si="68"/>
        <v>1441.2931465047864</v>
      </c>
      <c r="CY103" s="59">
        <f ca="1">AVERAGE(OFFSET($CX$3,0,0,'Données projet'!$E$13+1,1))-AVERAGE(OFFSET($H$3,0,0,'Données projet'!$E$13+1,1))</f>
        <v>805.04572055352492</v>
      </c>
      <c r="CZ103" s="59">
        <f t="shared" si="96"/>
        <v>708.66645042414962</v>
      </c>
      <c r="DA103" s="15">
        <f>IF(ISNA(VLOOKUP(A103,'Données projet'!$A$139:$I$159,3,0)),0,VLOOKUP(A103,'Données projet'!$A$139:$I$159,3,0))</f>
        <v>19</v>
      </c>
      <c r="DB103" s="15">
        <f>IF(ISNA(VLOOKUP(A103,'Données projet'!$A$139:$I$159,4,0)),0,VLOOKUP(A103,'Données projet'!$A$139:$I$159,4,0))</f>
        <v>50</v>
      </c>
      <c r="DC103" s="16">
        <f>IF(ISNA(VLOOKUP(A103,'Données projet'!$A$139:$I$159,5,0)),0%,VLOOKUP(A103,'Données projet'!$A$139:$I$159,5,0)*VLOOKUP('Données projet'!$B$13,Paramètres!$A$1:$I$89,7,0))</f>
        <v>0.25800000000000001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103.20908237083388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103.20908237083388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504</v>
      </c>
      <c r="DM103" s="12">
        <f>VLOOKUP(A103,'Données projet'!$A$165:$I$185,9,0)</f>
        <v>5.8</v>
      </c>
      <c r="DN103" s="12">
        <f t="array" ref="DN103">INDEX(DM:DM,MIN(IF(ISNUMBER(DM103:DM299),ROW(DM103:DM299),"")))</f>
        <v>5.8</v>
      </c>
      <c r="DO103" s="12">
        <f>IF('Données projet'!$A$166&gt;35,DO102+DN103-DW102,IF(A103&lt;'Données projet'!$A$166,$DL$205^A103,IF(A103='Données projet'!$A$166,'Données projet'!$B$166,DO102+DN103-DW102)))</f>
        <v>503.99999999999983</v>
      </c>
      <c r="DP103" s="17">
        <f>DO103*VLOOKUP('Données projet'!$B$14,Paramètres!$A$1:$I$89,3,0)*VLOOKUP('Données projet'!$B$14,Paramètres!$A$1:$I$89,5,0)</f>
        <v>338.08319999999986</v>
      </c>
      <c r="DQ103" s="13">
        <f t="shared" si="97"/>
        <v>79.103793192913159</v>
      </c>
      <c r="DR103" s="20">
        <f t="shared" si="70"/>
        <v>726.60067981099019</v>
      </c>
      <c r="DS103" s="59">
        <f t="shared" si="71"/>
        <v>1019.9340131443234</v>
      </c>
      <c r="DT103" s="59">
        <f ca="1">AVERAGE(OFFSET($DS$3,0,0,'Données projet'!$E$14+1,1))-AVERAGE(OFFSET($H$3,0,0,'Données projet'!$E$14+1,1))</f>
        <v>482.69499576870095</v>
      </c>
      <c r="DU103" s="59">
        <f t="shared" si="98"/>
        <v>384.28918352579575</v>
      </c>
      <c r="DV103" s="15">
        <f>IF(ISNA(VLOOKUP(A103,'Données projet'!$A$165:$I$185,3,0)),0,VLOOKUP(A103,'Données projet'!$A$165:$I$185,3,0))</f>
        <v>19</v>
      </c>
      <c r="DW103" s="15">
        <f>IF(ISNA(VLOOKUP(A103,'Données projet'!$A$165:$I$185,4,0)),0,VLOOKUP(A103,'Données projet'!$A$165:$I$185,4,0))</f>
        <v>18</v>
      </c>
      <c r="DX103" s="16">
        <f>IF(ISNA(VLOOKUP(A103,'Données projet'!$A$165:$I$185,5,0)),0%,VLOOKUP(A103,'Données projet'!$A$165:$I$185,5,0)*VLOOKUP('Données projet'!$B$14,Paramètres!$A$1:$I$89,7,0))</f>
        <v>0.318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35.494026434741173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35.494026434741173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1.7053025658242404E-13</v>
      </c>
      <c r="EK103" s="17">
        <f>EJ103*VLOOKUP('Données projet'!$B$15,Paramètres!$A$1:$I$89,3,0)*VLOOKUP('Données projet'!$B$15,Paramètres!$A$1:$I$89,5,0)</f>
        <v>1.250327841262333E-13</v>
      </c>
      <c r="EL103" s="13">
        <f t="shared" si="99"/>
        <v>1.8301318724634299E-12</v>
      </c>
      <c r="EM103" s="20">
        <f t="shared" si="73"/>
        <v>3.405245110226996E-12</v>
      </c>
      <c r="EN103" s="59">
        <f t="shared" si="74"/>
        <v>293.33333333333672</v>
      </c>
      <c r="EO103" s="59">
        <f ca="1">AVERAGE(OFFSET($EN$3,0,0,'Données projet'!$E$15+1,1))-AVERAGE(OFFSET($H$3,0,0,'Données projet'!$E$15+1,1))</f>
        <v>197.34725966440715</v>
      </c>
      <c r="EP103" s="59">
        <f t="shared" si="100"/>
        <v>240.16326570529532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16.25377024490286</v>
      </c>
      <c r="EW103" s="21">
        <f>EXP(-LN(2)/25)*EW102+(1-EXP(-LN(2)/25))/(LN(2)/25)*Calculateur!ER103*Calculateur!ET103*VLOOKUP('Données projet'!$B$15,Paramètres!$A$1:$I$89,3,0)*0.475*44/12</f>
        <v>7.6997371427435786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23.953507387646439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2.2737367544323206E-13</v>
      </c>
      <c r="FF103" s="17">
        <f>FE103*VLOOKUP('Données projet'!$B$16,Paramètres!$A$1:$I$89,3,0)*VLOOKUP('Données projet'!$B$16,Paramètres!$A$1:$I$89,5,0)</f>
        <v>1.2710188457276673E-13</v>
      </c>
      <c r="FG103" s="13">
        <f t="shared" si="101"/>
        <v>1.856866851063998E-12</v>
      </c>
      <c r="FH103" s="20">
        <f t="shared" si="76"/>
        <v>3.4554122145673649E-12</v>
      </c>
      <c r="FI103" s="59">
        <f t="shared" si="77"/>
        <v>293.33333333333678</v>
      </c>
      <c r="FJ103" s="59">
        <f ca="1">AVERAGE(OFFSET($FI$3,0,0,'Données projet'!$E$16+1,1))-AVERAGE(OFFSET($H$3,0,0,'Données projet'!$E$16+1,1))</f>
        <v>346.42094266871379</v>
      </c>
      <c r="FK103" s="59">
        <f t="shared" si="102"/>
        <v>453.48153556975973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77.558405648248495</v>
      </c>
      <c r="FR103" s="21">
        <f>EXP(-LN(2)/25)*FR102+(1-EXP(-LN(2)/25))/(LN(2)/25)*Calculateur!FM103*Calculateur!FO103*VLOOKUP('Données projet'!$B$16,Paramètres!$A$1:$I$89,3,0)*0.475*44/12</f>
        <v>34.803805538022658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112.36221118627115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-1.1368683772161603E-13</v>
      </c>
      <c r="GA103" s="17">
        <f>FZ103*VLOOKUP('Données projet'!$B$17,Paramètres!$A$1:$I$89,3,0)*VLOOKUP('Données projet'!$B$17,Paramètres!$A$1:$I$89,5,0)</f>
        <v>-5.3205440053716299E-14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198.26255998041</v>
      </c>
      <c r="GF103" s="59">
        <f t="shared" si="104"/>
        <v>238.62101708181166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49.712553989526356</v>
      </c>
      <c r="GM103" s="21">
        <f>EXP(-LN(2)/25)*GM102+(1-EXP(-LN(2)/25))/(LN(2)/25)*Calculateur!GH103*Calculateur!GJ103*VLOOKUP('Données projet'!$B$17,Paramètres!$A$1:$I$89,3,0)*0.475*44/12</f>
        <v>20.540237743185308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70.252791732711671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>
        <f>GU103*VLOOKUP('Données projet'!$B$18,Paramètres!$A$1:$I$89,3,0)*VLOOKUP('Données projet'!$B$18,Paramètres!$A$1:$I$89,5,0)</f>
        <v>0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604.0566904089452</v>
      </c>
      <c r="HA103" s="59">
        <f t="shared" si="106"/>
        <v>369.5187835902687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145.40704213849816</v>
      </c>
      <c r="HH103" s="21">
        <f>EXP(-LN(2)/25)*HH102+(1-EXP(-LN(2)/25))/(LN(2)/25)*Calculateur!HC103*Calculateur!HE103*VLOOKUP('Données projet'!$B$18,Paramètres!$A$1:$I$89,3,0)*0.475*44/12</f>
        <v>58.041600198252425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203.44864233675059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7.1111111111111107</v>
      </c>
      <c r="N104" s="13">
        <f>IF('Données projet'!$A$36&gt;35,N103+M104-V103,IF(A104&lt;'Données projet'!$A$36,$K$205^A104,IF(A104='Données projet'!$A$36,'Données projet'!$B$36,N103+M104-V103)))</f>
        <v>329.55555555555537</v>
      </c>
      <c r="O104" s="13">
        <f>N104*VLOOKUP('Données projet'!$B$9,Paramètres!$A$1:$I$89,3,0)*VLOOKUP('Données projet'!$B$9,Paramètres!$A$1:$I$89,5,0)</f>
        <v>298.18186666666651</v>
      </c>
      <c r="P104" s="13">
        <f t="shared" si="87"/>
        <v>70.79517815095528</v>
      </c>
      <c r="Q104" s="20">
        <f t="shared" si="107"/>
        <v>642.63501972402457</v>
      </c>
      <c r="R104" s="59">
        <f t="shared" si="55"/>
        <v>935.96835305735794</v>
      </c>
      <c r="S104" s="59">
        <f ca="1">AVERAGE(OFFSET($R$3,0,0,'Données projet'!$E$9+1,1))-AVERAGE(OFFSET($H$3,0,0,'Données projet'!$E$9+1,1))</f>
        <v>528.20489749461376</v>
      </c>
      <c r="T104" s="59">
        <f t="shared" si="88"/>
        <v>276.26988364830532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45.510844353000621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45.510844353000621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2.2737367544323206E-13</v>
      </c>
      <c r="AJ104" s="13">
        <f>AI104*VLOOKUP('Données projet'!$B$10,Paramètres!$A$1:$I$89,3,0)*VLOOKUP('Données projet'!$B$10,Paramètres!$A$1:$I$89,5,0)</f>
        <v>2.0572770154103635E-13</v>
      </c>
      <c r="AK104" s="13">
        <f t="shared" si="89"/>
        <v>2.8416956338469711E-12</v>
      </c>
      <c r="AL104" s="20">
        <f t="shared" si="58"/>
        <v>5.3075956424674458E-12</v>
      </c>
      <c r="AM104" s="59">
        <f t="shared" si="59"/>
        <v>293.3333333333386</v>
      </c>
      <c r="AN104" s="59">
        <f ca="1">AVERAGE(OFFSET($AM$3,0,0,'Données projet'!$E$10+1,1))-AVERAGE(OFFSET($H$3,0,0,'Données projet'!$E$10+1,1))</f>
        <v>436.23918637269577</v>
      </c>
      <c r="AO104" s="59">
        <f t="shared" si="90"/>
        <v>611.43967996341894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24.087831593302937</v>
      </c>
      <c r="AV104" s="21">
        <f>EXP(-LN(2)/25)*AV103+(1-EXP(-LN(2)/25))/(LN(2)/25)*Calculateur!AQ104*Calculateur!AS104*VLOOKUP('Données projet'!$B$10,Paramètres!$A$1:$I$89,3,0)*0.475*44/12</f>
        <v>9.1631584470029264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33.250990040305865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4.4337866711430253E-14</v>
      </c>
      <c r="BF104" s="13">
        <f t="shared" si="91"/>
        <v>7.3222115536967035E-13</v>
      </c>
      <c r="BG104" s="20">
        <f t="shared" si="61"/>
        <v>1.3525069634579169E-12</v>
      </c>
      <c r="BH104" s="59">
        <f t="shared" si="62"/>
        <v>293.33333333333468</v>
      </c>
      <c r="BI104" s="59">
        <f ca="1">AVERAGE(OFFSET($BH$3,0,0,'Données projet'!$E$11+1,1))-AVERAGE(OFFSET($H$3,0,0,'Données projet'!$E$11+1,1))</f>
        <v>288.82868507674738</v>
      </c>
      <c r="BJ104" s="59">
        <f t="shared" si="92"/>
        <v>283.48738729114024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46.92977257584851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46.92977257584851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2.1316282072803006E-14</v>
      </c>
      <c r="BZ104" s="13">
        <f>BY104*VLOOKUP('Données projet'!$B$12,Paramètres!$A$1:$I$89,3,0)*VLOOKUP('Données projet'!$B$12,Paramètres!$A$1:$I$89,5,0)</f>
        <v>1.8621904018800709E-14</v>
      </c>
      <c r="CA104" s="13">
        <f t="shared" si="93"/>
        <v>3.40208645124969E-13</v>
      </c>
      <c r="CB104" s="20">
        <f t="shared" si="64"/>
        <v>6.2496320642539887E-13</v>
      </c>
      <c r="CC104" s="59">
        <f t="shared" si="65"/>
        <v>293.33333333333394</v>
      </c>
      <c r="CD104" s="59">
        <f ca="1">AVERAGE(OFFSET($CC$3,0,0,'Données projet'!$E$12+1,1))-AVERAGE(OFFSET($H$3,0,0,'Données projet'!$E$12+1,1))</f>
        <v>93.329407403816901</v>
      </c>
      <c r="CE104" s="59">
        <f t="shared" si="94"/>
        <v>90.925148357295313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11.473953539266812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11.473953539266812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10.4</v>
      </c>
      <c r="CT104" s="12">
        <f>IF('Données projet'!$A$140&gt;35,CT103+CS104-DB103,IF(A104&lt;'Données projet'!$A$140,$CQ$205^A104,IF(A104='Données projet'!$A$140,'Données projet'!$B$140,CT103+CS104-DB103)))</f>
        <v>527.39999999999986</v>
      </c>
      <c r="CU104" s="17">
        <f>CT104*VLOOKUP('Données projet'!$B$13,Paramètres!$A$1:$I$89,3,0)*VLOOKUP('Données projet'!$B$13,Paramètres!$A$1:$I$89,5,0)</f>
        <v>501.87383999999986</v>
      </c>
      <c r="CV104" s="13">
        <f t="shared" si="95"/>
        <v>112.1495194584497</v>
      </c>
      <c r="CW104" s="20">
        <f t="shared" si="67"/>
        <v>1069.4240177234662</v>
      </c>
      <c r="CX104" s="59">
        <f t="shared" si="68"/>
        <v>1362.7573510567995</v>
      </c>
      <c r="CY104" s="59">
        <f ca="1">AVERAGE(OFFSET($CX$3,0,0,'Données projet'!$E$13+1,1))-AVERAGE(OFFSET($H$3,0,0,'Données projet'!$E$13+1,1))</f>
        <v>805.04572055352492</v>
      </c>
      <c r="CZ104" s="59">
        <f t="shared" si="96"/>
        <v>708.66645042414962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101.18521521686615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101.18521521686615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5.6</v>
      </c>
      <c r="DO104" s="12">
        <f>IF('Données projet'!$A$166&gt;35,DO103+DN104-DW103,IF(A104&lt;'Données projet'!$A$166,$DL$205^A104,IF(A104='Données projet'!$A$166,'Données projet'!$B$166,DO103+DN104-DW103)))</f>
        <v>491.59999999999985</v>
      </c>
      <c r="DP104" s="17">
        <f>DO104*VLOOKUP('Données projet'!$B$14,Paramètres!$A$1:$I$89,3,0)*VLOOKUP('Données projet'!$B$14,Paramètres!$A$1:$I$89,5,0)</f>
        <v>329.7652799999999</v>
      </c>
      <c r="DQ104" s="13">
        <f t="shared" si="97"/>
        <v>77.381641712311264</v>
      </c>
      <c r="DR104" s="20">
        <f t="shared" si="70"/>
        <v>709.11422198227513</v>
      </c>
      <c r="DS104" s="59">
        <f t="shared" si="71"/>
        <v>1002.4475553156085</v>
      </c>
      <c r="DT104" s="59">
        <f ca="1">AVERAGE(OFFSET($DS$3,0,0,'Données projet'!$E$14+1,1))-AVERAGE(OFFSET($H$3,0,0,'Données projet'!$E$14+1,1))</f>
        <v>482.69499576870095</v>
      </c>
      <c r="DU104" s="59">
        <f t="shared" si="98"/>
        <v>384.28918352579575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34.798010225574338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34.798010225574338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1.7053025658242404E-13</v>
      </c>
      <c r="EK104" s="17">
        <f>EJ104*VLOOKUP('Données projet'!$B$15,Paramètres!$A$1:$I$89,3,0)*VLOOKUP('Données projet'!$B$15,Paramètres!$A$1:$I$89,5,0)</f>
        <v>1.250327841262333E-13</v>
      </c>
      <c r="EL104" s="13">
        <f t="shared" si="99"/>
        <v>1.8301318724634299E-12</v>
      </c>
      <c r="EM104" s="20">
        <f t="shared" si="73"/>
        <v>3.405245110226996E-12</v>
      </c>
      <c r="EN104" s="59">
        <f t="shared" si="74"/>
        <v>293.33333333333672</v>
      </c>
      <c r="EO104" s="59">
        <f ca="1">AVERAGE(OFFSET($EN$3,0,0,'Données projet'!$E$15+1,1))-AVERAGE(OFFSET($H$3,0,0,'Données projet'!$E$15+1,1))</f>
        <v>197.34725966440715</v>
      </c>
      <c r="EP104" s="59">
        <f t="shared" si="100"/>
        <v>240.16326570529532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15.935043724221256</v>
      </c>
      <c r="EW104" s="21">
        <f>EXP(-LN(2)/25)*EW103+(1-EXP(-LN(2)/25))/(LN(2)/25)*Calculateur!ER104*Calculateur!ET104*VLOOKUP('Données projet'!$B$15,Paramètres!$A$1:$I$89,3,0)*0.475*44/12</f>
        <v>7.489187425663677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23.424231149884932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2.2737367544323206E-13</v>
      </c>
      <c r="FF104" s="17">
        <f>FE104*VLOOKUP('Données projet'!$B$16,Paramètres!$A$1:$I$89,3,0)*VLOOKUP('Données projet'!$B$16,Paramètres!$A$1:$I$89,5,0)</f>
        <v>1.2710188457276673E-13</v>
      </c>
      <c r="FG104" s="13">
        <f t="shared" si="101"/>
        <v>1.856866851063998E-12</v>
      </c>
      <c r="FH104" s="20">
        <f t="shared" si="76"/>
        <v>3.4554122145673649E-12</v>
      </c>
      <c r="FI104" s="59">
        <f t="shared" si="77"/>
        <v>293.33333333333678</v>
      </c>
      <c r="FJ104" s="59">
        <f ca="1">AVERAGE(OFFSET($FI$3,0,0,'Données projet'!$E$16+1,1))-AVERAGE(OFFSET($H$3,0,0,'Données projet'!$E$16+1,1))</f>
        <v>346.42094266871379</v>
      </c>
      <c r="FK104" s="59">
        <f t="shared" si="102"/>
        <v>453.48153556975973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76.037532619442715</v>
      </c>
      <c r="FR104" s="21">
        <f>EXP(-LN(2)/25)*FR103+(1-EXP(-LN(2)/25))/(LN(2)/25)*Calculateur!FM104*Calculateur!FO104*VLOOKUP('Données projet'!$B$16,Paramètres!$A$1:$I$89,3,0)*0.475*44/12</f>
        <v>33.852093645332843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109.88962626477556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-1.1368683772161603E-13</v>
      </c>
      <c r="GA104" s="17">
        <f>FZ104*VLOOKUP('Données projet'!$B$17,Paramètres!$A$1:$I$89,3,0)*VLOOKUP('Données projet'!$B$17,Paramètres!$A$1:$I$89,5,0)</f>
        <v>-5.3205440053716299E-14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198.26255998041</v>
      </c>
      <c r="GF104" s="59">
        <f t="shared" si="104"/>
        <v>238.62101708181166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48.737721127455664</v>
      </c>
      <c r="GM104" s="21">
        <f>EXP(-LN(2)/25)*GM103+(1-EXP(-LN(2)/25))/(LN(2)/25)*Calculateur!GH104*Calculateur!GJ104*VLOOKUP('Données projet'!$B$17,Paramètres!$A$1:$I$89,3,0)*0.475*44/12</f>
        <v>19.978563861933747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68.716284989389408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>
        <f>GU104*VLOOKUP('Données projet'!$B$18,Paramètres!$A$1:$I$89,3,0)*VLOOKUP('Données projet'!$B$18,Paramètres!$A$1:$I$89,5,0)</f>
        <v>0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604.0566904089452</v>
      </c>
      <c r="HA104" s="59">
        <f t="shared" si="106"/>
        <v>369.5187835902687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142.55569873170055</v>
      </c>
      <c r="HH104" s="21">
        <f>EXP(-LN(2)/25)*HH103+(1-EXP(-LN(2)/25))/(LN(2)/25)*Calculateur!HC104*Calculateur!HE104*VLOOKUP('Données projet'!$B$18,Paramètres!$A$1:$I$89,3,0)*0.475*44/12</f>
        <v>56.454449588556116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199.01014832025666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7.1111111111111107</v>
      </c>
      <c r="N105" s="13">
        <f>IF('Données projet'!$A$36&gt;35,N104+M105-V104,IF(A105&lt;'Données projet'!$A$36,$K$205^A105,IF(A105='Données projet'!$A$36,'Données projet'!$B$36,N104+M105-V104)))</f>
        <v>336.66666666666646</v>
      </c>
      <c r="O105" s="13">
        <f>N105*VLOOKUP('Données projet'!$B$9,Paramètres!$A$1:$I$89,3,0)*VLOOKUP('Données projet'!$B$9,Paramètres!$A$1:$I$89,5,0)</f>
        <v>304.61599999999981</v>
      </c>
      <c r="P105" s="13">
        <f t="shared" si="87"/>
        <v>72.143292729010327</v>
      </c>
      <c r="Q105" s="20">
        <f t="shared" si="107"/>
        <v>656.189101503026</v>
      </c>
      <c r="R105" s="59">
        <f t="shared" si="55"/>
        <v>949.52243483635925</v>
      </c>
      <c r="S105" s="59">
        <f ca="1">AVERAGE(OFFSET($R$3,0,0,'Données projet'!$E$9+1,1))-AVERAGE(OFFSET($H$3,0,0,'Données projet'!$E$9+1,1))</f>
        <v>528.20489749461376</v>
      </c>
      <c r="T105" s="59">
        <f t="shared" si="88"/>
        <v>276.26988364830532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44.618404454112373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44.618404454112373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2.2737367544323206E-13</v>
      </c>
      <c r="AJ105" s="13">
        <f>AI105*VLOOKUP('Données projet'!$B$10,Paramètres!$A$1:$I$89,3,0)*VLOOKUP('Données projet'!$B$10,Paramètres!$A$1:$I$89,5,0)</f>
        <v>2.0572770154103635E-13</v>
      </c>
      <c r="AK105" s="13">
        <f t="shared" si="89"/>
        <v>2.8416956338469711E-12</v>
      </c>
      <c r="AL105" s="20">
        <f t="shared" si="58"/>
        <v>5.3075956424674458E-12</v>
      </c>
      <c r="AM105" s="59">
        <f t="shared" si="59"/>
        <v>293.3333333333386</v>
      </c>
      <c r="AN105" s="59">
        <f ca="1">AVERAGE(OFFSET($AM$3,0,0,'Données projet'!$E$10+1,1))-AVERAGE(OFFSET($H$3,0,0,'Données projet'!$E$10+1,1))</f>
        <v>436.23918637269577</v>
      </c>
      <c r="AO105" s="59">
        <f t="shared" si="90"/>
        <v>611.43967996341894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23.615483907884812</v>
      </c>
      <c r="AV105" s="21">
        <f>EXP(-LN(2)/25)*AV104+(1-EXP(-LN(2)/25))/(LN(2)/25)*Calculateur!AQ105*Calculateur!AS105*VLOOKUP('Données projet'!$B$10,Paramètres!$A$1:$I$89,3,0)*0.475*44/12</f>
        <v>8.912591397400071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32.528075305284887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4.4337866711430253E-14</v>
      </c>
      <c r="BF105" s="13">
        <f t="shared" si="91"/>
        <v>7.3222115536967035E-13</v>
      </c>
      <c r="BG105" s="20">
        <f t="shared" si="61"/>
        <v>1.3525069634579169E-12</v>
      </c>
      <c r="BH105" s="59">
        <f t="shared" si="62"/>
        <v>293.33333333333468</v>
      </c>
      <c r="BI105" s="59">
        <f ca="1">AVERAGE(OFFSET($BH$3,0,0,'Données projet'!$E$11+1,1))-AVERAGE(OFFSET($H$3,0,0,'Données projet'!$E$11+1,1))</f>
        <v>288.82868507674738</v>
      </c>
      <c r="BJ105" s="59">
        <f t="shared" si="92"/>
        <v>283.48738729114024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46.009508359970972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46.009508359970972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2.1316282072803006E-14</v>
      </c>
      <c r="BZ105" s="13">
        <f>BY105*VLOOKUP('Données projet'!$B$12,Paramètres!$A$1:$I$89,3,0)*VLOOKUP('Données projet'!$B$12,Paramètres!$A$1:$I$89,5,0)</f>
        <v>1.8621904018800709E-14</v>
      </c>
      <c r="CA105" s="13">
        <f t="shared" si="93"/>
        <v>3.40208645124969E-13</v>
      </c>
      <c r="CB105" s="20">
        <f t="shared" si="64"/>
        <v>6.2496320642539887E-13</v>
      </c>
      <c r="CC105" s="59">
        <f t="shared" si="65"/>
        <v>293.33333333333394</v>
      </c>
      <c r="CD105" s="59">
        <f ca="1">AVERAGE(OFFSET($CC$3,0,0,'Données projet'!$E$12+1,1))-AVERAGE(OFFSET($H$3,0,0,'Données projet'!$E$12+1,1))</f>
        <v>93.329407403816901</v>
      </c>
      <c r="CE105" s="59">
        <f t="shared" si="94"/>
        <v>90.925148357295313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11.248956308782413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11.248956308782413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10.4</v>
      </c>
      <c r="CT105" s="12">
        <f>IF('Données projet'!$A$140&gt;35,CT104+CS105-DB104,IF(A105&lt;'Données projet'!$A$140,$CQ$205^A105,IF(A105='Données projet'!$A$140,'Données projet'!$B$140,CT104+CS105-DB104)))</f>
        <v>537.79999999999984</v>
      </c>
      <c r="CU105" s="17">
        <f>CT105*VLOOKUP('Données projet'!$B$13,Paramètres!$A$1:$I$89,3,0)*VLOOKUP('Données projet'!$B$13,Paramètres!$A$1:$I$89,5,0)</f>
        <v>511.77047999999985</v>
      </c>
      <c r="CV105" s="13">
        <f t="shared" si="95"/>
        <v>114.10139108092969</v>
      </c>
      <c r="CW105" s="20">
        <f t="shared" si="67"/>
        <v>1090.0601754659522</v>
      </c>
      <c r="CX105" s="59">
        <f t="shared" si="68"/>
        <v>1383.3935087992854</v>
      </c>
      <c r="CY105" s="59">
        <f ca="1">AVERAGE(OFFSET($CX$3,0,0,'Données projet'!$E$13+1,1))-AVERAGE(OFFSET($H$3,0,0,'Données projet'!$E$13+1,1))</f>
        <v>805.04572055352492</v>
      </c>
      <c r="CZ105" s="59">
        <f t="shared" si="96"/>
        <v>708.66645042414962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99.201034863350657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99.201034863350657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5.6</v>
      </c>
      <c r="DO105" s="12">
        <f>IF('Données projet'!$A$166&gt;35,DO104+DN105-DW104,IF(A105&lt;'Données projet'!$A$166,$DL$205^A105,IF(A105='Données projet'!$A$166,'Données projet'!$B$166,DO104+DN105-DW104)))</f>
        <v>497.19999999999987</v>
      </c>
      <c r="DP105" s="17">
        <f>DO105*VLOOKUP('Données projet'!$B$14,Paramètres!$A$1:$I$89,3,0)*VLOOKUP('Données projet'!$B$14,Paramètres!$A$1:$I$89,5,0)</f>
        <v>333.52175999999992</v>
      </c>
      <c r="DQ105" s="13">
        <f t="shared" si="97"/>
        <v>78.160006158594129</v>
      </c>
      <c r="DR105" s="20">
        <f t="shared" si="70"/>
        <v>717.01240939288448</v>
      </c>
      <c r="DS105" s="59">
        <f t="shared" si="71"/>
        <v>1010.3457427262178</v>
      </c>
      <c r="DT105" s="59">
        <f ca="1">AVERAGE(OFFSET($DS$3,0,0,'Données projet'!$E$14+1,1))-AVERAGE(OFFSET($H$3,0,0,'Données projet'!$E$14+1,1))</f>
        <v>482.69499576870095</v>
      </c>
      <c r="DU105" s="59">
        <f t="shared" si="98"/>
        <v>384.28918352579575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34.115642469741296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34.115642469741296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1.7053025658242404E-13</v>
      </c>
      <c r="EK105" s="17">
        <f>EJ105*VLOOKUP('Données projet'!$B$15,Paramètres!$A$1:$I$89,3,0)*VLOOKUP('Données projet'!$B$15,Paramètres!$A$1:$I$89,5,0)</f>
        <v>1.250327841262333E-13</v>
      </c>
      <c r="EL105" s="13">
        <f t="shared" si="99"/>
        <v>1.8301318724634299E-12</v>
      </c>
      <c r="EM105" s="20">
        <f t="shared" si="73"/>
        <v>3.405245110226996E-12</v>
      </c>
      <c r="EN105" s="59">
        <f t="shared" si="74"/>
        <v>293.33333333333672</v>
      </c>
      <c r="EO105" s="59">
        <f ca="1">AVERAGE(OFFSET($EN$3,0,0,'Données projet'!$E$15+1,1))-AVERAGE(OFFSET($H$3,0,0,'Données projet'!$E$15+1,1))</f>
        <v>197.34725966440715</v>
      </c>
      <c r="EP105" s="59">
        <f t="shared" si="100"/>
        <v>240.16326570529532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15.622567236206235</v>
      </c>
      <c r="EW105" s="21">
        <f>EXP(-LN(2)/25)*EW104+(1-EXP(-LN(2)/25))/(LN(2)/25)*Calculateur!ER105*Calculateur!ET105*VLOOKUP('Données projet'!$B$15,Paramètres!$A$1:$I$89,3,0)*0.475*44/12</f>
        <v>7.2843952016696534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22.90696243787589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2.2737367544323206E-13</v>
      </c>
      <c r="FF105" s="17">
        <f>FE105*VLOOKUP('Données projet'!$B$16,Paramètres!$A$1:$I$89,3,0)*VLOOKUP('Données projet'!$B$16,Paramètres!$A$1:$I$89,5,0)</f>
        <v>1.2710188457276673E-13</v>
      </c>
      <c r="FG105" s="13">
        <f t="shared" si="101"/>
        <v>1.856866851063998E-12</v>
      </c>
      <c r="FH105" s="20">
        <f t="shared" si="76"/>
        <v>3.4554122145673649E-12</v>
      </c>
      <c r="FI105" s="59">
        <f t="shared" si="77"/>
        <v>293.33333333333678</v>
      </c>
      <c r="FJ105" s="59">
        <f ca="1">AVERAGE(OFFSET($FI$3,0,0,'Données projet'!$E$16+1,1))-AVERAGE(OFFSET($H$3,0,0,'Données projet'!$E$16+1,1))</f>
        <v>346.42094266871379</v>
      </c>
      <c r="FK105" s="59">
        <f t="shared" si="102"/>
        <v>453.48153556975973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74.546482983090868</v>
      </c>
      <c r="FR105" s="21">
        <f>EXP(-LN(2)/25)*FR104+(1-EXP(-LN(2)/25))/(LN(2)/25)*Calculateur!FM105*Calculateur!FO105*VLOOKUP('Données projet'!$B$16,Paramètres!$A$1:$I$89,3,0)*0.475*44/12</f>
        <v>32.926406364396982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107.47288934748785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-1.1368683772161603E-13</v>
      </c>
      <c r="GA105" s="17">
        <f>FZ105*VLOOKUP('Données projet'!$B$17,Paramètres!$A$1:$I$89,3,0)*VLOOKUP('Données projet'!$B$17,Paramètres!$A$1:$I$89,5,0)</f>
        <v>-5.3205440053716299E-14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198.26255998041</v>
      </c>
      <c r="GF105" s="59">
        <f t="shared" si="104"/>
        <v>238.62101708181166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47.782004143220838</v>
      </c>
      <c r="GM105" s="21">
        <f>EXP(-LN(2)/25)*GM104+(1-EXP(-LN(2)/25))/(LN(2)/25)*Calculateur!GH105*Calculateur!GJ105*VLOOKUP('Données projet'!$B$17,Paramètres!$A$1:$I$89,3,0)*0.475*44/12</f>
        <v>19.432248982502156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67.21425312572299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>
        <f>GU105*VLOOKUP('Données projet'!$B$18,Paramètres!$A$1:$I$89,3,0)*VLOOKUP('Données projet'!$B$18,Paramètres!$A$1:$I$89,5,0)</f>
        <v>0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604.0566904089452</v>
      </c>
      <c r="HA105" s="59">
        <f t="shared" si="106"/>
        <v>369.5187835902687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139.76026842996248</v>
      </c>
      <c r="HH105" s="21">
        <f>EXP(-LN(2)/25)*HH104+(1-EXP(-LN(2)/25))/(LN(2)/25)*Calculateur!HC105*Calculateur!HE105*VLOOKUP('Données projet'!$B$18,Paramètres!$A$1:$I$89,3,0)*0.475*44/12</f>
        <v>54.910699695746573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194.67096812570907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7.1111111111111107</v>
      </c>
      <c r="N106" s="13">
        <f>IF('Données projet'!$A$36&gt;35,N105+M106-V105,IF(A106&lt;'Données projet'!$A$36,$K$205^A106,IF(A106='Données projet'!$A$36,'Données projet'!$B$36,N105+M106-V105)))</f>
        <v>343.77777777777754</v>
      </c>
      <c r="O106" s="13">
        <f>N106*VLOOKUP('Données projet'!$B$9,Paramètres!$A$1:$I$89,3,0)*VLOOKUP('Données projet'!$B$9,Paramètres!$A$1:$I$89,5,0)</f>
        <v>311.05013333333312</v>
      </c>
      <c r="P106" s="13">
        <f t="shared" si="87"/>
        <v>73.488096624860759</v>
      </c>
      <c r="Q106" s="20">
        <f t="shared" si="107"/>
        <v>669.73741717718758</v>
      </c>
      <c r="R106" s="59">
        <f t="shared" si="55"/>
        <v>963.07075051052084</v>
      </c>
      <c r="S106" s="59">
        <f ca="1">AVERAGE(OFFSET($R$3,0,0,'Données projet'!$E$9+1,1))-AVERAGE(OFFSET($H$3,0,0,'Données projet'!$E$9+1,1))</f>
        <v>528.20489749461376</v>
      </c>
      <c r="T106" s="59">
        <f t="shared" si="88"/>
        <v>276.26988364830532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43.743464757306732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43.743464757306732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2.2737367544323206E-13</v>
      </c>
      <c r="AJ106" s="13">
        <f>AI106*VLOOKUP('Données projet'!$B$10,Paramètres!$A$1:$I$89,3,0)*VLOOKUP('Données projet'!$B$10,Paramètres!$A$1:$I$89,5,0)</f>
        <v>2.0572770154103635E-13</v>
      </c>
      <c r="AK106" s="13">
        <f t="shared" si="89"/>
        <v>2.8416956338469711E-12</v>
      </c>
      <c r="AL106" s="20">
        <f t="shared" si="58"/>
        <v>5.3075956424674458E-12</v>
      </c>
      <c r="AM106" s="59">
        <f t="shared" si="59"/>
        <v>293.3333333333386</v>
      </c>
      <c r="AN106" s="59">
        <f ca="1">AVERAGE(OFFSET($AM$3,0,0,'Données projet'!$E$10+1,1))-AVERAGE(OFFSET($H$3,0,0,'Données projet'!$E$10+1,1))</f>
        <v>436.23918637269577</v>
      </c>
      <c r="AO106" s="59">
        <f t="shared" si="90"/>
        <v>611.43967996341894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23.152398672474096</v>
      </c>
      <c r="AV106" s="21">
        <f>EXP(-LN(2)/25)*AV105+(1-EXP(-LN(2)/25))/(LN(2)/25)*Calculateur!AQ106*Calculateur!AS106*VLOOKUP('Données projet'!$B$10,Paramètres!$A$1:$I$89,3,0)*0.475*44/12</f>
        <v>8.6688761169453539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31.821274789419448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4.4337866711430253E-14</v>
      </c>
      <c r="BF106" s="13">
        <f t="shared" si="91"/>
        <v>7.3222115536967035E-13</v>
      </c>
      <c r="BG106" s="20">
        <f t="shared" si="61"/>
        <v>1.3525069634579169E-12</v>
      </c>
      <c r="BH106" s="59">
        <f t="shared" si="62"/>
        <v>293.33333333333468</v>
      </c>
      <c r="BI106" s="59">
        <f ca="1">AVERAGE(OFFSET($BH$3,0,0,'Données projet'!$E$11+1,1))-AVERAGE(OFFSET($H$3,0,0,'Données projet'!$E$11+1,1))</f>
        <v>288.82868507674738</v>
      </c>
      <c r="BJ106" s="59">
        <f t="shared" si="92"/>
        <v>283.48738729114024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45.107289964061046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45.107289964061046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2.1316282072803006E-14</v>
      </c>
      <c r="BZ106" s="13">
        <f>BY106*VLOOKUP('Données projet'!$B$12,Paramètres!$A$1:$I$89,3,0)*VLOOKUP('Données projet'!$B$12,Paramètres!$A$1:$I$89,5,0)</f>
        <v>1.8621904018800709E-14</v>
      </c>
      <c r="CA106" s="13">
        <f t="shared" si="93"/>
        <v>3.40208645124969E-13</v>
      </c>
      <c r="CB106" s="20">
        <f t="shared" si="64"/>
        <v>6.2496320642539887E-13</v>
      </c>
      <c r="CC106" s="59">
        <f t="shared" si="65"/>
        <v>293.33333333333394</v>
      </c>
      <c r="CD106" s="59">
        <f ca="1">AVERAGE(OFFSET($CC$3,0,0,'Données projet'!$E$12+1,1))-AVERAGE(OFFSET($H$3,0,0,'Données projet'!$E$12+1,1))</f>
        <v>93.329407403816901</v>
      </c>
      <c r="CE106" s="59">
        <f t="shared" si="94"/>
        <v>90.925148357295313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11.028371136753051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11.028371136753051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10.4</v>
      </c>
      <c r="CT106" s="12">
        <f>IF('Données projet'!$A$140&gt;35,CT105+CS106-DB105,IF(A106&lt;'Données projet'!$A$140,$CQ$205^A106,IF(A106='Données projet'!$A$140,'Données projet'!$B$140,CT105+CS106-DB105)))</f>
        <v>548.19999999999982</v>
      </c>
      <c r="CU106" s="17">
        <f>CT106*VLOOKUP('Données projet'!$B$13,Paramètres!$A$1:$I$89,3,0)*VLOOKUP('Données projet'!$B$13,Paramètres!$A$1:$I$89,5,0)</f>
        <v>521.66711999999984</v>
      </c>
      <c r="CV106" s="13">
        <f t="shared" si="95"/>
        <v>116.04887379324927</v>
      </c>
      <c r="CW106" s="20">
        <f t="shared" si="67"/>
        <v>1110.6886891899089</v>
      </c>
      <c r="CX106" s="59">
        <f t="shared" si="68"/>
        <v>1404.0220225232422</v>
      </c>
      <c r="CY106" s="59">
        <f ca="1">AVERAGE(OFFSET($CX$3,0,0,'Données projet'!$E$13+1,1))-AVERAGE(OFFSET($H$3,0,0,'Données projet'!$E$13+1,1))</f>
        <v>805.04572055352492</v>
      </c>
      <c r="CZ106" s="59">
        <f t="shared" si="96"/>
        <v>708.66645042414962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97.255763076337075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97.255763076337075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5.6</v>
      </c>
      <c r="DO106" s="12">
        <f>IF('Données projet'!$A$166&gt;35,DO105+DN106-DW105,IF(A106&lt;'Données projet'!$A$166,$DL$205^A106,IF(A106='Données projet'!$A$166,'Données projet'!$B$166,DO105+DN106-DW105)))</f>
        <v>502.7999999999999</v>
      </c>
      <c r="DP106" s="17">
        <f>DO106*VLOOKUP('Données projet'!$B$14,Paramètres!$A$1:$I$89,3,0)*VLOOKUP('Données projet'!$B$14,Paramètres!$A$1:$I$89,5,0)</f>
        <v>337.27823999999993</v>
      </c>
      <c r="DQ106" s="13">
        <f t="shared" si="97"/>
        <v>78.937350798003891</v>
      </c>
      <c r="DR106" s="20">
        <f t="shared" si="70"/>
        <v>724.90882063985657</v>
      </c>
      <c r="DS106" s="59">
        <f t="shared" si="71"/>
        <v>1018.2421539731899</v>
      </c>
      <c r="DT106" s="59">
        <f ca="1">AVERAGE(OFFSET($DS$3,0,0,'Données projet'!$E$14+1,1))-AVERAGE(OFFSET($H$3,0,0,'Données projet'!$E$14+1,1))</f>
        <v>482.69499576870095</v>
      </c>
      <c r="DU106" s="59">
        <f t="shared" si="98"/>
        <v>384.28918352579575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33.446655529396907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33.446655529396907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1.7053025658242404E-13</v>
      </c>
      <c r="EK106" s="17">
        <f>EJ106*VLOOKUP('Données projet'!$B$15,Paramètres!$A$1:$I$89,3,0)*VLOOKUP('Données projet'!$B$15,Paramètres!$A$1:$I$89,5,0)</f>
        <v>1.250327841262333E-13</v>
      </c>
      <c r="EL106" s="13">
        <f t="shared" si="99"/>
        <v>1.8301318724634299E-12</v>
      </c>
      <c r="EM106" s="20">
        <f t="shared" si="73"/>
        <v>3.405245110226996E-12</v>
      </c>
      <c r="EN106" s="59">
        <f t="shared" si="74"/>
        <v>293.33333333333672</v>
      </c>
      <c r="EO106" s="59">
        <f ca="1">AVERAGE(OFFSET($EN$3,0,0,'Données projet'!$E$15+1,1))-AVERAGE(OFFSET($H$3,0,0,'Données projet'!$E$15+1,1))</f>
        <v>197.34725966440715</v>
      </c>
      <c r="EP106" s="59">
        <f t="shared" si="100"/>
        <v>240.16326570529532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15.316218221529352</v>
      </c>
      <c r="EW106" s="21">
        <f>EXP(-LN(2)/25)*EW105+(1-EXP(-LN(2)/25))/(LN(2)/25)*Calculateur!ER106*Calculateur!ET106*VLOOKUP('Données projet'!$B$15,Paramètres!$A$1:$I$89,3,0)*0.475*44/12</f>
        <v>7.0852030318103019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22.401421253339656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2.2737367544323206E-13</v>
      </c>
      <c r="FF106" s="17">
        <f>FE106*VLOOKUP('Données projet'!$B$16,Paramètres!$A$1:$I$89,3,0)*VLOOKUP('Données projet'!$B$16,Paramètres!$A$1:$I$89,5,0)</f>
        <v>1.2710188457276673E-13</v>
      </c>
      <c r="FG106" s="13">
        <f t="shared" si="101"/>
        <v>1.856866851063998E-12</v>
      </c>
      <c r="FH106" s="20">
        <f t="shared" si="76"/>
        <v>3.4554122145673649E-12</v>
      </c>
      <c r="FI106" s="59">
        <f t="shared" si="77"/>
        <v>293.33333333333678</v>
      </c>
      <c r="FJ106" s="59">
        <f ca="1">AVERAGE(OFFSET($FI$3,0,0,'Données projet'!$E$16+1,1))-AVERAGE(OFFSET($H$3,0,0,'Données projet'!$E$16+1,1))</f>
        <v>346.42094266871379</v>
      </c>
      <c r="FK106" s="59">
        <f t="shared" si="102"/>
        <v>453.48153556975973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73.084671920657399</v>
      </c>
      <c r="FR106" s="21">
        <f>EXP(-LN(2)/25)*FR105+(1-EXP(-LN(2)/25))/(LN(2)/25)*Calculateur!FM106*Calculateur!FO106*VLOOKUP('Données projet'!$B$16,Paramètres!$A$1:$I$89,3,0)*0.475*44/12</f>
        <v>32.02603205083809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105.1107039714955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-1.1368683772161603E-13</v>
      </c>
      <c r="GA106" s="17">
        <f>FZ106*VLOOKUP('Données projet'!$B$17,Paramètres!$A$1:$I$89,3,0)*VLOOKUP('Données projet'!$B$17,Paramètres!$A$1:$I$89,5,0)</f>
        <v>-5.3205440053716299E-14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198.26255998041</v>
      </c>
      <c r="GF106" s="59">
        <f t="shared" si="104"/>
        <v>238.62101708181166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46.845028186117062</v>
      </c>
      <c r="GM106" s="21">
        <f>EXP(-LN(2)/25)*GM105+(1-EXP(-LN(2)/25))/(LN(2)/25)*Calculateur!GH106*Calculateur!GJ106*VLOOKUP('Données projet'!$B$17,Paramètres!$A$1:$I$89,3,0)*0.475*44/12</f>
        <v>18.900873112178072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65.745901298295138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>
        <f>GU106*VLOOKUP('Données projet'!$B$18,Paramètres!$A$1:$I$89,3,0)*VLOOKUP('Données projet'!$B$18,Paramètres!$A$1:$I$89,5,0)</f>
        <v>0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604.0566904089452</v>
      </c>
      <c r="HA106" s="59">
        <f t="shared" si="106"/>
        <v>369.5187835902687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137.01965481139737</v>
      </c>
      <c r="HH106" s="21">
        <f>EXP(-LN(2)/25)*HH105+(1-EXP(-LN(2)/25))/(LN(2)/25)*Calculateur!HC106*Calculateur!HE106*VLOOKUP('Données projet'!$B$18,Paramètres!$A$1:$I$89,3,0)*0.475*44/12</f>
        <v>53.409163724938189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190.42881853633557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7.1111111111111107</v>
      </c>
      <c r="N107" s="13">
        <f>IF('Données projet'!$A$36&gt;35,N106+M107-V106,IF(A107&lt;'Données projet'!$A$36,$K$205^A107,IF(A107='Données projet'!$A$36,'Données projet'!$B$36,N106+M107-V106)))</f>
        <v>350.88888888888863</v>
      </c>
      <c r="O107" s="13">
        <f>N107*VLOOKUP('Données projet'!$B$9,Paramètres!$A$1:$I$89,3,0)*VLOOKUP('Données projet'!$B$9,Paramètres!$A$1:$I$89,5,0)</f>
        <v>317.48426666666643</v>
      </c>
      <c r="P107" s="13">
        <f t="shared" si="87"/>
        <v>74.82966621096746</v>
      </c>
      <c r="Q107" s="20">
        <f t="shared" si="107"/>
        <v>683.28009976187889</v>
      </c>
      <c r="R107" s="59">
        <f t="shared" si="55"/>
        <v>976.61343309521226</v>
      </c>
      <c r="S107" s="59">
        <f ca="1">AVERAGE(OFFSET($R$3,0,0,'Données projet'!$E$9+1,1))-AVERAGE(OFFSET($H$3,0,0,'Données projet'!$E$9+1,1))</f>
        <v>528.20489749461376</v>
      </c>
      <c r="T107" s="59">
        <f t="shared" si="88"/>
        <v>276.26988364830532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42.885682094294928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42.885682094294928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2.2737367544323206E-13</v>
      </c>
      <c r="AJ107" s="13">
        <f>AI107*VLOOKUP('Données projet'!$B$10,Paramètres!$A$1:$I$89,3,0)*VLOOKUP('Données projet'!$B$10,Paramètres!$A$1:$I$89,5,0)</f>
        <v>2.0572770154103635E-13</v>
      </c>
      <c r="AK107" s="13">
        <f t="shared" si="89"/>
        <v>2.8416956338469711E-12</v>
      </c>
      <c r="AL107" s="20">
        <f t="shared" si="58"/>
        <v>5.3075956424674458E-12</v>
      </c>
      <c r="AM107" s="59">
        <f t="shared" si="59"/>
        <v>293.3333333333386</v>
      </c>
      <c r="AN107" s="59">
        <f ca="1">AVERAGE(OFFSET($AM$3,0,0,'Données projet'!$E$10+1,1))-AVERAGE(OFFSET($H$3,0,0,'Données projet'!$E$10+1,1))</f>
        <v>436.23918637269577</v>
      </c>
      <c r="AO107" s="59">
        <f t="shared" si="90"/>
        <v>611.43967996341894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22.69839425607568</v>
      </c>
      <c r="AV107" s="21">
        <f>EXP(-LN(2)/25)*AV106+(1-EXP(-LN(2)/25))/(LN(2)/25)*Calculateur!AQ107*Calculateur!AS107*VLOOKUP('Données projet'!$B$10,Paramètres!$A$1:$I$89,3,0)*0.475*44/12</f>
        <v>8.431825243651101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31.130219499726781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4.4337866711430253E-14</v>
      </c>
      <c r="BF107" s="13">
        <f t="shared" si="91"/>
        <v>7.3222115536967035E-13</v>
      </c>
      <c r="BG107" s="20">
        <f t="shared" si="61"/>
        <v>1.3525069634579169E-12</v>
      </c>
      <c r="BH107" s="59">
        <f t="shared" si="62"/>
        <v>293.33333333333468</v>
      </c>
      <c r="BI107" s="59">
        <f ca="1">AVERAGE(OFFSET($BH$3,0,0,'Données projet'!$E$11+1,1))-AVERAGE(OFFSET($H$3,0,0,'Données projet'!$E$11+1,1))</f>
        <v>288.82868507674738</v>
      </c>
      <c r="BJ107" s="59">
        <f t="shared" si="92"/>
        <v>283.48738729114024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44.222763520596033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44.222763520596033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2.1316282072803006E-14</v>
      </c>
      <c r="BZ107" s="13">
        <f>BY107*VLOOKUP('Données projet'!$B$12,Paramètres!$A$1:$I$89,3,0)*VLOOKUP('Données projet'!$B$12,Paramètres!$A$1:$I$89,5,0)</f>
        <v>1.8621904018800709E-14</v>
      </c>
      <c r="CA107" s="13">
        <f t="shared" si="93"/>
        <v>3.40208645124969E-13</v>
      </c>
      <c r="CB107" s="20">
        <f t="shared" si="64"/>
        <v>6.2496320642539887E-13</v>
      </c>
      <c r="CC107" s="59">
        <f t="shared" si="65"/>
        <v>293.33333333333394</v>
      </c>
      <c r="CD107" s="59">
        <f ca="1">AVERAGE(OFFSET($CC$3,0,0,'Données projet'!$E$12+1,1))-AVERAGE(OFFSET($H$3,0,0,'Données projet'!$E$12+1,1))</f>
        <v>93.329407403816901</v>
      </c>
      <c r="CE107" s="59">
        <f t="shared" si="94"/>
        <v>90.925148357295313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10.812111505403516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10.812111505403516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10.4</v>
      </c>
      <c r="CT107" s="12">
        <f>IF('Données projet'!$A$140&gt;35,CT106+CS107-DB106,IF(A107&lt;'Données projet'!$A$140,$CQ$205^A107,IF(A107='Données projet'!$A$140,'Données projet'!$B$140,CT106+CS107-DB106)))</f>
        <v>558.5999999999998</v>
      </c>
      <c r="CU107" s="17">
        <f>CT107*VLOOKUP('Données projet'!$B$13,Paramètres!$A$1:$I$89,3,0)*VLOOKUP('Données projet'!$B$13,Paramètres!$A$1:$I$89,5,0)</f>
        <v>531.56375999999977</v>
      </c>
      <c r="CV107" s="13">
        <f t="shared" si="95"/>
        <v>117.99206045867491</v>
      </c>
      <c r="CW107" s="20">
        <f t="shared" si="67"/>
        <v>1131.3097206321918</v>
      </c>
      <c r="CX107" s="59">
        <f t="shared" si="68"/>
        <v>1424.643053965525</v>
      </c>
      <c r="CY107" s="59">
        <f ca="1">AVERAGE(OFFSET($CX$3,0,0,'Données projet'!$E$13+1,1))-AVERAGE(OFFSET($H$3,0,0,'Données projet'!$E$13+1,1))</f>
        <v>805.04572055352492</v>
      </c>
      <c r="CZ107" s="59">
        <f t="shared" si="96"/>
        <v>708.66645042414962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95.348636882568201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95.348636882568201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5.6</v>
      </c>
      <c r="DO107" s="12">
        <f>IF('Données projet'!$A$166&gt;35,DO106+DN107-DW106,IF(A107&lt;'Données projet'!$A$166,$DL$205^A107,IF(A107='Données projet'!$A$166,'Données projet'!$B$166,DO106+DN107-DW106)))</f>
        <v>508.39999999999992</v>
      </c>
      <c r="DP107" s="17">
        <f>DO107*VLOOKUP('Données projet'!$B$14,Paramètres!$A$1:$I$89,3,0)*VLOOKUP('Données projet'!$B$14,Paramètres!$A$1:$I$89,5,0)</f>
        <v>341.03471999999994</v>
      </c>
      <c r="DQ107" s="13">
        <f t="shared" si="97"/>
        <v>79.713688303180248</v>
      </c>
      <c r="DR107" s="20">
        <f t="shared" si="70"/>
        <v>732.80347779470549</v>
      </c>
      <c r="DS107" s="59">
        <f t="shared" si="71"/>
        <v>1026.1368111280387</v>
      </c>
      <c r="DT107" s="59">
        <f ca="1">AVERAGE(OFFSET($DS$3,0,0,'Données projet'!$E$14+1,1))-AVERAGE(OFFSET($H$3,0,0,'Données projet'!$E$14+1,1))</f>
        <v>482.69499576870095</v>
      </c>
      <c r="DU107" s="59">
        <f t="shared" si="98"/>
        <v>384.28918352579575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32.790787014910933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32.790787014910933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1.7053025658242404E-13</v>
      </c>
      <c r="EK107" s="17">
        <f>EJ107*VLOOKUP('Données projet'!$B$15,Paramètres!$A$1:$I$89,3,0)*VLOOKUP('Données projet'!$B$15,Paramètres!$A$1:$I$89,5,0)</f>
        <v>1.250327841262333E-13</v>
      </c>
      <c r="EL107" s="13">
        <f t="shared" si="99"/>
        <v>1.8301318724634299E-12</v>
      </c>
      <c r="EM107" s="20">
        <f t="shared" si="73"/>
        <v>3.405245110226996E-12</v>
      </c>
      <c r="EN107" s="59">
        <f t="shared" si="74"/>
        <v>293.33333333333672</v>
      </c>
      <c r="EO107" s="59">
        <f ca="1">AVERAGE(OFFSET($EN$3,0,0,'Données projet'!$E$15+1,1))-AVERAGE(OFFSET($H$3,0,0,'Données projet'!$E$15+1,1))</f>
        <v>197.34725966440715</v>
      </c>
      <c r="EP107" s="59">
        <f t="shared" si="100"/>
        <v>240.16326570529532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15.015876524175834</v>
      </c>
      <c r="EW107" s="21">
        <f>EXP(-LN(2)/25)*EW106+(1-EXP(-LN(2)/25))/(LN(2)/25)*Calculateur!ER107*Calculateur!ET107*VLOOKUP('Données projet'!$B$15,Paramètres!$A$1:$I$89,3,0)*0.475*44/12</f>
        <v>6.8914577823108152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21.90733430648665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2.2737367544323206E-13</v>
      </c>
      <c r="FF107" s="17">
        <f>FE107*VLOOKUP('Données projet'!$B$16,Paramètres!$A$1:$I$89,3,0)*VLOOKUP('Données projet'!$B$16,Paramètres!$A$1:$I$89,5,0)</f>
        <v>1.2710188457276673E-13</v>
      </c>
      <c r="FG107" s="13">
        <f t="shared" si="101"/>
        <v>1.856866851063998E-12</v>
      </c>
      <c r="FH107" s="20">
        <f t="shared" si="76"/>
        <v>3.4554122145673649E-12</v>
      </c>
      <c r="FI107" s="59">
        <f t="shared" si="77"/>
        <v>293.33333333333678</v>
      </c>
      <c r="FJ107" s="59">
        <f ca="1">AVERAGE(OFFSET($FI$3,0,0,'Données projet'!$E$16+1,1))-AVERAGE(OFFSET($H$3,0,0,'Données projet'!$E$16+1,1))</f>
        <v>346.42094266871379</v>
      </c>
      <c r="FK107" s="59">
        <f t="shared" si="102"/>
        <v>453.48153556975973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71.651526081541547</v>
      </c>
      <c r="FR107" s="21">
        <f>EXP(-LN(2)/25)*FR106+(1-EXP(-LN(2)/25))/(LN(2)/25)*Calculateur!FM107*Calculateur!FO107*VLOOKUP('Données projet'!$B$16,Paramètres!$A$1:$I$89,3,0)*0.475*44/12</f>
        <v>31.150278520232092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102.80180460177364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-1.1368683772161603E-13</v>
      </c>
      <c r="GA107" s="17">
        <f>FZ107*VLOOKUP('Données projet'!$B$17,Paramètres!$A$1:$I$89,3,0)*VLOOKUP('Données projet'!$B$17,Paramètres!$A$1:$I$89,5,0)</f>
        <v>-5.3205440053716299E-14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198.26255998041</v>
      </c>
      <c r="GF107" s="59">
        <f t="shared" si="104"/>
        <v>238.62101708181166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45.926425756033183</v>
      </c>
      <c r="GM107" s="21">
        <f>EXP(-LN(2)/25)*GM106+(1-EXP(-LN(2)/25))/(LN(2)/25)*Calculateur!GH107*Calculateur!GJ107*VLOOKUP('Données projet'!$B$17,Paramètres!$A$1:$I$89,3,0)*0.475*44/12</f>
        <v>18.384027742971845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64.310453499005035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>
        <f>GU107*VLOOKUP('Données projet'!$B$18,Paramètres!$A$1:$I$89,3,0)*VLOOKUP('Données projet'!$B$18,Paramètres!$A$1:$I$89,5,0)</f>
        <v>0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604.0566904089452</v>
      </c>
      <c r="HA107" s="59">
        <f t="shared" si="106"/>
        <v>369.5187835902687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134.33278295428309</v>
      </c>
      <c r="HH107" s="21">
        <f>EXP(-LN(2)/25)*HH106+(1-EXP(-LN(2)/25))/(LN(2)/25)*Calculateur!HC107*Calculateur!HE107*VLOOKUP('Données projet'!$B$18,Paramètres!$A$1:$I$89,3,0)*0.475*44/12</f>
        <v>51.948687334213901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186.28147028849699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358</v>
      </c>
      <c r="L108" s="12">
        <f>VLOOKUP(A108,'Données projet'!$A$35:$I$55,9,0)</f>
        <v>7.1111111111111107</v>
      </c>
      <c r="M108" s="12">
        <f t="array" ref="M108">INDEX(L:L,MIN(IF(ISNUMBER(L108:L304),ROW(L108:L304),"")))</f>
        <v>7.1111111111111107</v>
      </c>
      <c r="N108" s="13">
        <f>IF('Données projet'!$A$36&gt;35,N107+M108-V107,IF(A108&lt;'Données projet'!$A$36,$K$205^A108,IF(A108='Données projet'!$A$36,'Données projet'!$B$36,N107+M108-V107)))</f>
        <v>357.99999999999972</v>
      </c>
      <c r="O108" s="13">
        <f>N108*VLOOKUP('Données projet'!$B$9,Paramètres!$A$1:$I$89,3,0)*VLOOKUP('Données projet'!$B$9,Paramètres!$A$1:$I$89,5,0)</f>
        <v>323.91839999999974</v>
      </c>
      <c r="P108" s="13">
        <f t="shared" si="87"/>
        <v>76.168074587293034</v>
      </c>
      <c r="Q108" s="20">
        <f t="shared" si="107"/>
        <v>696.8172765728682</v>
      </c>
      <c r="R108" s="59">
        <f t="shared" si="55"/>
        <v>990.15060990620145</v>
      </c>
      <c r="S108" s="59">
        <f ca="1">AVERAGE(OFFSET($R$3,0,0,'Données projet'!$E$9+1,1))-AVERAGE(OFFSET($H$3,0,0,'Données projet'!$E$9+1,1))</f>
        <v>528.20489749461376</v>
      </c>
      <c r="T108" s="59">
        <f t="shared" si="88"/>
        <v>276.26988364830532</v>
      </c>
      <c r="U108" s="15">
        <f>IF(ISNA(VLOOKUP(A108,'Données projet'!$A$35:$I$55,3,0)),0,VLOOKUP(A108,'Données projet'!$A$35:$I$55,3,0))</f>
        <v>9</v>
      </c>
      <c r="V108" s="15">
        <f>IF(ISNA(VLOOKUP(A108,'Données projet'!$A$35:$I$55,4,0)),0,VLOOKUP(A108,'Données projet'!$A$35:$I$55,4,0))</f>
        <v>43</v>
      </c>
      <c r="W108" s="16">
        <f>IF(ISNA(VLOOKUP(A108,'Données projet'!$A$35:$I$55,5,0)),0%,VLOOKUP(A108,'Données projet'!$A$35:$I$55,5,0)*VLOOKUP('Données projet'!$B$9,Paramètres!$A$1:$I$89,7,0))</f>
        <v>0.25800000000000001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53.141267201868303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53.141267201868303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2.2737367544323206E-13</v>
      </c>
      <c r="AJ108" s="13">
        <f>AI108*VLOOKUP('Données projet'!$B$10,Paramètres!$A$1:$I$89,3,0)*VLOOKUP('Données projet'!$B$10,Paramètres!$A$1:$I$89,5,0)</f>
        <v>2.0572770154103635E-13</v>
      </c>
      <c r="AK108" s="13">
        <f t="shared" si="89"/>
        <v>2.8416956338469711E-12</v>
      </c>
      <c r="AL108" s="20">
        <f t="shared" si="58"/>
        <v>5.3075956424674458E-12</v>
      </c>
      <c r="AM108" s="59">
        <f t="shared" si="59"/>
        <v>293.3333333333386</v>
      </c>
      <c r="AN108" s="59">
        <f ca="1">AVERAGE(OFFSET($AM$3,0,0,'Données projet'!$E$10+1,1))-AVERAGE(OFFSET($H$3,0,0,'Données projet'!$E$10+1,1))</f>
        <v>436.23918637269577</v>
      </c>
      <c r="AO108" s="59">
        <f t="shared" si="90"/>
        <v>611.43967996341894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22.253292589367486</v>
      </c>
      <c r="AV108" s="21">
        <f>EXP(-LN(2)/25)*AV107+(1-EXP(-LN(2)/25))/(LN(2)/25)*Calculateur!AQ108*Calculateur!AS108*VLOOKUP('Données projet'!$B$10,Paramètres!$A$1:$I$89,3,0)*0.475*44/12</f>
        <v>8.201256538953043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30.454549128320529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4.4337866711430253E-14</v>
      </c>
      <c r="BF108" s="13">
        <f t="shared" si="91"/>
        <v>7.3222115536967035E-13</v>
      </c>
      <c r="BG108" s="20">
        <f t="shared" si="61"/>
        <v>1.3525069634579169E-12</v>
      </c>
      <c r="BH108" s="59">
        <f t="shared" si="62"/>
        <v>293.33333333333468</v>
      </c>
      <c r="BI108" s="59">
        <f ca="1">AVERAGE(OFFSET($BH$3,0,0,'Données projet'!$E$11+1,1))-AVERAGE(OFFSET($H$3,0,0,'Données projet'!$E$11+1,1))</f>
        <v>288.82868507674738</v>
      </c>
      <c r="BJ108" s="59">
        <f t="shared" si="92"/>
        <v>283.48738729114024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43.355582101179508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43.355582101179508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2.1316282072803006E-14</v>
      </c>
      <c r="BZ108" s="13">
        <f>BY108*VLOOKUP('Données projet'!$B$12,Paramètres!$A$1:$I$89,3,0)*VLOOKUP('Données projet'!$B$12,Paramètres!$A$1:$I$89,5,0)</f>
        <v>1.8621904018800709E-14</v>
      </c>
      <c r="CA108" s="13">
        <f t="shared" si="93"/>
        <v>3.40208645124969E-13</v>
      </c>
      <c r="CB108" s="20">
        <f t="shared" si="64"/>
        <v>6.2496320642539887E-13</v>
      </c>
      <c r="CC108" s="59">
        <f t="shared" si="65"/>
        <v>293.33333333333394</v>
      </c>
      <c r="CD108" s="59">
        <f ca="1">AVERAGE(OFFSET($CC$3,0,0,'Données projet'!$E$12+1,1))-AVERAGE(OFFSET($H$3,0,0,'Données projet'!$E$12+1,1))</f>
        <v>93.329407403816901</v>
      </c>
      <c r="CE108" s="59">
        <f t="shared" si="94"/>
        <v>90.925148357295313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10.600092593519395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10.600092593519395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569</v>
      </c>
      <c r="CR108" s="12">
        <f>VLOOKUP(A108,'Données projet'!$A$139:$I$159,9,0)</f>
        <v>10.4</v>
      </c>
      <c r="CS108" s="12">
        <f t="array" ref="CS108">INDEX(CR:CR,MIN(IF(ISNUMBER(CR108:CR304),ROW(CR108:CR304),"")))</f>
        <v>10.4</v>
      </c>
      <c r="CT108" s="12">
        <f>IF('Données projet'!$A$140&gt;35,CT107+CS108-DB107,IF(A108&lt;'Données projet'!$A$140,$CQ$205^A108,IF(A108='Données projet'!$A$140,'Données projet'!$B$140,CT107+CS108-DB107)))</f>
        <v>568.99999999999977</v>
      </c>
      <c r="CU108" s="17">
        <f>CT108*VLOOKUP('Données projet'!$B$13,Paramètres!$A$1:$I$89,3,0)*VLOOKUP('Données projet'!$B$13,Paramètres!$A$1:$I$89,5,0)</f>
        <v>541.46039999999982</v>
      </c>
      <c r="CV108" s="13">
        <f t="shared" si="95"/>
        <v>119.93104028470384</v>
      </c>
      <c r="CW108" s="20">
        <f t="shared" si="67"/>
        <v>1151.9234251625255</v>
      </c>
      <c r="CX108" s="59">
        <f t="shared" si="68"/>
        <v>1445.2567584958588</v>
      </c>
      <c r="CY108" s="59">
        <f ca="1">AVERAGE(OFFSET($CX$3,0,0,'Données projet'!$E$13+1,1))-AVERAGE(OFFSET($H$3,0,0,'Données projet'!$E$13+1,1))</f>
        <v>805.04572055352492</v>
      </c>
      <c r="CZ108" s="59">
        <f t="shared" si="96"/>
        <v>708.66645042414962</v>
      </c>
      <c r="DA108" s="15">
        <f>IF(ISNA(VLOOKUP(A108,'Données projet'!$A$139:$I$159,3,0)),0,VLOOKUP(A108,'Données projet'!$A$139:$I$159,3,0))</f>
        <v>20</v>
      </c>
      <c r="DB108" s="15">
        <f>IF(ISNA(VLOOKUP(A108,'Données projet'!$A$139:$I$159,4,0)),0,VLOOKUP(A108,'Données projet'!$A$139:$I$159,4,0))</f>
        <v>569</v>
      </c>
      <c r="DC108" s="16">
        <f>IF(ISNA(VLOOKUP(A108,'Données projet'!$A$139:$I$159,5,0)),0%,VLOOKUP(A108,'Données projet'!$A$139:$I$159,5,0)*VLOOKUP('Données projet'!$B$13,Paramètres!$A$1:$I$89,7,0))</f>
        <v>0.25800000000000001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247.90956421386329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247.90956421386329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514</v>
      </c>
      <c r="DM108" s="12">
        <f>VLOOKUP(A108,'Données projet'!$A$165:$I$185,9,0)</f>
        <v>5.6</v>
      </c>
      <c r="DN108" s="12">
        <f t="array" ref="DN108">INDEX(DM:DM,MIN(IF(ISNUMBER(DM108:DM304),ROW(DM108:DM304),"")))</f>
        <v>5.6</v>
      </c>
      <c r="DO108" s="12">
        <f>IF('Données projet'!$A$166&gt;35,DO107+DN108-DW107,IF(A108&lt;'Données projet'!$A$166,$DL$205^A108,IF(A108='Données projet'!$A$166,'Données projet'!$B$166,DO107+DN108-DW107)))</f>
        <v>513.99999999999989</v>
      </c>
      <c r="DP108" s="17">
        <f>DO108*VLOOKUP('Données projet'!$B$14,Paramètres!$A$1:$I$89,3,0)*VLOOKUP('Données projet'!$B$14,Paramètres!$A$1:$I$89,5,0)</f>
        <v>344.79119999999995</v>
      </c>
      <c r="DQ108" s="13">
        <f t="shared" si="97"/>
        <v>80.489031051509343</v>
      </c>
      <c r="DR108" s="20">
        <f t="shared" si="70"/>
        <v>740.696402414712</v>
      </c>
      <c r="DS108" s="59">
        <f t="shared" si="71"/>
        <v>1034.0297357480454</v>
      </c>
      <c r="DT108" s="59">
        <f ca="1">AVERAGE(OFFSET($DS$3,0,0,'Données projet'!$E$14+1,1))-AVERAGE(OFFSET($H$3,0,0,'Données projet'!$E$14+1,1))</f>
        <v>482.69499576870095</v>
      </c>
      <c r="DU108" s="59">
        <f t="shared" si="98"/>
        <v>384.28918352579575</v>
      </c>
      <c r="DV108" s="15">
        <f>IF(ISNA(VLOOKUP(A108,'Données projet'!$A$165:$I$185,3,0)),0,VLOOKUP(A108,'Données projet'!$A$165:$I$185,3,0))</f>
        <v>20</v>
      </c>
      <c r="DW108" s="15">
        <f>IF(ISNA(VLOOKUP(A108,'Données projet'!$A$165:$I$185,4,0)),0,VLOOKUP(A108,'Données projet'!$A$165:$I$185,4,0))</f>
        <v>514</v>
      </c>
      <c r="DX108" s="16">
        <f>IF(ISNA(VLOOKUP(A108,'Données projet'!$A$165:$I$185,5,0)),0%,VLOOKUP(A108,'Données projet'!$A$165:$I$185,5,0)*VLOOKUP('Données projet'!$B$14,Paramètres!$A$1:$I$89,7,0))</f>
        <v>0.318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153.35553355606535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153.35553355606535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1.7053025658242404E-13</v>
      </c>
      <c r="EK108" s="17">
        <f>EJ108*VLOOKUP('Données projet'!$B$15,Paramètres!$A$1:$I$89,3,0)*VLOOKUP('Données projet'!$B$15,Paramètres!$A$1:$I$89,5,0)</f>
        <v>1.250327841262333E-13</v>
      </c>
      <c r="EL108" s="13">
        <f t="shared" si="99"/>
        <v>1.8301318724634299E-12</v>
      </c>
      <c r="EM108" s="20">
        <f t="shared" si="73"/>
        <v>3.405245110226996E-12</v>
      </c>
      <c r="EN108" s="59">
        <f t="shared" si="74"/>
        <v>293.33333333333672</v>
      </c>
      <c r="EO108" s="59">
        <f ca="1">AVERAGE(OFFSET($EN$3,0,0,'Données projet'!$E$15+1,1))-AVERAGE(OFFSET($H$3,0,0,'Données projet'!$E$15+1,1))</f>
        <v>197.34725966440715</v>
      </c>
      <c r="EP108" s="59">
        <f t="shared" si="100"/>
        <v>240.16326570529532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14.721424344317072</v>
      </c>
      <c r="EW108" s="21">
        <f>EXP(-LN(2)/25)*EW107+(1-EXP(-LN(2)/25))/(LN(2)/25)*Calculateur!ER108*Calculateur!ET108*VLOOKUP('Données projet'!$B$15,Paramètres!$A$1:$I$89,3,0)*0.475*44/12</f>
        <v>6.7030105068475114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21.424434851164584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2.2737367544323206E-13</v>
      </c>
      <c r="FF108" s="17">
        <f>FE108*VLOOKUP('Données projet'!$B$16,Paramètres!$A$1:$I$89,3,0)*VLOOKUP('Données projet'!$B$16,Paramètres!$A$1:$I$89,5,0)</f>
        <v>1.2710188457276673E-13</v>
      </c>
      <c r="FG108" s="13">
        <f t="shared" si="101"/>
        <v>1.856866851063998E-12</v>
      </c>
      <c r="FH108" s="20">
        <f t="shared" si="76"/>
        <v>3.4554122145673649E-12</v>
      </c>
      <c r="FI108" s="59">
        <f t="shared" si="77"/>
        <v>293.33333333333678</v>
      </c>
      <c r="FJ108" s="59">
        <f ca="1">AVERAGE(OFFSET($FI$3,0,0,'Données projet'!$E$16+1,1))-AVERAGE(OFFSET($H$3,0,0,'Données projet'!$E$16+1,1))</f>
        <v>346.42094266871379</v>
      </c>
      <c r="FK108" s="59">
        <f t="shared" si="102"/>
        <v>453.48153556975973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70.246483358198105</v>
      </c>
      <c r="FR108" s="21">
        <f>EXP(-LN(2)/25)*FR107+(1-EXP(-LN(2)/25))/(LN(2)/25)*Calculateur!FM108*Calculateur!FO108*VLOOKUP('Données projet'!$B$16,Paramètres!$A$1:$I$89,3,0)*0.475*44/12</f>
        <v>30.298472515974392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100.5449558741725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-1.1368683772161603E-13</v>
      </c>
      <c r="GA108" s="17">
        <f>FZ108*VLOOKUP('Données projet'!$B$17,Paramètres!$A$1:$I$89,3,0)*VLOOKUP('Données projet'!$B$17,Paramètres!$A$1:$I$89,5,0)</f>
        <v>-5.3205440053716299E-14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198.26255998041</v>
      </c>
      <c r="GF108" s="59">
        <f t="shared" si="104"/>
        <v>238.62101708181166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45.025836559311095</v>
      </c>
      <c r="GM108" s="21">
        <f>EXP(-LN(2)/25)*GM107+(1-EXP(-LN(2)/25))/(LN(2)/25)*Calculateur!GH108*Calculateur!GJ108*VLOOKUP('Données projet'!$B$17,Paramètres!$A$1:$I$89,3,0)*0.475*44/12</f>
        <v>17.88131553756628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62.907152096877375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>
        <f>GU108*VLOOKUP('Données projet'!$B$18,Paramètres!$A$1:$I$89,3,0)*VLOOKUP('Données projet'!$B$18,Paramètres!$A$1:$I$89,5,0)</f>
        <v>0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604.0566904089452</v>
      </c>
      <c r="HA108" s="59">
        <f t="shared" si="106"/>
        <v>369.5187835902687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131.69859901545681</v>
      </c>
      <c r="HH108" s="21">
        <f>EXP(-LN(2)/25)*HH107+(1-EXP(-LN(2)/25))/(LN(2)/25)*Calculateur!HC108*Calculateur!HE108*VLOOKUP('Données projet'!$B$18,Paramètres!$A$1:$I$89,3,0)*0.475*44/12</f>
        <v>50.528147747197082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182.22674676265387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</v>
      </c>
      <c r="N109" s="13">
        <f>IF('Données projet'!$A$36&gt;35,N108+M109-V108,IF(A109&lt;'Données projet'!$A$36,$K$205^A109,IF(A109='Données projet'!$A$36,'Données projet'!$B$36,N108+M109-V108)))</f>
        <v>321.99999999999972</v>
      </c>
      <c r="O109" s="13">
        <f>N109*VLOOKUP('Données projet'!$B$9,Paramètres!$A$1:$I$89,3,0)*VLOOKUP('Données projet'!$B$9,Paramètres!$A$1:$I$89,5,0)</f>
        <v>291.34559999999971</v>
      </c>
      <c r="P109" s="13">
        <f t="shared" si="87"/>
        <v>69.359089490698651</v>
      </c>
      <c r="Q109" s="20">
        <f t="shared" si="107"/>
        <v>628.22733419629958</v>
      </c>
      <c r="R109" s="59">
        <f t="shared" si="55"/>
        <v>921.56066752963284</v>
      </c>
      <c r="S109" s="59">
        <f ca="1">AVERAGE(OFFSET($R$3,0,0,'Données projet'!$E$9+1,1))-AVERAGE(OFFSET($H$3,0,0,'Données projet'!$E$9+1,1))</f>
        <v>528.20489749461376</v>
      </c>
      <c r="T109" s="59">
        <f t="shared" si="88"/>
        <v>276.26988364830532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52.09919936501214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52.09919936501214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2.2737367544323206E-13</v>
      </c>
      <c r="AJ109" s="13">
        <f>AI109*VLOOKUP('Données projet'!$B$10,Paramètres!$A$1:$I$89,3,0)*VLOOKUP('Données projet'!$B$10,Paramètres!$A$1:$I$89,5,0)</f>
        <v>2.0572770154103635E-13</v>
      </c>
      <c r="AK109" s="13">
        <f t="shared" si="89"/>
        <v>2.8416956338469711E-12</v>
      </c>
      <c r="AL109" s="20">
        <f t="shared" si="58"/>
        <v>5.3075956424674458E-12</v>
      </c>
      <c r="AM109" s="59">
        <f t="shared" si="59"/>
        <v>293.3333333333386</v>
      </c>
      <c r="AN109" s="59">
        <f ca="1">AVERAGE(OFFSET($AM$3,0,0,'Données projet'!$E$10+1,1))-AVERAGE(OFFSET($H$3,0,0,'Données projet'!$E$10+1,1))</f>
        <v>436.23918637269577</v>
      </c>
      <c r="AO109" s="59">
        <f t="shared" si="90"/>
        <v>611.43967996341894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21.816919094858232</v>
      </c>
      <c r="AV109" s="21">
        <f>EXP(-LN(2)/25)*AV108+(1-EXP(-LN(2)/25))/(LN(2)/25)*Calculateur!AQ109*Calculateur!AS109*VLOOKUP('Données projet'!$B$10,Paramètres!$A$1:$I$89,3,0)*0.475*44/12</f>
        <v>7.9769927476100344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29.793911842468265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4.4337866711430253E-14</v>
      </c>
      <c r="BF109" s="13">
        <f t="shared" si="91"/>
        <v>7.3222115536967035E-13</v>
      </c>
      <c r="BG109" s="20">
        <f t="shared" si="61"/>
        <v>1.3525069634579169E-12</v>
      </c>
      <c r="BH109" s="59">
        <f t="shared" si="62"/>
        <v>293.33333333333468</v>
      </c>
      <c r="BI109" s="59">
        <f ca="1">AVERAGE(OFFSET($BH$3,0,0,'Données projet'!$E$11+1,1))-AVERAGE(OFFSET($H$3,0,0,'Données projet'!$E$11+1,1))</f>
        <v>288.82868507674738</v>
      </c>
      <c r="BJ109" s="59">
        <f t="shared" si="92"/>
        <v>283.48738729114024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42.505405580469301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42.505405580469301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2.1316282072803006E-14</v>
      </c>
      <c r="BZ109" s="13">
        <f>BY109*VLOOKUP('Données projet'!$B$12,Paramètres!$A$1:$I$89,3,0)*VLOOKUP('Données projet'!$B$12,Paramètres!$A$1:$I$89,5,0)</f>
        <v>1.8621904018800709E-14</v>
      </c>
      <c r="CA109" s="13">
        <f t="shared" si="93"/>
        <v>3.40208645124969E-13</v>
      </c>
      <c r="CB109" s="20">
        <f t="shared" si="64"/>
        <v>6.2496320642539887E-13</v>
      </c>
      <c r="CC109" s="59">
        <f t="shared" si="65"/>
        <v>293.33333333333394</v>
      </c>
      <c r="CD109" s="59">
        <f ca="1">AVERAGE(OFFSET($CC$3,0,0,'Données projet'!$E$12+1,1))-AVERAGE(OFFSET($H$3,0,0,'Données projet'!$E$12+1,1))</f>
        <v>93.329407403816901</v>
      </c>
      <c r="CE109" s="59">
        <f t="shared" si="94"/>
        <v>90.925148357295313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10.392231243178555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10.392231243178555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-2.2737367544323206E-13</v>
      </c>
      <c r="CU109" s="17">
        <f>CT109*VLOOKUP('Données projet'!$B$13,Paramètres!$A$1:$I$89,3,0)*VLOOKUP('Données projet'!$B$13,Paramètres!$A$1:$I$89,5,0)</f>
        <v>-2.1636878955177963E-13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805.04572055352492</v>
      </c>
      <c r="CZ109" s="59">
        <f t="shared" si="96"/>
        <v>708.66645042414962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243.04820886953286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243.04820886953286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-1.1368683772161603E-13</v>
      </c>
      <c r="DP109" s="17">
        <f>DO109*VLOOKUP('Données projet'!$B$14,Paramètres!$A$1:$I$89,3,0)*VLOOKUP('Données projet'!$B$14,Paramètres!$A$1:$I$89,5,0)</f>
        <v>-7.626113074366004E-14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482.69499576870095</v>
      </c>
      <c r="DU109" s="59">
        <f t="shared" si="98"/>
        <v>384.28918352579575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150.34832508067029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150.34832508067029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1.7053025658242404E-13</v>
      </c>
      <c r="EK109" s="17">
        <f>EJ109*VLOOKUP('Données projet'!$B$15,Paramètres!$A$1:$I$89,3,0)*VLOOKUP('Données projet'!$B$15,Paramètres!$A$1:$I$89,5,0)</f>
        <v>1.250327841262333E-13</v>
      </c>
      <c r="EL109" s="13">
        <f t="shared" si="99"/>
        <v>1.8301318724634299E-12</v>
      </c>
      <c r="EM109" s="20">
        <f t="shared" si="73"/>
        <v>3.405245110226996E-12</v>
      </c>
      <c r="EN109" s="59">
        <f t="shared" si="74"/>
        <v>293.33333333333672</v>
      </c>
      <c r="EO109" s="59">
        <f ca="1">AVERAGE(OFFSET($EN$3,0,0,'Données projet'!$E$15+1,1))-AVERAGE(OFFSET($H$3,0,0,'Données projet'!$E$15+1,1))</f>
        <v>197.34725966440715</v>
      </c>
      <c r="EP109" s="59">
        <f t="shared" si="100"/>
        <v>240.16326570529532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14.432746192107244</v>
      </c>
      <c r="EW109" s="21">
        <f>EXP(-LN(2)/25)*EW108+(1-EXP(-LN(2)/25))/(LN(2)/25)*Calculateur!ER109*Calculateur!ET109*VLOOKUP('Données projet'!$B$15,Paramètres!$A$1:$I$89,3,0)*0.475*44/12</f>
        <v>6.5197163320417637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20.952462524149006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2.2737367544323206E-13</v>
      </c>
      <c r="FF109" s="17">
        <f>FE109*VLOOKUP('Données projet'!$B$16,Paramètres!$A$1:$I$89,3,0)*VLOOKUP('Données projet'!$B$16,Paramètres!$A$1:$I$89,5,0)</f>
        <v>1.2710188457276673E-13</v>
      </c>
      <c r="FG109" s="13">
        <f t="shared" si="101"/>
        <v>1.856866851063998E-12</v>
      </c>
      <c r="FH109" s="20">
        <f t="shared" si="76"/>
        <v>3.4554122145673649E-12</v>
      </c>
      <c r="FI109" s="59">
        <f t="shared" si="77"/>
        <v>293.33333333333678</v>
      </c>
      <c r="FJ109" s="59">
        <f ca="1">AVERAGE(OFFSET($FI$3,0,0,'Données projet'!$E$16+1,1))-AVERAGE(OFFSET($H$3,0,0,'Données projet'!$E$16+1,1))</f>
        <v>346.42094266871379</v>
      </c>
      <c r="FK109" s="59">
        <f t="shared" si="102"/>
        <v>453.48153556975973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68.868992665667989</v>
      </c>
      <c r="FR109" s="21">
        <f>EXP(-LN(2)/25)*FR108+(1-EXP(-LN(2)/25))/(LN(2)/25)*Calculateur!FM109*Calculateur!FO109*VLOOKUP('Données projet'!$B$16,Paramètres!$A$1:$I$89,3,0)*0.475*44/12</f>
        <v>29.469959191697651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98.338951857365643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-1.1368683772161603E-13</v>
      </c>
      <c r="GA109" s="17">
        <f>FZ109*VLOOKUP('Données projet'!$B$17,Paramètres!$A$1:$I$89,3,0)*VLOOKUP('Données projet'!$B$17,Paramètres!$A$1:$I$89,5,0)</f>
        <v>-5.3205440053716299E-14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198.26255998041</v>
      </c>
      <c r="GF109" s="59">
        <f t="shared" si="104"/>
        <v>238.62101708181166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44.142907367431555</v>
      </c>
      <c r="GM109" s="21">
        <f>EXP(-LN(2)/25)*GM108+(1-EXP(-LN(2)/25))/(LN(2)/25)*Calculateur!GH109*Calculateur!GJ109*VLOOKUP('Données projet'!$B$17,Paramètres!$A$1:$I$89,3,0)*0.475*44/12</f>
        <v>17.392350023854014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61.535257391285569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>
        <f>GU109*VLOOKUP('Données projet'!$B$18,Paramètres!$A$1:$I$89,3,0)*VLOOKUP('Données projet'!$B$18,Paramètres!$A$1:$I$89,5,0)</f>
        <v>0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604.0566904089452</v>
      </c>
      <c r="HA109" s="59">
        <f t="shared" si="106"/>
        <v>369.5187835902687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129.11606981697736</v>
      </c>
      <c r="HH109" s="21">
        <f>EXP(-LN(2)/25)*HH108+(1-EXP(-LN(2)/25))/(LN(2)/25)*Calculateur!HC109*Calculateur!HE109*VLOOKUP('Données projet'!$B$18,Paramètres!$A$1:$I$89,3,0)*0.475*44/12</f>
        <v>49.14645288989017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178.26252270686751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</v>
      </c>
      <c r="N110" s="13">
        <f>IF('Données projet'!$A$36&gt;35,N109+M110-V109,IF(A110&lt;'Données projet'!$A$36,$K$205^A110,IF(A110='Données projet'!$A$36,'Données projet'!$B$36,N109+M110-V109)))</f>
        <v>328.99999999999972</v>
      </c>
      <c r="O110" s="13">
        <f>N110*VLOOKUP('Données projet'!$B$9,Paramètres!$A$1:$I$89,3,0)*VLOOKUP('Données projet'!$B$9,Paramètres!$A$1:$I$89,5,0)</f>
        <v>297.67919999999975</v>
      </c>
      <c r="P110" s="13">
        <f t="shared" si="87"/>
        <v>70.689714967168072</v>
      </c>
      <c r="Q110" s="20">
        <f t="shared" si="107"/>
        <v>641.57586023448391</v>
      </c>
      <c r="R110" s="59">
        <f t="shared" si="55"/>
        <v>934.90919356781728</v>
      </c>
      <c r="S110" s="59">
        <f ca="1">AVERAGE(OFFSET($R$3,0,0,'Données projet'!$E$9+1,1))-AVERAGE(OFFSET($H$3,0,0,'Données projet'!$E$9+1,1))</f>
        <v>528.20489749461376</v>
      </c>
      <c r="T110" s="59">
        <f t="shared" si="88"/>
        <v>276.26988364830532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51.077565842838112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51.077565842838112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2.2737367544323206E-13</v>
      </c>
      <c r="AJ110" s="13">
        <f>AI110*VLOOKUP('Données projet'!$B$10,Paramètres!$A$1:$I$89,3,0)*VLOOKUP('Données projet'!$B$10,Paramètres!$A$1:$I$89,5,0)</f>
        <v>2.0572770154103635E-13</v>
      </c>
      <c r="AK110" s="13">
        <f t="shared" si="89"/>
        <v>2.8416956338469711E-12</v>
      </c>
      <c r="AL110" s="20">
        <f t="shared" si="58"/>
        <v>5.3075956424674458E-12</v>
      </c>
      <c r="AM110" s="59">
        <f t="shared" si="59"/>
        <v>293.3333333333386</v>
      </c>
      <c r="AN110" s="59">
        <f ca="1">AVERAGE(OFFSET($AM$3,0,0,'Données projet'!$E$10+1,1))-AVERAGE(OFFSET($H$3,0,0,'Données projet'!$E$10+1,1))</f>
        <v>436.23918637269577</v>
      </c>
      <c r="AO110" s="59">
        <f t="shared" si="90"/>
        <v>611.43967996341894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21.389102618414753</v>
      </c>
      <c r="AV110" s="21">
        <f>EXP(-LN(2)/25)*AV109+(1-EXP(-LN(2)/25))/(LN(2)/25)*Calculateur!AQ110*Calculateur!AS110*VLOOKUP('Données projet'!$B$10,Paramètres!$A$1:$I$89,3,0)*0.475*44/12</f>
        <v>7.7588614614348215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29.147964079849576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4.4337866711430253E-14</v>
      </c>
      <c r="BF110" s="13">
        <f t="shared" si="91"/>
        <v>7.3222115536967035E-13</v>
      </c>
      <c r="BG110" s="20">
        <f t="shared" si="61"/>
        <v>1.3525069634579169E-12</v>
      </c>
      <c r="BH110" s="59">
        <f t="shared" si="62"/>
        <v>293.33333333333468</v>
      </c>
      <c r="BI110" s="59">
        <f ca="1">AVERAGE(OFFSET($BH$3,0,0,'Données projet'!$E$11+1,1))-AVERAGE(OFFSET($H$3,0,0,'Données projet'!$E$11+1,1))</f>
        <v>288.82868507674738</v>
      </c>
      <c r="BJ110" s="59">
        <f t="shared" si="92"/>
        <v>283.48738729114024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41.671900502773745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41.671900502773745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2.1316282072803006E-14</v>
      </c>
      <c r="BZ110" s="13">
        <f>BY110*VLOOKUP('Données projet'!$B$12,Paramètres!$A$1:$I$89,3,0)*VLOOKUP('Données projet'!$B$12,Paramètres!$A$1:$I$89,5,0)</f>
        <v>1.8621904018800709E-14</v>
      </c>
      <c r="CA110" s="13">
        <f t="shared" si="93"/>
        <v>3.40208645124969E-13</v>
      </c>
      <c r="CB110" s="20">
        <f t="shared" si="64"/>
        <v>6.2496320642539887E-13</v>
      </c>
      <c r="CC110" s="59">
        <f t="shared" si="65"/>
        <v>293.33333333333394</v>
      </c>
      <c r="CD110" s="59">
        <f ca="1">AVERAGE(OFFSET($CC$3,0,0,'Données projet'!$E$12+1,1))-AVERAGE(OFFSET($H$3,0,0,'Données projet'!$E$12+1,1))</f>
        <v>93.329407403816901</v>
      </c>
      <c r="CE110" s="59">
        <f t="shared" si="94"/>
        <v>90.925148357295313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10.188445927134994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10.188445927134994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-2.2737367544323206E-13</v>
      </c>
      <c r="CU110" s="17">
        <f>CT110*VLOOKUP('Données projet'!$B$13,Paramètres!$A$1:$I$89,3,0)*VLOOKUP('Données projet'!$B$13,Paramètres!$A$1:$I$89,5,0)</f>
        <v>-2.1636878955177963E-13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805.04572055352492</v>
      </c>
      <c r="CZ110" s="59">
        <f t="shared" si="96"/>
        <v>708.66645042414962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238.28218173837078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238.28218173837078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-1.1368683772161603E-13</v>
      </c>
      <c r="DP110" s="17">
        <f>DO110*VLOOKUP('Données projet'!$B$14,Paramètres!$A$1:$I$89,3,0)*VLOOKUP('Données projet'!$B$14,Paramètres!$A$1:$I$89,5,0)</f>
        <v>-7.626113074366004E-14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482.69499576870095</v>
      </c>
      <c r="DU110" s="59">
        <f t="shared" si="98"/>
        <v>384.28918352579575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147.40008612926169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147.40008612926169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1.7053025658242404E-13</v>
      </c>
      <c r="EK110" s="17">
        <f>EJ110*VLOOKUP('Données projet'!$B$15,Paramètres!$A$1:$I$89,3,0)*VLOOKUP('Données projet'!$B$15,Paramètres!$A$1:$I$89,5,0)</f>
        <v>1.250327841262333E-13</v>
      </c>
      <c r="EL110" s="13">
        <f t="shared" si="99"/>
        <v>1.8301318724634299E-12</v>
      </c>
      <c r="EM110" s="20">
        <f t="shared" si="73"/>
        <v>3.405245110226996E-12</v>
      </c>
      <c r="EN110" s="59">
        <f t="shared" si="74"/>
        <v>293.33333333333672</v>
      </c>
      <c r="EO110" s="59">
        <f ca="1">AVERAGE(OFFSET($EN$3,0,0,'Données projet'!$E$15+1,1))-AVERAGE(OFFSET($H$3,0,0,'Données projet'!$E$15+1,1))</f>
        <v>197.34725966440715</v>
      </c>
      <c r="EP110" s="59">
        <f t="shared" si="100"/>
        <v>240.16326570529532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14.149728842385963</v>
      </c>
      <c r="EW110" s="21">
        <f>EXP(-LN(2)/25)*EW109+(1-EXP(-LN(2)/25))/(LN(2)/25)*Calculateur!ER110*Calculateur!ET110*VLOOKUP('Données projet'!$B$15,Paramètres!$A$1:$I$89,3,0)*0.475*44/12</f>
        <v>6.3414343460851006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20.491163188471063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2.2737367544323206E-13</v>
      </c>
      <c r="FF110" s="17">
        <f>FE110*VLOOKUP('Données projet'!$B$16,Paramètres!$A$1:$I$89,3,0)*VLOOKUP('Données projet'!$B$16,Paramètres!$A$1:$I$89,5,0)</f>
        <v>1.2710188457276673E-13</v>
      </c>
      <c r="FG110" s="13">
        <f t="shared" si="101"/>
        <v>1.856866851063998E-12</v>
      </c>
      <c r="FH110" s="20">
        <f t="shared" si="76"/>
        <v>3.4554122145673649E-12</v>
      </c>
      <c r="FI110" s="59">
        <f t="shared" si="77"/>
        <v>293.33333333333678</v>
      </c>
      <c r="FJ110" s="59">
        <f ca="1">AVERAGE(OFFSET($FI$3,0,0,'Données projet'!$E$16+1,1))-AVERAGE(OFFSET($H$3,0,0,'Données projet'!$E$16+1,1))</f>
        <v>346.42094266871379</v>
      </c>
      <c r="FK110" s="59">
        <f t="shared" si="102"/>
        <v>453.48153556975973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67.51851372543203</v>
      </c>
      <c r="FR110" s="21">
        <f>EXP(-LN(2)/25)*FR109+(1-EXP(-LN(2)/25))/(LN(2)/25)*Calculateur!FM110*Calculateur!FO110*VLOOKUP('Données projet'!$B$16,Paramètres!$A$1:$I$89,3,0)*0.475*44/12</f>
        <v>28.664101607842881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96.18261533327491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-1.1368683772161603E-13</v>
      </c>
      <c r="GA110" s="17">
        <f>FZ110*VLOOKUP('Données projet'!$B$17,Paramètres!$A$1:$I$89,3,0)*VLOOKUP('Données projet'!$B$17,Paramètres!$A$1:$I$89,5,0)</f>
        <v>-5.3205440053716299E-14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198.26255998041</v>
      </c>
      <c r="GF110" s="59">
        <f t="shared" si="104"/>
        <v>238.62101708181166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43.277291878471139</v>
      </c>
      <c r="GM110" s="21">
        <f>EXP(-LN(2)/25)*GM109+(1-EXP(-LN(2)/25))/(LN(2)/25)*Calculateur!GH110*Calculateur!GJ110*VLOOKUP('Données projet'!$B$17,Paramètres!$A$1:$I$89,3,0)*0.475*44/12</f>
        <v>16.916755297827788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60.194047176298923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>
        <f>GU110*VLOOKUP('Données projet'!$B$18,Paramètres!$A$1:$I$89,3,0)*VLOOKUP('Données projet'!$B$18,Paramètres!$A$1:$I$89,5,0)</f>
        <v>0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604.0566904089452</v>
      </c>
      <c r="HA110" s="59">
        <f t="shared" si="106"/>
        <v>369.5187835902687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126.5841824408928</v>
      </c>
      <c r="HH110" s="21">
        <f>EXP(-LN(2)/25)*HH109+(1-EXP(-LN(2)/25))/(LN(2)/25)*Calculateur!HC110*Calculateur!HE110*VLOOKUP('Données projet'!$B$18,Paramètres!$A$1:$I$89,3,0)*0.475*44/12</f>
        <v>47.802540551116493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174.38672299200931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</v>
      </c>
      <c r="N111" s="13">
        <f>IF('Données projet'!$A$36&gt;35,N110+M111-V110,IF(A111&lt;'Données projet'!$A$36,$K$205^A111,IF(A111='Données projet'!$A$36,'Données projet'!$B$36,N110+M111-V110)))</f>
        <v>335.99999999999972</v>
      </c>
      <c r="O111" s="13">
        <f>N111*VLOOKUP('Données projet'!$B$9,Paramètres!$A$1:$I$89,3,0)*VLOOKUP('Données projet'!$B$9,Paramètres!$A$1:$I$89,5,0)</f>
        <v>304.01279999999974</v>
      </c>
      <c r="P111" s="13">
        <f t="shared" si="87"/>
        <v>72.017048837085767</v>
      </c>
      <c r="Q111" s="20">
        <f t="shared" si="107"/>
        <v>654.91865339125718</v>
      </c>
      <c r="R111" s="59">
        <f t="shared" si="55"/>
        <v>948.25198672459055</v>
      </c>
      <c r="S111" s="59">
        <f ca="1">AVERAGE(OFFSET($R$3,0,0,'Données projet'!$E$9+1,1))-AVERAGE(OFFSET($H$3,0,0,'Données projet'!$E$9+1,1))</f>
        <v>528.20489749461376</v>
      </c>
      <c r="T111" s="59">
        <f t="shared" si="88"/>
        <v>276.26988364830532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50.075965930898995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50.075965930898995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2.2737367544323206E-13</v>
      </c>
      <c r="AJ111" s="13">
        <f>AI111*VLOOKUP('Données projet'!$B$10,Paramètres!$A$1:$I$89,3,0)*VLOOKUP('Données projet'!$B$10,Paramètres!$A$1:$I$89,5,0)</f>
        <v>2.0572770154103635E-13</v>
      </c>
      <c r="AK111" s="13">
        <f t="shared" si="89"/>
        <v>2.8416956338469711E-12</v>
      </c>
      <c r="AL111" s="20">
        <f t="shared" si="58"/>
        <v>5.3075956424674458E-12</v>
      </c>
      <c r="AM111" s="59">
        <f t="shared" si="59"/>
        <v>293.3333333333386</v>
      </c>
      <c r="AN111" s="59">
        <f ca="1">AVERAGE(OFFSET($AM$3,0,0,'Données projet'!$E$10+1,1))-AVERAGE(OFFSET($H$3,0,0,'Données projet'!$E$10+1,1))</f>
        <v>436.23918637269577</v>
      </c>
      <c r="AO111" s="59">
        <f t="shared" si="90"/>
        <v>611.43967996341894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20.969675362132044</v>
      </c>
      <c r="AV111" s="21">
        <f>EXP(-LN(2)/25)*AV110+(1-EXP(-LN(2)/25))/(LN(2)/25)*Calculateur!AQ111*Calculateur!AS111*VLOOKUP('Données projet'!$B$10,Paramètres!$A$1:$I$89,3,0)*0.475*44/12</f>
        <v>7.5466949867510955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28.516370348883139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4.4337866711430253E-14</v>
      </c>
      <c r="BF111" s="13">
        <f t="shared" si="91"/>
        <v>7.3222115536967035E-13</v>
      </c>
      <c r="BG111" s="20">
        <f t="shared" si="61"/>
        <v>1.3525069634579169E-12</v>
      </c>
      <c r="BH111" s="59">
        <f t="shared" si="62"/>
        <v>293.33333333333468</v>
      </c>
      <c r="BI111" s="59">
        <f ca="1">AVERAGE(OFFSET($BH$3,0,0,'Données projet'!$E$11+1,1))-AVERAGE(OFFSET($H$3,0,0,'Données projet'!$E$11+1,1))</f>
        <v>288.82868507674738</v>
      </c>
      <c r="BJ111" s="59">
        <f t="shared" si="92"/>
        <v>283.48738729114024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40.854739951263902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40.854739951263902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2.1316282072803006E-14</v>
      </c>
      <c r="BZ111" s="13">
        <f>BY111*VLOOKUP('Données projet'!$B$12,Paramètres!$A$1:$I$89,3,0)*VLOOKUP('Données projet'!$B$12,Paramètres!$A$1:$I$89,5,0)</f>
        <v>1.8621904018800709E-14</v>
      </c>
      <c r="CA111" s="13">
        <f t="shared" si="93"/>
        <v>3.40208645124969E-13</v>
      </c>
      <c r="CB111" s="20">
        <f t="shared" si="64"/>
        <v>6.2496320642539887E-13</v>
      </c>
      <c r="CC111" s="59">
        <f t="shared" si="65"/>
        <v>293.33333333333394</v>
      </c>
      <c r="CD111" s="59">
        <f ca="1">AVERAGE(OFFSET($CC$3,0,0,'Données projet'!$E$12+1,1))-AVERAGE(OFFSET($H$3,0,0,'Données projet'!$E$12+1,1))</f>
        <v>93.329407403816901</v>
      </c>
      <c r="CE111" s="59">
        <f t="shared" si="94"/>
        <v>90.925148357295313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9.9886567168422769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9.9886567168422769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-2.2737367544323206E-13</v>
      </c>
      <c r="CU111" s="17">
        <f>CT111*VLOOKUP('Données projet'!$B$13,Paramètres!$A$1:$I$89,3,0)*VLOOKUP('Données projet'!$B$13,Paramètres!$A$1:$I$89,5,0)</f>
        <v>-2.1636878955177963E-13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805.04572055352492</v>
      </c>
      <c r="CZ111" s="59">
        <f t="shared" si="96"/>
        <v>708.66645042414962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233.60961349226127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233.60961349226127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-1.1368683772161603E-13</v>
      </c>
      <c r="DP111" s="17">
        <f>DO111*VLOOKUP('Données projet'!$B$14,Paramètres!$A$1:$I$89,3,0)*VLOOKUP('Données projet'!$B$14,Paramètres!$A$1:$I$89,5,0)</f>
        <v>-7.626113074366004E-14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482.69499576870095</v>
      </c>
      <c r="DU111" s="59">
        <f t="shared" si="98"/>
        <v>384.28918352579575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144.509660345442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144.509660345442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1.7053025658242404E-13</v>
      </c>
      <c r="EK111" s="17">
        <f>EJ111*VLOOKUP('Données projet'!$B$15,Paramètres!$A$1:$I$89,3,0)*VLOOKUP('Données projet'!$B$15,Paramètres!$A$1:$I$89,5,0)</f>
        <v>1.250327841262333E-13</v>
      </c>
      <c r="EL111" s="13">
        <f t="shared" si="99"/>
        <v>1.8301318724634299E-12</v>
      </c>
      <c r="EM111" s="20">
        <f t="shared" si="73"/>
        <v>3.405245110226996E-12</v>
      </c>
      <c r="EN111" s="59">
        <f t="shared" si="74"/>
        <v>293.33333333333672</v>
      </c>
      <c r="EO111" s="59">
        <f ca="1">AVERAGE(OFFSET($EN$3,0,0,'Données projet'!$E$15+1,1))-AVERAGE(OFFSET($H$3,0,0,'Données projet'!$E$15+1,1))</f>
        <v>197.34725966440715</v>
      </c>
      <c r="EP111" s="59">
        <f t="shared" si="100"/>
        <v>240.16326570529532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13.872261290269179</v>
      </c>
      <c r="EW111" s="21">
        <f>EXP(-LN(2)/25)*EW110+(1-EXP(-LN(2)/25))/(LN(2)/25)*Calculateur!ER111*Calculateur!ET111*VLOOKUP('Données projet'!$B$15,Paramètres!$A$1:$I$89,3,0)*0.475*44/12</f>
        <v>6.1680274904098651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20.040288780679045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2.2737367544323206E-13</v>
      </c>
      <c r="FF111" s="17">
        <f>FE111*VLOOKUP('Données projet'!$B$16,Paramètres!$A$1:$I$89,3,0)*VLOOKUP('Données projet'!$B$16,Paramètres!$A$1:$I$89,5,0)</f>
        <v>1.2710188457276673E-13</v>
      </c>
      <c r="FG111" s="13">
        <f t="shared" si="101"/>
        <v>1.856866851063998E-12</v>
      </c>
      <c r="FH111" s="20">
        <f t="shared" si="76"/>
        <v>3.4554122145673649E-12</v>
      </c>
      <c r="FI111" s="59">
        <f t="shared" si="77"/>
        <v>293.33333333333678</v>
      </c>
      <c r="FJ111" s="59">
        <f ca="1">AVERAGE(OFFSET($FI$3,0,0,'Données projet'!$E$16+1,1))-AVERAGE(OFFSET($H$3,0,0,'Données projet'!$E$16+1,1))</f>
        <v>346.42094266871379</v>
      </c>
      <c r="FK111" s="59">
        <f t="shared" si="102"/>
        <v>453.48153556975973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66.194516853503274</v>
      </c>
      <c r="FR111" s="21">
        <f>EXP(-LN(2)/25)*FR110+(1-EXP(-LN(2)/25))/(LN(2)/25)*Calculateur!FM111*Calculateur!FO111*VLOOKUP('Données projet'!$B$16,Paramètres!$A$1:$I$89,3,0)*0.475*44/12</f>
        <v>27.880280241996825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94.074797095500102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-1.1368683772161603E-13</v>
      </c>
      <c r="GA111" s="17">
        <f>FZ111*VLOOKUP('Données projet'!$B$17,Paramètres!$A$1:$I$89,3,0)*VLOOKUP('Données projet'!$B$17,Paramètres!$A$1:$I$89,5,0)</f>
        <v>-5.3205440053716299E-14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198.26255998041</v>
      </c>
      <c r="GF111" s="59">
        <f t="shared" si="104"/>
        <v>238.62101708181166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42.428650581275924</v>
      </c>
      <c r="GM111" s="21">
        <f>EXP(-LN(2)/25)*GM110+(1-EXP(-LN(2)/25))/(LN(2)/25)*Calculateur!GH111*Calculateur!GJ111*VLOOKUP('Données projet'!$B$17,Paramètres!$A$1:$I$89,3,0)*0.475*44/12</f>
        <v>16.45416573459519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58.882816315871111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>
        <f>GU111*VLOOKUP('Données projet'!$B$18,Paramètres!$A$1:$I$89,3,0)*VLOOKUP('Données projet'!$B$18,Paramètres!$A$1:$I$89,5,0)</f>
        <v>0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604.0566904089452</v>
      </c>
      <c r="HA111" s="59">
        <f t="shared" si="106"/>
        <v>369.5187835902687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124.10194383195446</v>
      </c>
      <c r="HH111" s="21">
        <f>EXP(-LN(2)/25)*HH110+(1-EXP(-LN(2)/25))/(LN(2)/25)*Calculateur!HC111*Calculateur!HE111*VLOOKUP('Données projet'!$B$18,Paramètres!$A$1:$I$89,3,0)*0.475*44/12</f>
        <v>46.49537756591986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170.59732139787431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</v>
      </c>
      <c r="N112" s="13">
        <f>IF('Données projet'!$A$36&gt;35,N111+M112-V111,IF(A112&lt;'Données projet'!$A$36,$K$205^A112,IF(A112='Données projet'!$A$36,'Données projet'!$B$36,N111+M112-V111)))</f>
        <v>342.99999999999972</v>
      </c>
      <c r="O112" s="13">
        <f>N112*VLOOKUP('Données projet'!$B$9,Paramètres!$A$1:$I$89,3,0)*VLOOKUP('Données projet'!$B$9,Paramètres!$A$1:$I$89,5,0)</f>
        <v>310.34639999999973</v>
      </c>
      <c r="P112" s="13">
        <f t="shared" si="87"/>
        <v>73.341167576152998</v>
      </c>
      <c r="Q112" s="20">
        <f t="shared" si="107"/>
        <v>668.25584686179934</v>
      </c>
      <c r="R112" s="59">
        <f t="shared" si="55"/>
        <v>961.58918019513271</v>
      </c>
      <c r="S112" s="59">
        <f ca="1">AVERAGE(OFFSET($R$3,0,0,'Données projet'!$E$9+1,1))-AVERAGE(OFFSET($H$3,0,0,'Données projet'!$E$9+1,1))</f>
        <v>528.20489749461376</v>
      </c>
      <c r="T112" s="59">
        <f t="shared" si="88"/>
        <v>276.26988364830532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49.094006782317379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49.094006782317379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2.2737367544323206E-13</v>
      </c>
      <c r="AJ112" s="13">
        <f>AI112*VLOOKUP('Données projet'!$B$10,Paramètres!$A$1:$I$89,3,0)*VLOOKUP('Données projet'!$B$10,Paramètres!$A$1:$I$89,5,0)</f>
        <v>2.0572770154103635E-13</v>
      </c>
      <c r="AK112" s="13">
        <f t="shared" si="89"/>
        <v>2.8416956338469711E-12</v>
      </c>
      <c r="AL112" s="20">
        <f t="shared" si="58"/>
        <v>5.3075956424674458E-12</v>
      </c>
      <c r="AM112" s="59">
        <f t="shared" si="59"/>
        <v>293.3333333333386</v>
      </c>
      <c r="AN112" s="59">
        <f ca="1">AVERAGE(OFFSET($AM$3,0,0,'Données projet'!$E$10+1,1))-AVERAGE(OFFSET($H$3,0,0,'Données projet'!$E$10+1,1))</f>
        <v>436.23918637269577</v>
      </c>
      <c r="AO112" s="59">
        <f t="shared" si="90"/>
        <v>611.43967996341894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20.558472818519675</v>
      </c>
      <c r="AV112" s="21">
        <f>EXP(-LN(2)/25)*AV111+(1-EXP(-LN(2)/25))/(LN(2)/25)*Calculateur!AQ112*Calculateur!AS112*VLOOKUP('Données projet'!$B$10,Paramètres!$A$1:$I$89,3,0)*0.475*44/12</f>
        <v>7.3403302154749452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27.898803033994621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4.4337866711430253E-14</v>
      </c>
      <c r="BF112" s="13">
        <f t="shared" si="91"/>
        <v>7.3222115536967035E-13</v>
      </c>
      <c r="BG112" s="20">
        <f t="shared" si="61"/>
        <v>1.3525069634579169E-12</v>
      </c>
      <c r="BH112" s="59">
        <f t="shared" si="62"/>
        <v>293.33333333333468</v>
      </c>
      <c r="BI112" s="59">
        <f ca="1">AVERAGE(OFFSET($BH$3,0,0,'Données projet'!$E$11+1,1))-AVERAGE(OFFSET($H$3,0,0,'Données projet'!$E$11+1,1))</f>
        <v>288.82868507674738</v>
      </c>
      <c r="BJ112" s="59">
        <f t="shared" si="92"/>
        <v>283.48738729114024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40.053603419750445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40.053603419750445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2.1316282072803006E-14</v>
      </c>
      <c r="BZ112" s="13">
        <f>BY112*VLOOKUP('Données projet'!$B$12,Paramètres!$A$1:$I$89,3,0)*VLOOKUP('Données projet'!$B$12,Paramètres!$A$1:$I$89,5,0)</f>
        <v>1.8621904018800709E-14</v>
      </c>
      <c r="CA112" s="13">
        <f t="shared" si="93"/>
        <v>3.40208645124969E-13</v>
      </c>
      <c r="CB112" s="20">
        <f t="shared" si="64"/>
        <v>6.2496320642539887E-13</v>
      </c>
      <c r="CC112" s="59">
        <f t="shared" si="65"/>
        <v>293.33333333333394</v>
      </c>
      <c r="CD112" s="59">
        <f ca="1">AVERAGE(OFFSET($CC$3,0,0,'Données projet'!$E$12+1,1))-AVERAGE(OFFSET($H$3,0,0,'Données projet'!$E$12+1,1))</f>
        <v>93.329407403816901</v>
      </c>
      <c r="CE112" s="59">
        <f t="shared" si="94"/>
        <v>90.925148357295313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9.7927852511040143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9.7927852511040143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-2.2737367544323206E-13</v>
      </c>
      <c r="CU112" s="17">
        <f>CT112*VLOOKUP('Données projet'!$B$13,Paramètres!$A$1:$I$89,3,0)*VLOOKUP('Données projet'!$B$13,Paramètres!$A$1:$I$89,5,0)</f>
        <v>-2.1636878955177963E-13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805.04572055352492</v>
      </c>
      <c r="CZ112" s="59">
        <f t="shared" si="96"/>
        <v>708.66645042414962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229.02867145947275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229.02867145947275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-1.1368683772161603E-13</v>
      </c>
      <c r="DP112" s="17">
        <f>DO112*VLOOKUP('Données projet'!$B$14,Paramètres!$A$1:$I$89,3,0)*VLOOKUP('Données projet'!$B$14,Paramètres!$A$1:$I$89,5,0)</f>
        <v>-7.626113074366004E-14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482.69499576870095</v>
      </c>
      <c r="DU112" s="59">
        <f t="shared" si="98"/>
        <v>384.28918352579575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141.67591404825737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141.67591404825737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1.7053025658242404E-13</v>
      </c>
      <c r="EK112" s="17">
        <f>EJ112*VLOOKUP('Données projet'!$B$15,Paramètres!$A$1:$I$89,3,0)*VLOOKUP('Données projet'!$B$15,Paramètres!$A$1:$I$89,5,0)</f>
        <v>1.250327841262333E-13</v>
      </c>
      <c r="EL112" s="13">
        <f t="shared" si="99"/>
        <v>1.8301318724634299E-12</v>
      </c>
      <c r="EM112" s="20">
        <f t="shared" si="73"/>
        <v>3.405245110226996E-12</v>
      </c>
      <c r="EN112" s="59">
        <f t="shared" si="74"/>
        <v>293.33333333333672</v>
      </c>
      <c r="EO112" s="59">
        <f ca="1">AVERAGE(OFFSET($EN$3,0,0,'Données projet'!$E$15+1,1))-AVERAGE(OFFSET($H$3,0,0,'Données projet'!$E$15+1,1))</f>
        <v>197.34725966440715</v>
      </c>
      <c r="EP112" s="59">
        <f t="shared" si="100"/>
        <v>240.16326570529532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13.600234707610909</v>
      </c>
      <c r="EW112" s="21">
        <f>EXP(-LN(2)/25)*EW111+(1-EXP(-LN(2)/25))/(LN(2)/25)*Calculateur!ER112*Calculateur!ET112*VLOOKUP('Données projet'!$B$15,Paramètres!$A$1:$I$89,3,0)*0.475*44/12</f>
        <v>5.9993624543221387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19.599597161933048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2.2737367544323206E-13</v>
      </c>
      <c r="FF112" s="17">
        <f>FE112*VLOOKUP('Données projet'!$B$16,Paramètres!$A$1:$I$89,3,0)*VLOOKUP('Données projet'!$B$16,Paramètres!$A$1:$I$89,5,0)</f>
        <v>1.2710188457276673E-13</v>
      </c>
      <c r="FG112" s="13">
        <f t="shared" si="101"/>
        <v>1.856866851063998E-12</v>
      </c>
      <c r="FH112" s="20">
        <f t="shared" si="76"/>
        <v>3.4554122145673649E-12</v>
      </c>
      <c r="FI112" s="59">
        <f t="shared" si="77"/>
        <v>293.33333333333678</v>
      </c>
      <c r="FJ112" s="59">
        <f ca="1">AVERAGE(OFFSET($FI$3,0,0,'Données projet'!$E$16+1,1))-AVERAGE(OFFSET($H$3,0,0,'Données projet'!$E$16+1,1))</f>
        <v>346.42094266871379</v>
      </c>
      <c r="FK112" s="59">
        <f t="shared" si="102"/>
        <v>453.48153556975973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64.896482752674686</v>
      </c>
      <c r="FR112" s="21">
        <f>EXP(-LN(2)/25)*FR111+(1-EXP(-LN(2)/25))/(LN(2)/25)*Calculateur!FM112*Calculateur!FO112*VLOOKUP('Données projet'!$B$16,Paramètres!$A$1:$I$89,3,0)*0.475*44/12</f>
        <v>27.117892512619207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92.014375265293893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-1.1368683772161603E-13</v>
      </c>
      <c r="GA112" s="17">
        <f>FZ112*VLOOKUP('Données projet'!$B$17,Paramètres!$A$1:$I$89,3,0)*VLOOKUP('Données projet'!$B$17,Paramètres!$A$1:$I$89,5,0)</f>
        <v>-5.3205440053716299E-14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198.26255998041</v>
      </c>
      <c r="GF112" s="59">
        <f t="shared" si="104"/>
        <v>238.62101708181166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41.596650622298625</v>
      </c>
      <c r="GM112" s="21">
        <f>EXP(-LN(2)/25)*GM111+(1-EXP(-LN(2)/25))/(LN(2)/25)*Calculateur!GH112*Calculateur!GJ112*VLOOKUP('Données projet'!$B$17,Paramètres!$A$1:$I$89,3,0)*0.475*44/12</f>
        <v>16.004225707295713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57.600876329594342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>
        <f>GU112*VLOOKUP('Données projet'!$B$18,Paramètres!$A$1:$I$89,3,0)*VLOOKUP('Données projet'!$B$18,Paramètres!$A$1:$I$89,5,0)</f>
        <v>0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604.0566904089452</v>
      </c>
      <c r="HA112" s="59">
        <f t="shared" si="106"/>
        <v>369.5187835902687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121.66838040812134</v>
      </c>
      <c r="HH112" s="21">
        <f>EXP(-LN(2)/25)*HH111+(1-EXP(-LN(2)/25))/(LN(2)/25)*Calculateur!HC112*Calculateur!HE112*VLOOKUP('Données projet'!$B$18,Paramètres!$A$1:$I$89,3,0)*0.475*44/12</f>
        <v>45.223959021294142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166.89233942941547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</v>
      </c>
      <c r="N113" s="13">
        <f>IF('Données projet'!$A$36&gt;35,N112+M113-V112,IF(A113&lt;'Données projet'!$A$36,$K$205^A113,IF(A113='Données projet'!$A$36,'Données projet'!$B$36,N112+M113-V112)))</f>
        <v>349.99999999999972</v>
      </c>
      <c r="O113" s="13">
        <f>N113*VLOOKUP('Données projet'!$B$9,Paramètres!$A$1:$I$89,3,0)*VLOOKUP('Données projet'!$B$9,Paramètres!$A$1:$I$89,5,0)</f>
        <v>316.67999999999972</v>
      </c>
      <c r="P113" s="13">
        <f t="shared" si="87"/>
        <v>74.662144360177706</v>
      </c>
      <c r="Q113" s="20">
        <f t="shared" si="107"/>
        <v>681.58756809397562</v>
      </c>
      <c r="R113" s="59">
        <f t="shared" si="55"/>
        <v>974.92090142730899</v>
      </c>
      <c r="S113" s="59">
        <f ca="1">AVERAGE(OFFSET($R$3,0,0,'Données projet'!$E$9+1,1))-AVERAGE(OFFSET($H$3,0,0,'Données projet'!$E$9+1,1))</f>
        <v>528.20489749461376</v>
      </c>
      <c r="T113" s="59">
        <f t="shared" si="88"/>
        <v>276.26988364830532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48.131303253703507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48.131303253703507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2.2737367544323206E-13</v>
      </c>
      <c r="AJ113" s="13">
        <f>AI113*VLOOKUP('Données projet'!$B$10,Paramètres!$A$1:$I$89,3,0)*VLOOKUP('Données projet'!$B$10,Paramètres!$A$1:$I$89,5,0)</f>
        <v>2.0572770154103635E-13</v>
      </c>
      <c r="AK113" s="13">
        <f t="shared" si="89"/>
        <v>2.8416956338469711E-12</v>
      </c>
      <c r="AL113" s="20">
        <f t="shared" si="58"/>
        <v>5.3075956424674458E-12</v>
      </c>
      <c r="AM113" s="59">
        <f t="shared" si="59"/>
        <v>293.3333333333386</v>
      </c>
      <c r="AN113" s="59">
        <f ca="1">AVERAGE(OFFSET($AM$3,0,0,'Données projet'!$E$10+1,1))-AVERAGE(OFFSET($H$3,0,0,'Données projet'!$E$10+1,1))</f>
        <v>436.23918637269577</v>
      </c>
      <c r="AO113" s="59">
        <f t="shared" si="90"/>
        <v>611.43967996341894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20.155333705978759</v>
      </c>
      <c r="AV113" s="21">
        <f>EXP(-LN(2)/25)*AV112+(1-EXP(-LN(2)/25))/(LN(2)/25)*Calculateur!AQ113*Calculateur!AS113*VLOOKUP('Données projet'!$B$10,Paramètres!$A$1:$I$89,3,0)*0.475*44/12</f>
        <v>7.1396084997215929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27.294942205700352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4.4337866711430253E-14</v>
      </c>
      <c r="BF113" s="13">
        <f t="shared" si="91"/>
        <v>7.3222115536967035E-13</v>
      </c>
      <c r="BG113" s="20">
        <f t="shared" si="61"/>
        <v>1.3525069634579169E-12</v>
      </c>
      <c r="BH113" s="59">
        <f t="shared" si="62"/>
        <v>293.33333333333468</v>
      </c>
      <c r="BI113" s="59">
        <f ca="1">AVERAGE(OFFSET($BH$3,0,0,'Données projet'!$E$11+1,1))-AVERAGE(OFFSET($H$3,0,0,'Données projet'!$E$11+1,1))</f>
        <v>288.82868507674738</v>
      </c>
      <c r="BJ113" s="59">
        <f t="shared" si="92"/>
        <v>283.48738729114024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39.268176686974932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39.268176686974932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2.1316282072803006E-14</v>
      </c>
      <c r="BZ113" s="13">
        <f>BY113*VLOOKUP('Données projet'!$B$12,Paramètres!$A$1:$I$89,3,0)*VLOOKUP('Données projet'!$B$12,Paramètres!$A$1:$I$89,5,0)</f>
        <v>1.8621904018800709E-14</v>
      </c>
      <c r="CA113" s="13">
        <f t="shared" si="93"/>
        <v>3.40208645124969E-13</v>
      </c>
      <c r="CB113" s="20">
        <f t="shared" si="64"/>
        <v>6.2496320642539887E-13</v>
      </c>
      <c r="CC113" s="59">
        <f t="shared" si="65"/>
        <v>293.33333333333394</v>
      </c>
      <c r="CD113" s="59">
        <f ca="1">AVERAGE(OFFSET($CC$3,0,0,'Données projet'!$E$12+1,1))-AVERAGE(OFFSET($H$3,0,0,'Données projet'!$E$12+1,1))</f>
        <v>93.329407403816901</v>
      </c>
      <c r="CE113" s="59">
        <f t="shared" si="94"/>
        <v>90.925148357295313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9.6007547053390816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9.6007547053390816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-2.2737367544323206E-13</v>
      </c>
      <c r="CU113" s="17">
        <f>CT113*VLOOKUP('Données projet'!$B$13,Paramètres!$A$1:$I$89,3,0)*VLOOKUP('Données projet'!$B$13,Paramètres!$A$1:$I$89,5,0)</f>
        <v>-2.1636878955177963E-13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805.04572055352492</v>
      </c>
      <c r="CZ113" s="59">
        <f t="shared" si="96"/>
        <v>708.66645042414962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224.53755890584847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224.53755890584847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-1.1368683772161603E-13</v>
      </c>
      <c r="DP113" s="17">
        <f>DO113*VLOOKUP('Données projet'!$B$14,Paramètres!$A$1:$I$89,3,0)*VLOOKUP('Données projet'!$B$14,Paramètres!$A$1:$I$89,5,0)</f>
        <v>-7.626113074366004E-14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482.69499576870095</v>
      </c>
      <c r="DU113" s="59">
        <f t="shared" si="98"/>
        <v>384.28918352579575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138.89773578754597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138.89773578754597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1.7053025658242404E-13</v>
      </c>
      <c r="EK113" s="17">
        <f>EJ113*VLOOKUP('Données projet'!$B$15,Paramètres!$A$1:$I$89,3,0)*VLOOKUP('Données projet'!$B$15,Paramètres!$A$1:$I$89,5,0)</f>
        <v>1.250327841262333E-13</v>
      </c>
      <c r="EL113" s="13">
        <f t="shared" si="99"/>
        <v>1.8301318724634299E-12</v>
      </c>
      <c r="EM113" s="20">
        <f t="shared" si="73"/>
        <v>3.405245110226996E-12</v>
      </c>
      <c r="EN113" s="59">
        <f t="shared" si="74"/>
        <v>293.33333333333672</v>
      </c>
      <c r="EO113" s="59">
        <f ca="1">AVERAGE(OFFSET($EN$3,0,0,'Données projet'!$E$15+1,1))-AVERAGE(OFFSET($H$3,0,0,'Données projet'!$E$15+1,1))</f>
        <v>197.34725966440715</v>
      </c>
      <c r="EP113" s="59">
        <f t="shared" si="100"/>
        <v>240.16326570529532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13.333542400318736</v>
      </c>
      <c r="EW113" s="21">
        <f>EXP(-LN(2)/25)*EW112+(1-EXP(-LN(2)/25))/(LN(2)/25)*Calculateur!ER113*Calculateur!ET113*VLOOKUP('Données projet'!$B$15,Paramètres!$A$1:$I$89,3,0)*0.475*44/12</f>
        <v>5.8353095725159401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19.168851972834677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2.2737367544323206E-13</v>
      </c>
      <c r="FF113" s="17">
        <f>FE113*VLOOKUP('Données projet'!$B$16,Paramètres!$A$1:$I$89,3,0)*VLOOKUP('Données projet'!$B$16,Paramètres!$A$1:$I$89,5,0)</f>
        <v>1.2710188457276673E-13</v>
      </c>
      <c r="FG113" s="13">
        <f t="shared" si="101"/>
        <v>1.856866851063998E-12</v>
      </c>
      <c r="FH113" s="20">
        <f t="shared" si="76"/>
        <v>3.4554122145673649E-12</v>
      </c>
      <c r="FI113" s="59">
        <f t="shared" si="77"/>
        <v>293.33333333333678</v>
      </c>
      <c r="FJ113" s="59">
        <f ca="1">AVERAGE(OFFSET($FI$3,0,0,'Données projet'!$E$16+1,1))-AVERAGE(OFFSET($H$3,0,0,'Données projet'!$E$16+1,1))</f>
        <v>346.42094266871379</v>
      </c>
      <c r="FK113" s="59">
        <f t="shared" si="102"/>
        <v>453.48153556975973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63.623902308840727</v>
      </c>
      <c r="FR113" s="21">
        <f>EXP(-LN(2)/25)*FR112+(1-EXP(-LN(2)/25))/(LN(2)/25)*Calculateur!FM113*Calculateur!FO113*VLOOKUP('Données projet'!$B$16,Paramètres!$A$1:$I$89,3,0)*0.475*44/12</f>
        <v>26.376352315793646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90.00025462463438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-1.1368683772161603E-13</v>
      </c>
      <c r="GA113" s="17">
        <f>FZ113*VLOOKUP('Données projet'!$B$17,Paramètres!$A$1:$I$89,3,0)*VLOOKUP('Données projet'!$B$17,Paramètres!$A$1:$I$89,5,0)</f>
        <v>-5.3205440053716299E-14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198.26255998041</v>
      </c>
      <c r="GF113" s="59">
        <f t="shared" si="104"/>
        <v>238.62101708181166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40.780965675047007</v>
      </c>
      <c r="GM113" s="21">
        <f>EXP(-LN(2)/25)*GM112+(1-EXP(-LN(2)/25))/(LN(2)/25)*Calculateur!GH113*Calculateur!GJ113*VLOOKUP('Données projet'!$B$17,Paramètres!$A$1:$I$89,3,0)*0.475*44/12</f>
        <v>15.566589313704061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56.347554988751071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>
        <f>GU113*VLOOKUP('Données projet'!$B$18,Paramètres!$A$1:$I$89,3,0)*VLOOKUP('Données projet'!$B$18,Paramètres!$A$1:$I$89,5,0)</f>
        <v>0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604.0566904089452</v>
      </c>
      <c r="HA113" s="59">
        <f t="shared" si="106"/>
        <v>369.5187835902687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119.28253767870245</v>
      </c>
      <c r="HH113" s="21">
        <f>EXP(-LN(2)/25)*HH112+(1-EXP(-LN(2)/25))/(LN(2)/25)*Calculateur!HC113*Calculateur!HE113*VLOOKUP('Données projet'!$B$18,Paramètres!$A$1:$I$89,3,0)*0.475*44/12</f>
        <v>43.987307483632208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163.26984516233466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</v>
      </c>
      <c r="N114" s="13">
        <f>IF('Données projet'!$A$36&gt;35,N113+M114-V113,IF(A114&lt;'Données projet'!$A$36,$K$205^A114,IF(A114='Données projet'!$A$36,'Données projet'!$B$36,N113+M114-V113)))</f>
        <v>356.99999999999972</v>
      </c>
      <c r="O114" s="13">
        <f>N114*VLOOKUP('Données projet'!$B$9,Paramètres!$A$1:$I$89,3,0)*VLOOKUP('Données projet'!$B$9,Paramètres!$A$1:$I$89,5,0)</f>
        <v>323.01359999999977</v>
      </c>
      <c r="P114" s="13">
        <f t="shared" si="87"/>
        <v>75.980049270566099</v>
      </c>
      <c r="Q114" s="20">
        <f t="shared" si="107"/>
        <v>694.91393914623552</v>
      </c>
      <c r="R114" s="59">
        <f t="shared" si="55"/>
        <v>988.24727247956889</v>
      </c>
      <c r="S114" s="59">
        <f ca="1">AVERAGE(OFFSET($R$3,0,0,'Données projet'!$E$9+1,1))-AVERAGE(OFFSET($H$3,0,0,'Données projet'!$E$9+1,1))</f>
        <v>528.20489749461376</v>
      </c>
      <c r="T114" s="59">
        <f t="shared" si="88"/>
        <v>276.26988364830532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47.187477754094587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47.187477754094587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2.2737367544323206E-13</v>
      </c>
      <c r="AJ114" s="13">
        <f>AI114*VLOOKUP('Données projet'!$B$10,Paramètres!$A$1:$I$89,3,0)*VLOOKUP('Données projet'!$B$10,Paramètres!$A$1:$I$89,5,0)</f>
        <v>2.0572770154103635E-13</v>
      </c>
      <c r="AK114" s="13">
        <f t="shared" si="89"/>
        <v>2.8416956338469711E-12</v>
      </c>
      <c r="AL114" s="20">
        <f t="shared" si="58"/>
        <v>5.3075956424674458E-12</v>
      </c>
      <c r="AM114" s="59">
        <f t="shared" si="59"/>
        <v>293.3333333333386</v>
      </c>
      <c r="AN114" s="59">
        <f ca="1">AVERAGE(OFFSET($AM$3,0,0,'Données projet'!$E$10+1,1))-AVERAGE(OFFSET($H$3,0,0,'Données projet'!$E$10+1,1))</f>
        <v>436.23918637269577</v>
      </c>
      <c r="AO114" s="59">
        <f t="shared" si="90"/>
        <v>611.43967996341894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19.760099905544191</v>
      </c>
      <c r="AV114" s="21">
        <f>EXP(-LN(2)/25)*AV113+(1-EXP(-LN(2)/25))/(LN(2)/25)*Calculateur!AQ114*Calculateur!AS114*VLOOKUP('Données projet'!$B$10,Paramètres!$A$1:$I$89,3,0)*0.475*44/12</f>
        <v>6.9443755298410128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26.704475435385206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4.4337866711430253E-14</v>
      </c>
      <c r="BF114" s="13">
        <f t="shared" si="91"/>
        <v>7.3222115536967035E-13</v>
      </c>
      <c r="BG114" s="20">
        <f t="shared" si="61"/>
        <v>1.3525069634579169E-12</v>
      </c>
      <c r="BH114" s="59">
        <f t="shared" si="62"/>
        <v>293.33333333333468</v>
      </c>
      <c r="BI114" s="59">
        <f ca="1">AVERAGE(OFFSET($BH$3,0,0,'Données projet'!$E$11+1,1))-AVERAGE(OFFSET($H$3,0,0,'Données projet'!$E$11+1,1))</f>
        <v>288.82868507674738</v>
      </c>
      <c r="BJ114" s="59">
        <f t="shared" si="92"/>
        <v>283.48738729114024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38.498151693366147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38.498151693366147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2.1316282072803006E-14</v>
      </c>
      <c r="BZ114" s="13">
        <f>BY114*VLOOKUP('Données projet'!$B$12,Paramètres!$A$1:$I$89,3,0)*VLOOKUP('Données projet'!$B$12,Paramètres!$A$1:$I$89,5,0)</f>
        <v>1.8621904018800709E-14</v>
      </c>
      <c r="CA114" s="13">
        <f t="shared" si="93"/>
        <v>3.40208645124969E-13</v>
      </c>
      <c r="CB114" s="20">
        <f t="shared" si="64"/>
        <v>6.2496320642539887E-13</v>
      </c>
      <c r="CC114" s="59">
        <f t="shared" si="65"/>
        <v>293.33333333333394</v>
      </c>
      <c r="CD114" s="59">
        <f ca="1">AVERAGE(OFFSET($CC$3,0,0,'Données projet'!$E$12+1,1))-AVERAGE(OFFSET($H$3,0,0,'Données projet'!$E$12+1,1))</f>
        <v>93.329407403816901</v>
      </c>
      <c r="CE114" s="59">
        <f t="shared" si="94"/>
        <v>90.925148357295313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9.4124897614495318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9.4124897614495318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-2.2737367544323206E-13</v>
      </c>
      <c r="CU114" s="17">
        <f>CT114*VLOOKUP('Données projet'!$B$13,Paramètres!$A$1:$I$89,3,0)*VLOOKUP('Données projet'!$B$13,Paramètres!$A$1:$I$89,5,0)</f>
        <v>-2.1636878955177963E-13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805.04572055352492</v>
      </c>
      <c r="CZ114" s="59">
        <f t="shared" si="96"/>
        <v>708.66645042414962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220.1345143300926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220.1345143300926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-1.1368683772161603E-13</v>
      </c>
      <c r="DP114" s="17">
        <f>DO114*VLOOKUP('Données projet'!$B$14,Paramètres!$A$1:$I$89,3,0)*VLOOKUP('Données projet'!$B$14,Paramètres!$A$1:$I$89,5,0)</f>
        <v>-7.626113074366004E-14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482.69499576870095</v>
      </c>
      <c r="DU114" s="59">
        <f t="shared" si="98"/>
        <v>384.28918352579575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136.17403590800569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136.17403590800569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1.7053025658242404E-13</v>
      </c>
      <c r="EK114" s="17">
        <f>EJ114*VLOOKUP('Données projet'!$B$15,Paramètres!$A$1:$I$89,3,0)*VLOOKUP('Données projet'!$B$15,Paramètres!$A$1:$I$89,5,0)</f>
        <v>1.250327841262333E-13</v>
      </c>
      <c r="EL114" s="13">
        <f t="shared" si="99"/>
        <v>1.8301318724634299E-12</v>
      </c>
      <c r="EM114" s="20">
        <f t="shared" si="73"/>
        <v>3.405245110226996E-12</v>
      </c>
      <c r="EN114" s="59">
        <f t="shared" si="74"/>
        <v>293.33333333333672</v>
      </c>
      <c r="EO114" s="59">
        <f ca="1">AVERAGE(OFFSET($EN$3,0,0,'Données projet'!$E$15+1,1))-AVERAGE(OFFSET($H$3,0,0,'Données projet'!$E$15+1,1))</f>
        <v>197.34725966440715</v>
      </c>
      <c r="EP114" s="59">
        <f t="shared" si="100"/>
        <v>240.16326570529532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13.072079766506317</v>
      </c>
      <c r="EW114" s="21">
        <f>EXP(-LN(2)/25)*EW113+(1-EXP(-LN(2)/25))/(LN(2)/25)*Calculateur!ER114*Calculateur!ET114*VLOOKUP('Données projet'!$B$15,Paramètres!$A$1:$I$89,3,0)*0.475*44/12</f>
        <v>5.675742725389898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18.747822491896216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2.2737367544323206E-13</v>
      </c>
      <c r="FF114" s="17">
        <f>FE114*VLOOKUP('Données projet'!$B$16,Paramètres!$A$1:$I$89,3,0)*VLOOKUP('Données projet'!$B$16,Paramètres!$A$1:$I$89,5,0)</f>
        <v>1.2710188457276673E-13</v>
      </c>
      <c r="FG114" s="13">
        <f t="shared" si="101"/>
        <v>1.856866851063998E-12</v>
      </c>
      <c r="FH114" s="20">
        <f t="shared" si="76"/>
        <v>3.4554122145673649E-12</v>
      </c>
      <c r="FI114" s="59">
        <f t="shared" si="77"/>
        <v>293.33333333333678</v>
      </c>
      <c r="FJ114" s="59">
        <f ca="1">AVERAGE(OFFSET($FI$3,0,0,'Données projet'!$E$16+1,1))-AVERAGE(OFFSET($H$3,0,0,'Données projet'!$E$16+1,1))</f>
        <v>346.42094266871379</v>
      </c>
      <c r="FK114" s="59">
        <f t="shared" si="102"/>
        <v>453.48153556975973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62.376276391312921</v>
      </c>
      <c r="FR114" s="21">
        <f>EXP(-LN(2)/25)*FR113+(1-EXP(-LN(2)/25))/(LN(2)/25)*Calculateur!FM114*Calculateur!FO114*VLOOKUP('Données projet'!$B$16,Paramètres!$A$1:$I$89,3,0)*0.475*44/12</f>
        <v>25.655089574646183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88.031365965959111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-1.1368683772161603E-13</v>
      </c>
      <c r="GA114" s="17">
        <f>FZ114*VLOOKUP('Données projet'!$B$17,Paramètres!$A$1:$I$89,3,0)*VLOOKUP('Données projet'!$B$17,Paramètres!$A$1:$I$89,5,0)</f>
        <v>-5.3205440053716299E-14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198.26255998041</v>
      </c>
      <c r="GF114" s="59">
        <f t="shared" si="104"/>
        <v>238.62101708181166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39.981275812092299</v>
      </c>
      <c r="GM114" s="21">
        <f>EXP(-LN(2)/25)*GM113+(1-EXP(-LN(2)/25))/(LN(2)/25)*Calculateur!GH114*Calculateur!GJ114*VLOOKUP('Données projet'!$B$17,Paramètres!$A$1:$I$89,3,0)*0.475*44/12</f>
        <v>15.140920110309469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55.122195922401772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>
        <f>GU114*VLOOKUP('Données projet'!$B$18,Paramètres!$A$1:$I$89,3,0)*VLOOKUP('Données projet'!$B$18,Paramètres!$A$1:$I$89,5,0)</f>
        <v>0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604.0566904089452</v>
      </c>
      <c r="HA114" s="59">
        <f t="shared" si="106"/>
        <v>369.5187835902687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116.9434798699871</v>
      </c>
      <c r="HH114" s="21">
        <f>EXP(-LN(2)/25)*HH113+(1-EXP(-LN(2)/25))/(LN(2)/25)*Calculateur!HC114*Calculateur!HE114*VLOOKUP('Données projet'!$B$18,Paramètres!$A$1:$I$89,3,0)*0.475*44/12</f>
        <v>42.784472247300322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159.72795211728743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</v>
      </c>
      <c r="N115" s="13">
        <f>IF('Données projet'!$A$36&gt;35,N114+M115-V114,IF(A115&lt;'Données projet'!$A$36,$K$205^A115,IF(A115='Données projet'!$A$36,'Données projet'!$B$36,N114+M115-V114)))</f>
        <v>363.99999999999972</v>
      </c>
      <c r="O115" s="13">
        <f>N115*VLOOKUP('Données projet'!$B$9,Paramètres!$A$1:$I$89,3,0)*VLOOKUP('Données projet'!$B$9,Paramètres!$A$1:$I$89,5,0)</f>
        <v>329.34719999999976</v>
      </c>
      <c r="P115" s="13">
        <f t="shared" si="87"/>
        <v>77.294949483241496</v>
      </c>
      <c r="Q115" s="20">
        <f t="shared" si="107"/>
        <v>708.23507701664528</v>
      </c>
      <c r="R115" s="59">
        <f t="shared" si="55"/>
        <v>1001.5684103499786</v>
      </c>
      <c r="S115" s="59">
        <f ca="1">AVERAGE(OFFSET($R$3,0,0,'Données projet'!$E$9+1,1))-AVERAGE(OFFSET($H$3,0,0,'Données projet'!$E$9+1,1))</f>
        <v>528.20489749461376</v>
      </c>
      <c r="T115" s="59">
        <f t="shared" si="88"/>
        <v>276.26988364830532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46.262160096856284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46.262160096856284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2.2737367544323206E-13</v>
      </c>
      <c r="AJ115" s="13">
        <f>AI115*VLOOKUP('Données projet'!$B$10,Paramètres!$A$1:$I$89,3,0)*VLOOKUP('Données projet'!$B$10,Paramètres!$A$1:$I$89,5,0)</f>
        <v>2.0572770154103635E-13</v>
      </c>
      <c r="AK115" s="13">
        <f t="shared" si="89"/>
        <v>2.8416956338469711E-12</v>
      </c>
      <c r="AL115" s="20">
        <f t="shared" si="58"/>
        <v>5.3075956424674458E-12</v>
      </c>
      <c r="AM115" s="59">
        <f t="shared" si="59"/>
        <v>293.3333333333386</v>
      </c>
      <c r="AN115" s="59">
        <f ca="1">AVERAGE(OFFSET($AM$3,0,0,'Données projet'!$E$10+1,1))-AVERAGE(OFFSET($H$3,0,0,'Données projet'!$E$10+1,1))</f>
        <v>436.23918637269577</v>
      </c>
      <c r="AO115" s="59">
        <f t="shared" si="90"/>
        <v>611.43967996341894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19.372616398867329</v>
      </c>
      <c r="AV115" s="21">
        <f>EXP(-LN(2)/25)*AV114+(1-EXP(-LN(2)/25))/(LN(2)/25)*Calculateur!AQ115*Calculateur!AS115*VLOOKUP('Données projet'!$B$10,Paramètres!$A$1:$I$89,3,0)*0.475*44/12</f>
        <v>6.7544812157886724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26.127097614656002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4.4337866711430253E-14</v>
      </c>
      <c r="BF115" s="13">
        <f t="shared" si="91"/>
        <v>7.3222115536967035E-13</v>
      </c>
      <c r="BG115" s="20">
        <f t="shared" si="61"/>
        <v>1.3525069634579169E-12</v>
      </c>
      <c r="BH115" s="59">
        <f t="shared" si="62"/>
        <v>293.33333333333468</v>
      </c>
      <c r="BI115" s="59">
        <f ca="1">AVERAGE(OFFSET($BH$3,0,0,'Données projet'!$E$11+1,1))-AVERAGE(OFFSET($H$3,0,0,'Données projet'!$E$11+1,1))</f>
        <v>288.82868507674738</v>
      </c>
      <c r="BJ115" s="59">
        <f t="shared" si="92"/>
        <v>283.48738729114024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37.743226420213162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37.743226420213162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2.1316282072803006E-14</v>
      </c>
      <c r="BZ115" s="13">
        <f>BY115*VLOOKUP('Données projet'!$B$12,Paramètres!$A$1:$I$89,3,0)*VLOOKUP('Données projet'!$B$12,Paramètres!$A$1:$I$89,5,0)</f>
        <v>1.8621904018800709E-14</v>
      </c>
      <c r="CA115" s="13">
        <f t="shared" si="93"/>
        <v>3.40208645124969E-13</v>
      </c>
      <c r="CB115" s="20">
        <f t="shared" si="64"/>
        <v>6.2496320642539887E-13</v>
      </c>
      <c r="CC115" s="59">
        <f t="shared" si="65"/>
        <v>293.33333333333394</v>
      </c>
      <c r="CD115" s="59">
        <f ca="1">AVERAGE(OFFSET($CC$3,0,0,'Données projet'!$E$12+1,1))-AVERAGE(OFFSET($H$3,0,0,'Données projet'!$E$12+1,1))</f>
        <v>93.329407403816901</v>
      </c>
      <c r="CE115" s="59">
        <f t="shared" si="94"/>
        <v>90.925148357295313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9.2279165782793786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9.2279165782793786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-2.2737367544323206E-13</v>
      </c>
      <c r="CU115" s="17">
        <f>CT115*VLOOKUP('Données projet'!$B$13,Paramètres!$A$1:$I$89,3,0)*VLOOKUP('Données projet'!$B$13,Paramètres!$A$1:$I$89,5,0)</f>
        <v>-2.1636878955177963E-13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805.04572055352492</v>
      </c>
      <c r="CZ115" s="59">
        <f t="shared" si="96"/>
        <v>708.66645042414962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215.81781077287528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215.81781077287528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-1.1368683772161603E-13</v>
      </c>
      <c r="DP115" s="17">
        <f>DO115*VLOOKUP('Données projet'!$B$14,Paramètres!$A$1:$I$89,3,0)*VLOOKUP('Données projet'!$B$14,Paramètres!$A$1:$I$89,5,0)</f>
        <v>-7.626113074366004E-14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482.69499576870095</v>
      </c>
      <c r="DU115" s="59">
        <f t="shared" si="98"/>
        <v>384.28918352579575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133.50374612181031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133.50374612181031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1.7053025658242404E-13</v>
      </c>
      <c r="EK115" s="17">
        <f>EJ115*VLOOKUP('Données projet'!$B$15,Paramètres!$A$1:$I$89,3,0)*VLOOKUP('Données projet'!$B$15,Paramètres!$A$1:$I$89,5,0)</f>
        <v>1.250327841262333E-13</v>
      </c>
      <c r="EL115" s="13">
        <f t="shared" si="99"/>
        <v>1.8301318724634299E-12</v>
      </c>
      <c r="EM115" s="20">
        <f t="shared" si="73"/>
        <v>3.405245110226996E-12</v>
      </c>
      <c r="EN115" s="59">
        <f t="shared" si="74"/>
        <v>293.33333333333672</v>
      </c>
      <c r="EO115" s="59">
        <f ca="1">AVERAGE(OFFSET($EN$3,0,0,'Données projet'!$E$15+1,1))-AVERAGE(OFFSET($H$3,0,0,'Données projet'!$E$15+1,1))</f>
        <v>197.34725966440715</v>
      </c>
      <c r="EP115" s="59">
        <f t="shared" si="100"/>
        <v>240.16326570529532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12.815744255466498</v>
      </c>
      <c r="EW115" s="21">
        <f>EXP(-LN(2)/25)*EW114+(1-EXP(-LN(2)/25))/(LN(2)/25)*Calculateur!ER115*Calculateur!ET115*VLOOKUP('Données projet'!$B$15,Paramètres!$A$1:$I$89,3,0)*0.475*44/12</f>
        <v>5.5205392420897734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18.336283497556273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2.2737367544323206E-13</v>
      </c>
      <c r="FF115" s="17">
        <f>FE115*VLOOKUP('Données projet'!$B$16,Paramètres!$A$1:$I$89,3,0)*VLOOKUP('Données projet'!$B$16,Paramètres!$A$1:$I$89,5,0)</f>
        <v>1.2710188457276673E-13</v>
      </c>
      <c r="FG115" s="13">
        <f t="shared" si="101"/>
        <v>1.856866851063998E-12</v>
      </c>
      <c r="FH115" s="20">
        <f t="shared" si="76"/>
        <v>3.4554122145673649E-12</v>
      </c>
      <c r="FI115" s="59">
        <f t="shared" si="77"/>
        <v>293.33333333333678</v>
      </c>
      <c r="FJ115" s="59">
        <f ca="1">AVERAGE(OFFSET($FI$3,0,0,'Données projet'!$E$16+1,1))-AVERAGE(OFFSET($H$3,0,0,'Données projet'!$E$16+1,1))</f>
        <v>346.42094266871379</v>
      </c>
      <c r="FK115" s="59">
        <f t="shared" si="102"/>
        <v>453.48153556975973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61.153115657051167</v>
      </c>
      <c r="FR115" s="21">
        <f>EXP(-LN(2)/25)*FR114+(1-EXP(-LN(2)/25))/(LN(2)/25)*Calculateur!FM115*Calculateur!FO115*VLOOKUP('Données projet'!$B$16,Paramètres!$A$1:$I$89,3,0)*0.475*44/12</f>
        <v>24.953549801084957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86.106665458136121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-1.1368683772161603E-13</v>
      </c>
      <c r="GA115" s="17">
        <f>FZ115*VLOOKUP('Données projet'!$B$17,Paramètres!$A$1:$I$89,3,0)*VLOOKUP('Données projet'!$B$17,Paramètres!$A$1:$I$89,5,0)</f>
        <v>-5.3205440053716299E-14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198.26255998041</v>
      </c>
      <c r="GF115" s="59">
        <f t="shared" si="104"/>
        <v>238.62101708181166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39.19726737958748</v>
      </c>
      <c r="GM115" s="21">
        <f>EXP(-LN(2)/25)*GM114+(1-EXP(-LN(2)/25))/(LN(2)/25)*Calculateur!GH115*Calculateur!GJ115*VLOOKUP('Données projet'!$B$17,Paramètres!$A$1:$I$89,3,0)*0.475*44/12</f>
        <v>14.726890853666674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53.924158233254154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>
        <f>GU115*VLOOKUP('Données projet'!$B$18,Paramètres!$A$1:$I$89,3,0)*VLOOKUP('Données projet'!$B$18,Paramètres!$A$1:$I$89,5,0)</f>
        <v>0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604.0566904089452</v>
      </c>
      <c r="HA115" s="59">
        <f t="shared" si="106"/>
        <v>369.5187835902687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114.65028955821627</v>
      </c>
      <c r="HH115" s="21">
        <f>EXP(-LN(2)/25)*HH114+(1-EXP(-LN(2)/25))/(LN(2)/25)*Calculateur!HC115*Calculateur!HE115*VLOOKUP('Données projet'!$B$18,Paramètres!$A$1:$I$89,3,0)*0.475*44/12</f>
        <v>41.614528603760284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156.26481816197656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</v>
      </c>
      <c r="N116" s="13">
        <f>IF('Données projet'!$A$36&gt;35,N115+M116-V115,IF(A116&lt;'Données projet'!$A$36,$K$205^A116,IF(A116='Données projet'!$A$36,'Données projet'!$B$36,N115+M116-V115)))</f>
        <v>370.99999999999972</v>
      </c>
      <c r="O116" s="13">
        <f>N116*VLOOKUP('Données projet'!$B$9,Paramètres!$A$1:$I$89,3,0)*VLOOKUP('Données projet'!$B$9,Paramètres!$A$1:$I$89,5,0)</f>
        <v>335.68079999999969</v>
      </c>
      <c r="P116" s="13">
        <f t="shared" si="87"/>
        <v>78.606909442620307</v>
      </c>
      <c r="Q116" s="20">
        <f t="shared" si="107"/>
        <v>721.55109394589635</v>
      </c>
      <c r="R116" s="59">
        <f t="shared" si="55"/>
        <v>1014.8844272792296</v>
      </c>
      <c r="S116" s="59">
        <f ca="1">AVERAGE(OFFSET($R$3,0,0,'Données projet'!$E$9+1,1))-AVERAGE(OFFSET($H$3,0,0,'Données projet'!$E$9+1,1))</f>
        <v>528.20489749461376</v>
      </c>
      <c r="T116" s="59">
        <f t="shared" si="88"/>
        <v>276.26988364830532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45.354987354488379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45.354987354488379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2.2737367544323206E-13</v>
      </c>
      <c r="AJ116" s="13">
        <f>AI116*VLOOKUP('Données projet'!$B$10,Paramètres!$A$1:$I$89,3,0)*VLOOKUP('Données projet'!$B$10,Paramètres!$A$1:$I$89,5,0)</f>
        <v>2.0572770154103635E-13</v>
      </c>
      <c r="AK116" s="13">
        <f t="shared" si="89"/>
        <v>2.8416956338469711E-12</v>
      </c>
      <c r="AL116" s="20">
        <f t="shared" si="58"/>
        <v>5.3075956424674458E-12</v>
      </c>
      <c r="AM116" s="59">
        <f t="shared" si="59"/>
        <v>293.3333333333386</v>
      </c>
      <c r="AN116" s="59">
        <f ca="1">AVERAGE(OFFSET($AM$3,0,0,'Données projet'!$E$10+1,1))-AVERAGE(OFFSET($H$3,0,0,'Données projet'!$E$10+1,1))</f>
        <v>436.23918637269577</v>
      </c>
      <c r="AO116" s="59">
        <f t="shared" si="90"/>
        <v>611.43967996341894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18.992731207414799</v>
      </c>
      <c r="AV116" s="21">
        <f>EXP(-LN(2)/25)*AV115+(1-EXP(-LN(2)/25))/(LN(2)/25)*Calculateur!AQ116*Calculateur!AS116*VLOOKUP('Données projet'!$B$10,Paramètres!$A$1:$I$89,3,0)*0.475*44/12</f>
        <v>6.5697795717402014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25.562510779155001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4.4337866711430253E-14</v>
      </c>
      <c r="BF116" s="13">
        <f t="shared" si="91"/>
        <v>7.3222115536967035E-13</v>
      </c>
      <c r="BG116" s="20">
        <f t="shared" si="61"/>
        <v>1.3525069634579169E-12</v>
      </c>
      <c r="BH116" s="59">
        <f t="shared" si="62"/>
        <v>293.33333333333468</v>
      </c>
      <c r="BI116" s="59">
        <f ca="1">AVERAGE(OFFSET($BH$3,0,0,'Données projet'!$E$11+1,1))-AVERAGE(OFFSET($H$3,0,0,'Données projet'!$E$11+1,1))</f>
        <v>288.82868507674738</v>
      </c>
      <c r="BJ116" s="59">
        <f t="shared" si="92"/>
        <v>283.48738729114024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37.003104771207752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37.003104771207752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2.1316282072803006E-14</v>
      </c>
      <c r="BZ116" s="13">
        <f>BY116*VLOOKUP('Données projet'!$B$12,Paramètres!$A$1:$I$89,3,0)*VLOOKUP('Données projet'!$B$12,Paramètres!$A$1:$I$89,5,0)</f>
        <v>1.8621904018800709E-14</v>
      </c>
      <c r="CA116" s="13">
        <f t="shared" si="93"/>
        <v>3.40208645124969E-13</v>
      </c>
      <c r="CB116" s="20">
        <f t="shared" si="64"/>
        <v>6.2496320642539887E-13</v>
      </c>
      <c r="CC116" s="59">
        <f t="shared" si="65"/>
        <v>293.33333333333394</v>
      </c>
      <c r="CD116" s="59">
        <f ca="1">AVERAGE(OFFSET($CC$3,0,0,'Données projet'!$E$12+1,1))-AVERAGE(OFFSET($H$3,0,0,'Données projet'!$E$12+1,1))</f>
        <v>93.329407403816901</v>
      </c>
      <c r="CE116" s="59">
        <f t="shared" si="94"/>
        <v>90.925148357295313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9.046962762652667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9.046962762652667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-2.2737367544323206E-13</v>
      </c>
      <c r="CU116" s="17">
        <f>CT116*VLOOKUP('Données projet'!$B$13,Paramètres!$A$1:$I$89,3,0)*VLOOKUP('Données projet'!$B$13,Paramètres!$A$1:$I$89,5,0)</f>
        <v>-2.1636878955177963E-13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805.04572055352492</v>
      </c>
      <c r="CZ116" s="59">
        <f t="shared" si="96"/>
        <v>708.66645042414962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211.5857551394858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211.5857551394858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-1.1368683772161603E-13</v>
      </c>
      <c r="DP116" s="17">
        <f>DO116*VLOOKUP('Données projet'!$B$14,Paramètres!$A$1:$I$89,3,0)*VLOOKUP('Données projet'!$B$14,Paramètres!$A$1:$I$89,5,0)</f>
        <v>-7.626113074366004E-14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482.69499576870095</v>
      </c>
      <c r="DU116" s="59">
        <f t="shared" si="98"/>
        <v>384.28918352579575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130.88581908960629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130.88581908960629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1.7053025658242404E-13</v>
      </c>
      <c r="EK116" s="17">
        <f>EJ116*VLOOKUP('Données projet'!$B$15,Paramètres!$A$1:$I$89,3,0)*VLOOKUP('Données projet'!$B$15,Paramètres!$A$1:$I$89,5,0)</f>
        <v>1.250327841262333E-13</v>
      </c>
      <c r="EL116" s="13">
        <f t="shared" si="99"/>
        <v>1.8301318724634299E-12</v>
      </c>
      <c r="EM116" s="20">
        <f t="shared" si="73"/>
        <v>3.405245110226996E-12</v>
      </c>
      <c r="EN116" s="59">
        <f t="shared" si="74"/>
        <v>293.33333333333672</v>
      </c>
      <c r="EO116" s="59">
        <f ca="1">AVERAGE(OFFSET($EN$3,0,0,'Données projet'!$E$15+1,1))-AVERAGE(OFFSET($H$3,0,0,'Données projet'!$E$15+1,1))</f>
        <v>197.34725966440715</v>
      </c>
      <c r="EP116" s="59">
        <f t="shared" si="100"/>
        <v>240.16326570529532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12.564435327448948</v>
      </c>
      <c r="EW116" s="21">
        <f>EXP(-LN(2)/25)*EW115+(1-EXP(-LN(2)/25))/(LN(2)/25)*Calculateur!ER116*Calculateur!ET116*VLOOKUP('Données projet'!$B$15,Paramètres!$A$1:$I$89,3,0)*0.475*44/12</f>
        <v>5.369579806202287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17.934015133651236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2.2737367544323206E-13</v>
      </c>
      <c r="FF116" s="17">
        <f>FE116*VLOOKUP('Données projet'!$B$16,Paramètres!$A$1:$I$89,3,0)*VLOOKUP('Données projet'!$B$16,Paramètres!$A$1:$I$89,5,0)</f>
        <v>1.2710188457276673E-13</v>
      </c>
      <c r="FG116" s="13">
        <f t="shared" si="101"/>
        <v>1.856866851063998E-12</v>
      </c>
      <c r="FH116" s="20">
        <f t="shared" si="76"/>
        <v>3.4554122145673649E-12</v>
      </c>
      <c r="FI116" s="59">
        <f t="shared" si="77"/>
        <v>293.33333333333678</v>
      </c>
      <c r="FJ116" s="59">
        <f ca="1">AVERAGE(OFFSET($FI$3,0,0,'Données projet'!$E$16+1,1))-AVERAGE(OFFSET($H$3,0,0,'Données projet'!$E$16+1,1))</f>
        <v>346.42094266871379</v>
      </c>
      <c r="FK116" s="59">
        <f t="shared" si="102"/>
        <v>453.48153556975973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59.953940358733902</v>
      </c>
      <c r="FR116" s="21">
        <f>EXP(-LN(2)/25)*FR115+(1-EXP(-LN(2)/25))/(LN(2)/25)*Calculateur!FM116*Calculateur!FO116*VLOOKUP('Données projet'!$B$16,Paramètres!$A$1:$I$89,3,0)*0.475*44/12</f>
        <v>24.271193669524138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84.22513402825804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-1.1368683772161603E-13</v>
      </c>
      <c r="GA116" s="17">
        <f>FZ116*VLOOKUP('Données projet'!$B$17,Paramètres!$A$1:$I$89,3,0)*VLOOKUP('Données projet'!$B$17,Paramètres!$A$1:$I$89,5,0)</f>
        <v>-5.3205440053716299E-14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198.26255998041</v>
      </c>
      <c r="GF116" s="59">
        <f t="shared" si="104"/>
        <v>238.62101708181166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38.428632874246155</v>
      </c>
      <c r="GM116" s="21">
        <f>EXP(-LN(2)/25)*GM115+(1-EXP(-LN(2)/25))/(LN(2)/25)*Calculateur!GH116*Calculateur!GJ116*VLOOKUP('Données projet'!$B$17,Paramètres!$A$1:$I$89,3,0)*0.475*44/12</f>
        <v>14.324183248819628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52.752816123065784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>
        <f>GU116*VLOOKUP('Données projet'!$B$18,Paramètres!$A$1:$I$89,3,0)*VLOOKUP('Données projet'!$B$18,Paramètres!$A$1:$I$89,5,0)</f>
        <v>0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604.0566904089452</v>
      </c>
      <c r="HA116" s="59">
        <f t="shared" si="106"/>
        <v>369.5187835902687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112.40206730975129</v>
      </c>
      <c r="HH116" s="21">
        <f>EXP(-LN(2)/25)*HH115+(1-EXP(-LN(2)/25))/(LN(2)/25)*Calculateur!HC116*Calculateur!HE116*VLOOKUP('Données projet'!$B$18,Paramètres!$A$1:$I$89,3,0)*0.475*44/12</f>
        <v>40.476577130677512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152.87864444042879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378</v>
      </c>
      <c r="L117" s="12">
        <f>VLOOKUP(A117,'Données projet'!$A$35:$I$55,9,0)</f>
        <v>7</v>
      </c>
      <c r="M117" s="12">
        <f t="array" ref="M117">INDEX(L:L,MIN(IF(ISNUMBER(L117:L313),ROW(L117:L313),"")))</f>
        <v>7</v>
      </c>
      <c r="N117" s="13">
        <f>IF('Données projet'!$A$36&gt;35,N116+M117-V116,IF(A117&lt;'Données projet'!$A$36,$K$205^A117,IF(A117='Données projet'!$A$36,'Données projet'!$B$36,N116+M117-V116)))</f>
        <v>377.99999999999972</v>
      </c>
      <c r="O117" s="13">
        <f>N117*VLOOKUP('Données projet'!$B$9,Paramètres!$A$1:$I$89,3,0)*VLOOKUP('Données projet'!$B$9,Paramètres!$A$1:$I$89,5,0)</f>
        <v>342.01439999999974</v>
      </c>
      <c r="P117" s="13">
        <f t="shared" si="87"/>
        <v>79.915991022086558</v>
      </c>
      <c r="Q117" s="20">
        <f t="shared" si="107"/>
        <v>734.86209769680011</v>
      </c>
      <c r="R117" s="59">
        <f t="shared" si="55"/>
        <v>1028.1954310301335</v>
      </c>
      <c r="S117" s="59">
        <f ca="1">AVERAGE(OFFSET($R$3,0,0,'Données projet'!$E$9+1,1))-AVERAGE(OFFSET($H$3,0,0,'Données projet'!$E$9+1,1))</f>
        <v>528.20489749461376</v>
      </c>
      <c r="T117" s="59">
        <f t="shared" si="88"/>
        <v>276.26988364830532</v>
      </c>
      <c r="U117" s="15">
        <f>IF(ISNA(VLOOKUP(A117,'Données projet'!$A$35:$I$55,3,0)),0,VLOOKUP(A117,'Données projet'!$A$35:$I$55,3,0))</f>
        <v>10</v>
      </c>
      <c r="V117" s="15">
        <f>IF(ISNA(VLOOKUP(A117,'Données projet'!$A$35:$I$55,4,0)),0,VLOOKUP(A117,'Données projet'!$A$35:$I$55,4,0))</f>
        <v>43</v>
      </c>
      <c r="W117" s="16">
        <f>IF(ISNA(VLOOKUP(A117,'Données projet'!$A$35:$I$55,5,0)),0%,VLOOKUP(A117,'Données projet'!$A$35:$I$55,5,0)*VLOOKUP('Données projet'!$B$9,Paramètres!$A$1:$I$89,7,0))</f>
        <v>0.25800000000000001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55.562150892036854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55.562150892036854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2.2737367544323206E-13</v>
      </c>
      <c r="AJ117" s="13">
        <f>AI117*VLOOKUP('Données projet'!$B$10,Paramètres!$A$1:$I$89,3,0)*VLOOKUP('Données projet'!$B$10,Paramètres!$A$1:$I$89,5,0)</f>
        <v>2.0572770154103635E-13</v>
      </c>
      <c r="AK117" s="13">
        <f t="shared" si="89"/>
        <v>2.8416956338469711E-12</v>
      </c>
      <c r="AL117" s="20">
        <f t="shared" si="58"/>
        <v>5.3075956424674458E-12</v>
      </c>
      <c r="AM117" s="59">
        <f t="shared" si="59"/>
        <v>293.3333333333386</v>
      </c>
      <c r="AN117" s="59">
        <f ca="1">AVERAGE(OFFSET($AM$3,0,0,'Données projet'!$E$10+1,1))-AVERAGE(OFFSET($H$3,0,0,'Données projet'!$E$10+1,1))</f>
        <v>436.23918637269577</v>
      </c>
      <c r="AO117" s="59">
        <f t="shared" si="90"/>
        <v>611.43967996341894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18.620295332859566</v>
      </c>
      <c r="AV117" s="21">
        <f>EXP(-LN(2)/25)*AV116+(1-EXP(-LN(2)/25))/(LN(2)/25)*Calculateur!AQ117*Calculateur!AS117*VLOOKUP('Données projet'!$B$10,Paramètres!$A$1:$I$89,3,0)*0.475*44/12</f>
        <v>6.3901286038612737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25.010423936720841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4.4337866711430253E-14</v>
      </c>
      <c r="BF117" s="13">
        <f t="shared" si="91"/>
        <v>7.3222115536967035E-13</v>
      </c>
      <c r="BG117" s="20">
        <f t="shared" si="61"/>
        <v>1.3525069634579169E-12</v>
      </c>
      <c r="BH117" s="59">
        <f t="shared" si="62"/>
        <v>293.33333333333468</v>
      </c>
      <c r="BI117" s="59">
        <f ca="1">AVERAGE(OFFSET($BH$3,0,0,'Données projet'!$E$11+1,1))-AVERAGE(OFFSET($H$3,0,0,'Données projet'!$E$11+1,1))</f>
        <v>288.82868507674738</v>
      </c>
      <c r="BJ117" s="59">
        <f t="shared" si="92"/>
        <v>283.48738729114024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36.277496456309713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36.277496456309713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2.1316282072803006E-14</v>
      </c>
      <c r="BZ117" s="13">
        <f>BY117*VLOOKUP('Données projet'!$B$12,Paramètres!$A$1:$I$89,3,0)*VLOOKUP('Données projet'!$B$12,Paramètres!$A$1:$I$89,5,0)</f>
        <v>1.8621904018800709E-14</v>
      </c>
      <c r="CA117" s="13">
        <f t="shared" si="93"/>
        <v>3.40208645124969E-13</v>
      </c>
      <c r="CB117" s="20">
        <f t="shared" si="64"/>
        <v>6.2496320642539887E-13</v>
      </c>
      <c r="CC117" s="59">
        <f t="shared" si="65"/>
        <v>293.33333333333394</v>
      </c>
      <c r="CD117" s="59">
        <f ca="1">AVERAGE(OFFSET($CC$3,0,0,'Données projet'!$E$12+1,1))-AVERAGE(OFFSET($H$3,0,0,'Données projet'!$E$12+1,1))</f>
        <v>93.329407403816901</v>
      </c>
      <c r="CE117" s="59">
        <f t="shared" si="94"/>
        <v>90.925148357295313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8.8695573409794655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8.8695573409794655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-2.2737367544323206E-13</v>
      </c>
      <c r="CU117" s="17">
        <f>CT117*VLOOKUP('Données projet'!$B$13,Paramètres!$A$1:$I$89,3,0)*VLOOKUP('Données projet'!$B$13,Paramètres!$A$1:$I$89,5,0)</f>
        <v>-2.1636878955177963E-13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805.04572055352492</v>
      </c>
      <c r="CZ117" s="59">
        <f t="shared" si="96"/>
        <v>708.66645042414962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207.43668753576804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207.43668753576804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-1.1368683772161603E-13</v>
      </c>
      <c r="DP117" s="17">
        <f>DO117*VLOOKUP('Données projet'!$B$14,Paramètres!$A$1:$I$89,3,0)*VLOOKUP('Données projet'!$B$14,Paramètres!$A$1:$I$89,5,0)</f>
        <v>-7.626113074366004E-14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482.69499576870095</v>
      </c>
      <c r="DU117" s="59">
        <f t="shared" si="98"/>
        <v>384.28918352579575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128.31922800972595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128.31922800972595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1.7053025658242404E-13</v>
      </c>
      <c r="EK117" s="17">
        <f>EJ117*VLOOKUP('Données projet'!$B$15,Paramètres!$A$1:$I$89,3,0)*VLOOKUP('Données projet'!$B$15,Paramètres!$A$1:$I$89,5,0)</f>
        <v>1.250327841262333E-13</v>
      </c>
      <c r="EL117" s="13">
        <f t="shared" si="99"/>
        <v>1.8301318724634299E-12</v>
      </c>
      <c r="EM117" s="20">
        <f t="shared" si="73"/>
        <v>3.405245110226996E-12</v>
      </c>
      <c r="EN117" s="59">
        <f t="shared" si="74"/>
        <v>293.33333333333672</v>
      </c>
      <c r="EO117" s="59">
        <f ca="1">AVERAGE(OFFSET($EN$3,0,0,'Données projet'!$E$15+1,1))-AVERAGE(OFFSET($H$3,0,0,'Données projet'!$E$15+1,1))</f>
        <v>197.34725966440715</v>
      </c>
      <c r="EP117" s="59">
        <f t="shared" si="100"/>
        <v>240.16326570529532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12.318054414226511</v>
      </c>
      <c r="EW117" s="21">
        <f>EXP(-LN(2)/25)*EW116+(1-EXP(-LN(2)/25))/(LN(2)/25)*Calculateur!ER117*Calculateur!ET117*VLOOKUP('Données projet'!$B$15,Paramètres!$A$1:$I$89,3,0)*0.475*44/12</f>
        <v>5.2227483640277557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17.540802778254267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2.2737367544323206E-13</v>
      </c>
      <c r="FF117" s="17">
        <f>FE117*VLOOKUP('Données projet'!$B$16,Paramètres!$A$1:$I$89,3,0)*VLOOKUP('Données projet'!$B$16,Paramètres!$A$1:$I$89,5,0)</f>
        <v>1.2710188457276673E-13</v>
      </c>
      <c r="FG117" s="13">
        <f t="shared" si="101"/>
        <v>1.856866851063998E-12</v>
      </c>
      <c r="FH117" s="20">
        <f t="shared" si="76"/>
        <v>3.4554122145673649E-12</v>
      </c>
      <c r="FI117" s="59">
        <f t="shared" si="77"/>
        <v>293.33333333333678</v>
      </c>
      <c r="FJ117" s="59">
        <f ca="1">AVERAGE(OFFSET($FI$3,0,0,'Données projet'!$E$16+1,1))-AVERAGE(OFFSET($H$3,0,0,'Données projet'!$E$16+1,1))</f>
        <v>346.42094266871379</v>
      </c>
      <c r="FK117" s="59">
        <f t="shared" si="102"/>
        <v>453.48153556975973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58.778280156591933</v>
      </c>
      <c r="FR117" s="21">
        <f>EXP(-LN(2)/25)*FR116+(1-EXP(-LN(2)/25))/(LN(2)/25)*Calculateur!FM117*Calculateur!FO117*VLOOKUP('Données projet'!$B$16,Paramètres!$A$1:$I$89,3,0)*0.475*44/12</f>
        <v>23.607496602264398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82.385776758856338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-1.1368683772161603E-13</v>
      </c>
      <c r="GA117" s="17">
        <f>FZ117*VLOOKUP('Données projet'!$B$17,Paramètres!$A$1:$I$89,3,0)*VLOOKUP('Données projet'!$B$17,Paramètres!$A$1:$I$89,5,0)</f>
        <v>-5.3205440053716299E-14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198.26255998041</v>
      </c>
      <c r="GF117" s="59">
        <f t="shared" si="104"/>
        <v>238.62101708181166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37.675070822733815</v>
      </c>
      <c r="GM117" s="21">
        <f>EXP(-LN(2)/25)*GM116+(1-EXP(-LN(2)/25))/(LN(2)/25)*Calculateur!GH117*Calculateur!GJ117*VLOOKUP('Données projet'!$B$17,Paramètres!$A$1:$I$89,3,0)*0.475*44/12</f>
        <v>13.932487704604597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51.607558527338412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>
        <f>GU117*VLOOKUP('Données projet'!$B$18,Paramètres!$A$1:$I$89,3,0)*VLOOKUP('Données projet'!$B$18,Paramètres!$A$1:$I$89,5,0)</f>
        <v>0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604.0566904089452</v>
      </c>
      <c r="HA117" s="59">
        <f t="shared" si="106"/>
        <v>369.5187835902687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110.19793132829854</v>
      </c>
      <c r="HH117" s="21">
        <f>EXP(-LN(2)/25)*HH116+(1-EXP(-LN(2)/25))/(LN(2)/25)*Calculateur!HC117*Calculateur!HE117*VLOOKUP('Données projet'!$B$18,Paramètres!$A$1:$I$89,3,0)*0.475*44/12</f>
        <v>39.369743000468453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149.567674328767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6.8888888888888893</v>
      </c>
      <c r="N118" s="13">
        <f>IF('Données projet'!$A$36&gt;35,N117+M118-V117,IF(A118&lt;'Données projet'!$A$36,$K$205^A118,IF(A118='Données projet'!$A$36,'Données projet'!$B$36,N117+M118-V117)))</f>
        <v>341.88888888888863</v>
      </c>
      <c r="O118" s="13">
        <f>N118*VLOOKUP('Données projet'!$B$9,Paramètres!$A$1:$I$89,3,0)*VLOOKUP('Données projet'!$B$9,Paramètres!$A$1:$I$89,5,0)</f>
        <v>309.34106666666639</v>
      </c>
      <c r="P118" s="13">
        <f t="shared" si="87"/>
        <v>73.131201628191135</v>
      </c>
      <c r="Q118" s="20">
        <f t="shared" si="107"/>
        <v>666.13920061354349</v>
      </c>
      <c r="R118" s="59">
        <f t="shared" si="55"/>
        <v>959.47253394687687</v>
      </c>
      <c r="S118" s="59">
        <f ca="1">AVERAGE(OFFSET($R$3,0,0,'Données projet'!$E$9+1,1))-AVERAGE(OFFSET($H$3,0,0,'Données projet'!$E$9+1,1))</f>
        <v>528.20489749461376</v>
      </c>
      <c r="T118" s="59">
        <f t="shared" si="88"/>
        <v>276.26988364830532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54.472611002609739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54.472611002609739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2.2737367544323206E-13</v>
      </c>
      <c r="AJ118" s="13">
        <f>AI118*VLOOKUP('Données projet'!$B$10,Paramètres!$A$1:$I$89,3,0)*VLOOKUP('Données projet'!$B$10,Paramètres!$A$1:$I$89,5,0)</f>
        <v>2.0572770154103635E-13</v>
      </c>
      <c r="AK118" s="13">
        <f t="shared" si="89"/>
        <v>2.8416956338469711E-12</v>
      </c>
      <c r="AL118" s="20">
        <f t="shared" si="58"/>
        <v>5.3075956424674458E-12</v>
      </c>
      <c r="AM118" s="59">
        <f t="shared" si="59"/>
        <v>293.3333333333386</v>
      </c>
      <c r="AN118" s="59">
        <f ca="1">AVERAGE(OFFSET($AM$3,0,0,'Données projet'!$E$10+1,1))-AVERAGE(OFFSET($H$3,0,0,'Données projet'!$E$10+1,1))</f>
        <v>436.23918637269577</v>
      </c>
      <c r="AO118" s="59">
        <f t="shared" si="90"/>
        <v>611.43967996341894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18.255162698640905</v>
      </c>
      <c r="AV118" s="21">
        <f>EXP(-LN(2)/25)*AV117+(1-EXP(-LN(2)/25))/(LN(2)/25)*Calculateur!AQ118*Calculateur!AS118*VLOOKUP('Données projet'!$B$10,Paramètres!$A$1:$I$89,3,0)*0.475*44/12</f>
        <v>6.2153902011464286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24.470552899787336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4.4337866711430253E-14</v>
      </c>
      <c r="BF118" s="13">
        <f t="shared" si="91"/>
        <v>7.3222115536967035E-13</v>
      </c>
      <c r="BG118" s="20">
        <f t="shared" si="61"/>
        <v>1.3525069634579169E-12</v>
      </c>
      <c r="BH118" s="59">
        <f t="shared" si="62"/>
        <v>293.33333333333468</v>
      </c>
      <c r="BI118" s="59">
        <f ca="1">AVERAGE(OFFSET($BH$3,0,0,'Données projet'!$E$11+1,1))-AVERAGE(OFFSET($H$3,0,0,'Données projet'!$E$11+1,1))</f>
        <v>288.82868507674738</v>
      </c>
      <c r="BJ118" s="59">
        <f t="shared" si="92"/>
        <v>283.48738729114024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35.566116877889449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35.566116877889449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2.1316282072803006E-14</v>
      </c>
      <c r="BZ118" s="13">
        <f>BY118*VLOOKUP('Données projet'!$B$12,Paramètres!$A$1:$I$89,3,0)*VLOOKUP('Données projet'!$B$12,Paramètres!$A$1:$I$89,5,0)</f>
        <v>1.8621904018800709E-14</v>
      </c>
      <c r="CA118" s="13">
        <f t="shared" si="93"/>
        <v>3.40208645124969E-13</v>
      </c>
      <c r="CB118" s="20">
        <f t="shared" si="64"/>
        <v>6.2496320642539887E-13</v>
      </c>
      <c r="CC118" s="59">
        <f t="shared" si="65"/>
        <v>293.33333333333394</v>
      </c>
      <c r="CD118" s="59">
        <f ca="1">AVERAGE(OFFSET($CC$3,0,0,'Données projet'!$E$12+1,1))-AVERAGE(OFFSET($H$3,0,0,'Données projet'!$E$12+1,1))</f>
        <v>93.329407403816901</v>
      </c>
      <c r="CE118" s="59">
        <f t="shared" si="94"/>
        <v>90.925148357295313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8.6956307314186532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8.6956307314186532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-2.2737367544323206E-13</v>
      </c>
      <c r="CU118" s="17">
        <f>CT118*VLOOKUP('Données projet'!$B$13,Paramètres!$A$1:$I$89,3,0)*VLOOKUP('Données projet'!$B$13,Paramètres!$A$1:$I$89,5,0)</f>
        <v>-2.1636878955177963E-13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805.04572055352492</v>
      </c>
      <c r="CZ118" s="59">
        <f t="shared" si="96"/>
        <v>708.66645042414962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203.36898061707782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203.36898061707782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-1.1368683772161603E-13</v>
      </c>
      <c r="DP118" s="17">
        <f>DO118*VLOOKUP('Données projet'!$B$14,Paramètres!$A$1:$I$89,3,0)*VLOOKUP('Données projet'!$B$14,Paramètres!$A$1:$I$89,5,0)</f>
        <v>-7.626113074366004E-14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482.69499576870095</v>
      </c>
      <c r="DU118" s="59">
        <f t="shared" si="98"/>
        <v>384.28918352579575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125.80296621545608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125.80296621545608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1.7053025658242404E-13</v>
      </c>
      <c r="EK118" s="17">
        <f>EJ118*VLOOKUP('Données projet'!$B$15,Paramètres!$A$1:$I$89,3,0)*VLOOKUP('Données projet'!$B$15,Paramètres!$A$1:$I$89,5,0)</f>
        <v>1.250327841262333E-13</v>
      </c>
      <c r="EL118" s="13">
        <f t="shared" si="99"/>
        <v>1.8301318724634299E-12</v>
      </c>
      <c r="EM118" s="20">
        <f t="shared" si="73"/>
        <v>3.405245110226996E-12</v>
      </c>
      <c r="EN118" s="59">
        <f t="shared" si="74"/>
        <v>293.33333333333672</v>
      </c>
      <c r="EO118" s="59">
        <f ca="1">AVERAGE(OFFSET($EN$3,0,0,'Données projet'!$E$15+1,1))-AVERAGE(OFFSET($H$3,0,0,'Données projet'!$E$15+1,1))</f>
        <v>197.34725966440715</v>
      </c>
      <c r="EP118" s="59">
        <f t="shared" si="100"/>
        <v>240.16326570529532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12.076504880434848</v>
      </c>
      <c r="EW118" s="21">
        <f>EXP(-LN(2)/25)*EW117+(1-EXP(-LN(2)/25))/(LN(2)/25)*Calculateur!ER118*Calculateur!ET118*VLOOKUP('Données projet'!$B$15,Paramètres!$A$1:$I$89,3,0)*0.475*44/12</f>
        <v>5.0799320353610167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17.156436915795865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2.2737367544323206E-13</v>
      </c>
      <c r="FF118" s="17">
        <f>FE118*VLOOKUP('Données projet'!$B$16,Paramètres!$A$1:$I$89,3,0)*VLOOKUP('Données projet'!$B$16,Paramètres!$A$1:$I$89,5,0)</f>
        <v>1.2710188457276673E-13</v>
      </c>
      <c r="FG118" s="13">
        <f t="shared" si="101"/>
        <v>1.856866851063998E-12</v>
      </c>
      <c r="FH118" s="20">
        <f t="shared" si="76"/>
        <v>3.4554122145673649E-12</v>
      </c>
      <c r="FI118" s="59">
        <f t="shared" si="77"/>
        <v>293.33333333333678</v>
      </c>
      <c r="FJ118" s="59">
        <f ca="1">AVERAGE(OFFSET($FI$3,0,0,'Données projet'!$E$16+1,1))-AVERAGE(OFFSET($H$3,0,0,'Données projet'!$E$16+1,1))</f>
        <v>346.42094266871379</v>
      </c>
      <c r="FK118" s="59">
        <f t="shared" si="102"/>
        <v>453.48153556975973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57.625673933932049</v>
      </c>
      <c r="FR118" s="21">
        <f>EXP(-LN(2)/25)*FR117+(1-EXP(-LN(2)/25))/(LN(2)/25)*Calculateur!FM118*Calculateur!FO118*VLOOKUP('Données projet'!$B$16,Paramètres!$A$1:$I$89,3,0)*0.475*44/12</f>
        <v>22.961948366211185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80.587622300143238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-1.1368683772161603E-13</v>
      </c>
      <c r="GA118" s="17">
        <f>FZ118*VLOOKUP('Données projet'!$B$17,Paramètres!$A$1:$I$89,3,0)*VLOOKUP('Données projet'!$B$17,Paramètres!$A$1:$I$89,5,0)</f>
        <v>-5.3205440053716299E-14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198.26255998041</v>
      </c>
      <c r="GF118" s="59">
        <f t="shared" si="104"/>
        <v>238.62101708181166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36.936285663424165</v>
      </c>
      <c r="GM118" s="21">
        <f>EXP(-LN(2)/25)*GM117+(1-EXP(-LN(2)/25))/(LN(2)/25)*Calculateur!GH118*Calculateur!GJ118*VLOOKUP('Données projet'!$B$17,Paramètres!$A$1:$I$89,3,0)*0.475*44/12</f>
        <v>13.551503095644499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50.487788759068664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>
        <f>GU118*VLOOKUP('Données projet'!$B$18,Paramètres!$A$1:$I$89,3,0)*VLOOKUP('Données projet'!$B$18,Paramètres!$A$1:$I$89,5,0)</f>
        <v>0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604.0566904089452</v>
      </c>
      <c r="HA118" s="59">
        <f t="shared" si="106"/>
        <v>369.5187835902687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108.03701710905187</v>
      </c>
      <c r="HH118" s="21">
        <f>EXP(-LN(2)/25)*HH117+(1-EXP(-LN(2)/25))/(LN(2)/25)*Calculateur!HC118*Calculateur!HE118*VLOOKUP('Données projet'!$B$18,Paramètres!$A$1:$I$89,3,0)*0.475*44/12</f>
        <v>38.293175307755838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146.33019241680771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6.8888888888888893</v>
      </c>
      <c r="N119" s="13">
        <f>IF('Données projet'!$A$36&gt;35,N118+M119-V118,IF(A119&lt;'Données projet'!$A$36,$K$205^A119,IF(A119='Données projet'!$A$36,'Données projet'!$B$36,N118+M119-V118)))</f>
        <v>348.77777777777754</v>
      </c>
      <c r="O119" s="13">
        <f>N119*VLOOKUP('Données projet'!$B$9,Paramètres!$A$1:$I$89,3,0)*VLOOKUP('Données projet'!$B$9,Paramètres!$A$1:$I$89,5,0)</f>
        <v>315.57413333333307</v>
      </c>
      <c r="P119" s="13">
        <f t="shared" si="87"/>
        <v>74.431720913378925</v>
      </c>
      <c r="Q119" s="20">
        <f t="shared" si="107"/>
        <v>679.26019614635663</v>
      </c>
      <c r="R119" s="59">
        <f t="shared" si="55"/>
        <v>972.59352947969001</v>
      </c>
      <c r="S119" s="59">
        <f ca="1">AVERAGE(OFFSET($R$3,0,0,'Données projet'!$E$9+1,1))-AVERAGE(OFFSET($H$3,0,0,'Données projet'!$E$9+1,1))</f>
        <v>528.20489749461376</v>
      </c>
      <c r="T119" s="59">
        <f t="shared" si="88"/>
        <v>276.26988364830532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53.404436325860573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53.404436325860573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2.2737367544323206E-13</v>
      </c>
      <c r="AJ119" s="13">
        <f>AI119*VLOOKUP('Données projet'!$B$10,Paramètres!$A$1:$I$89,3,0)*VLOOKUP('Données projet'!$B$10,Paramètres!$A$1:$I$89,5,0)</f>
        <v>2.0572770154103635E-13</v>
      </c>
      <c r="AK119" s="13">
        <f t="shared" si="89"/>
        <v>2.8416956338469711E-12</v>
      </c>
      <c r="AL119" s="20">
        <f t="shared" si="58"/>
        <v>5.3075956424674458E-12</v>
      </c>
      <c r="AM119" s="59">
        <f t="shared" si="59"/>
        <v>293.3333333333386</v>
      </c>
      <c r="AN119" s="59">
        <f ca="1">AVERAGE(OFFSET($AM$3,0,0,'Données projet'!$E$10+1,1))-AVERAGE(OFFSET($H$3,0,0,'Données projet'!$E$10+1,1))</f>
        <v>436.23918637269577</v>
      </c>
      <c r="AO119" s="59">
        <f t="shared" si="90"/>
        <v>611.43967996341894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17.897190092670357</v>
      </c>
      <c r="AV119" s="21">
        <f>EXP(-LN(2)/25)*AV118+(1-EXP(-LN(2)/25))/(LN(2)/25)*Calculateur!AQ119*Calculateur!AS119*VLOOKUP('Données projet'!$B$10,Paramètres!$A$1:$I$89,3,0)*0.475*44/12</f>
        <v>6.0454300292429144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23.942620121913272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4.4337866711430253E-14</v>
      </c>
      <c r="BF119" s="13">
        <f t="shared" si="91"/>
        <v>7.3222115536967035E-13</v>
      </c>
      <c r="BG119" s="20">
        <f t="shared" si="61"/>
        <v>1.3525069634579169E-12</v>
      </c>
      <c r="BH119" s="59">
        <f t="shared" si="62"/>
        <v>293.33333333333468</v>
      </c>
      <c r="BI119" s="59">
        <f ca="1">AVERAGE(OFFSET($BH$3,0,0,'Données projet'!$E$11+1,1))-AVERAGE(OFFSET($H$3,0,0,'Données projet'!$E$11+1,1))</f>
        <v>288.82868507674738</v>
      </c>
      <c r="BJ119" s="59">
        <f t="shared" si="92"/>
        <v>283.48738729114024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34.868687019103305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34.868687019103305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2.1316282072803006E-14</v>
      </c>
      <c r="BZ119" s="13">
        <f>BY119*VLOOKUP('Données projet'!$B$12,Paramètres!$A$1:$I$89,3,0)*VLOOKUP('Données projet'!$B$12,Paramètres!$A$1:$I$89,5,0)</f>
        <v>1.8621904018800709E-14</v>
      </c>
      <c r="CA119" s="13">
        <f t="shared" si="93"/>
        <v>3.40208645124969E-13</v>
      </c>
      <c r="CB119" s="20">
        <f t="shared" si="64"/>
        <v>6.2496320642539887E-13</v>
      </c>
      <c r="CC119" s="59">
        <f t="shared" si="65"/>
        <v>293.33333333333394</v>
      </c>
      <c r="CD119" s="59">
        <f ca="1">AVERAGE(OFFSET($CC$3,0,0,'Données projet'!$E$12+1,1))-AVERAGE(OFFSET($H$3,0,0,'Données projet'!$E$12+1,1))</f>
        <v>93.329407403816901</v>
      </c>
      <c r="CE119" s="59">
        <f t="shared" si="94"/>
        <v>90.925148357295313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8.5251147165865717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8.5251147165865717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-2.2737367544323206E-13</v>
      </c>
      <c r="CU119" s="17">
        <f>CT119*VLOOKUP('Données projet'!$B$13,Paramètres!$A$1:$I$89,3,0)*VLOOKUP('Données projet'!$B$13,Paramètres!$A$1:$I$89,5,0)</f>
        <v>-2.1636878955177963E-13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805.04572055352492</v>
      </c>
      <c r="CZ119" s="59">
        <f t="shared" si="96"/>
        <v>708.66645042414962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199.38103895000688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199.38103895000688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-1.1368683772161603E-13</v>
      </c>
      <c r="DP119" s="17">
        <f>DO119*VLOOKUP('Données projet'!$B$14,Paramètres!$A$1:$I$89,3,0)*VLOOKUP('Données projet'!$B$14,Paramètres!$A$1:$I$89,5,0)</f>
        <v>-7.626113074366004E-14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482.69499576870095</v>
      </c>
      <c r="DU119" s="59">
        <f t="shared" si="98"/>
        <v>384.28918352579575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123.3360467802037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123.3360467802037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1.7053025658242404E-13</v>
      </c>
      <c r="EK119" s="17">
        <f>EJ119*VLOOKUP('Données projet'!$B$15,Paramètres!$A$1:$I$89,3,0)*VLOOKUP('Données projet'!$B$15,Paramètres!$A$1:$I$89,5,0)</f>
        <v>1.250327841262333E-13</v>
      </c>
      <c r="EL119" s="13">
        <f t="shared" si="99"/>
        <v>1.8301318724634299E-12</v>
      </c>
      <c r="EM119" s="20">
        <f t="shared" si="73"/>
        <v>3.405245110226996E-12</v>
      </c>
      <c r="EN119" s="59">
        <f t="shared" si="74"/>
        <v>293.33333333333672</v>
      </c>
      <c r="EO119" s="59">
        <f ca="1">AVERAGE(OFFSET($EN$3,0,0,'Données projet'!$E$15+1,1))-AVERAGE(OFFSET($H$3,0,0,'Données projet'!$E$15+1,1))</f>
        <v>197.34725966440715</v>
      </c>
      <c r="EP119" s="59">
        <f t="shared" si="100"/>
        <v>240.16326570529532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11.839691985670171</v>
      </c>
      <c r="EW119" s="21">
        <f>EXP(-LN(2)/25)*EW118+(1-EXP(-LN(2)/25))/(LN(2)/25)*Calculateur!ER119*Calculateur!ET119*VLOOKUP('Données projet'!$B$15,Paramètres!$A$1:$I$89,3,0)*0.475*44/12</f>
        <v>4.941021026712054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16.780713012382225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2.2737367544323206E-13</v>
      </c>
      <c r="FF119" s="17">
        <f>FE119*VLOOKUP('Données projet'!$B$16,Paramètres!$A$1:$I$89,3,0)*VLOOKUP('Données projet'!$B$16,Paramètres!$A$1:$I$89,5,0)</f>
        <v>1.2710188457276673E-13</v>
      </c>
      <c r="FG119" s="13">
        <f t="shared" si="101"/>
        <v>1.856866851063998E-12</v>
      </c>
      <c r="FH119" s="20">
        <f t="shared" si="76"/>
        <v>3.4554122145673649E-12</v>
      </c>
      <c r="FI119" s="59">
        <f t="shared" si="77"/>
        <v>293.33333333333678</v>
      </c>
      <c r="FJ119" s="59">
        <f ca="1">AVERAGE(OFFSET($FI$3,0,0,'Données projet'!$E$16+1,1))-AVERAGE(OFFSET($H$3,0,0,'Données projet'!$E$16+1,1))</f>
        <v>346.42094266871379</v>
      </c>
      <c r="FK119" s="59">
        <f t="shared" si="102"/>
        <v>453.48153556975973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56.495669616278143</v>
      </c>
      <c r="FR119" s="21">
        <f>EXP(-LN(2)/25)*FR118+(1-EXP(-LN(2)/25))/(LN(2)/25)*Calculateur!FM119*Calculateur!FO119*VLOOKUP('Données projet'!$B$16,Paramètres!$A$1:$I$89,3,0)*0.475*44/12</f>
        <v>22.334052680620758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78.829722296898893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-1.1368683772161603E-13</v>
      </c>
      <c r="GA119" s="17">
        <f>FZ119*VLOOKUP('Données projet'!$B$17,Paramètres!$A$1:$I$89,3,0)*VLOOKUP('Données projet'!$B$17,Paramètres!$A$1:$I$89,5,0)</f>
        <v>-5.3205440053716299E-14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198.26255998041</v>
      </c>
      <c r="GF119" s="59">
        <f t="shared" si="104"/>
        <v>238.62101708181166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36.211987630474127</v>
      </c>
      <c r="GM119" s="21">
        <f>EXP(-LN(2)/25)*GM118+(1-EXP(-LN(2)/25))/(LN(2)/25)*Calculateur!GH119*Calculateur!GJ119*VLOOKUP('Données projet'!$B$17,Paramètres!$A$1:$I$89,3,0)*0.475*44/12</f>
        <v>13.180936530851525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49.392924161325652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>
        <f>GU119*VLOOKUP('Données projet'!$B$18,Paramètres!$A$1:$I$89,3,0)*VLOOKUP('Données projet'!$B$18,Paramètres!$A$1:$I$89,5,0)</f>
        <v>0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604.0566904089452</v>
      </c>
      <c r="HA119" s="59">
        <f t="shared" si="106"/>
        <v>369.5187835902687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105.91847709961711</v>
      </c>
      <c r="HH119" s="21">
        <f>EXP(-LN(2)/25)*HH118+(1-EXP(-LN(2)/25))/(LN(2)/25)*Calculateur!HC119*Calculateur!HE119*VLOOKUP('Données projet'!$B$18,Paramètres!$A$1:$I$89,3,0)*0.475*44/12</f>
        <v>37.246046415214686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143.16452351483179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6.8888888888888893</v>
      </c>
      <c r="N120" s="13">
        <f>IF('Données projet'!$A$36&gt;35,N119+M120-V119,IF(A120&lt;'Données projet'!$A$36,$K$205^A120,IF(A120='Données projet'!$A$36,'Données projet'!$B$36,N119+M120-V119)))</f>
        <v>355.66666666666646</v>
      </c>
      <c r="O120" s="13">
        <f>N120*VLOOKUP('Données projet'!$B$9,Paramètres!$A$1:$I$89,3,0)*VLOOKUP('Données projet'!$B$9,Paramètres!$A$1:$I$89,5,0)</f>
        <v>321.8071999999998</v>
      </c>
      <c r="P120" s="13">
        <f t="shared" si="87"/>
        <v>75.729253434901736</v>
      </c>
      <c r="Q120" s="20">
        <f t="shared" si="107"/>
        <v>692.37598973245349</v>
      </c>
      <c r="R120" s="59">
        <f t="shared" si="55"/>
        <v>985.70932306578675</v>
      </c>
      <c r="S120" s="59">
        <f ca="1">AVERAGE(OFFSET($R$3,0,0,'Données projet'!$E$9+1,1))-AVERAGE(OFFSET($H$3,0,0,'Données projet'!$E$9+1,1))</f>
        <v>528.20489749461376</v>
      </c>
      <c r="T120" s="59">
        <f t="shared" si="88"/>
        <v>276.26988364830532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52.357207903000244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52.357207903000244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2.2737367544323206E-13</v>
      </c>
      <c r="AJ120" s="13">
        <f>AI120*VLOOKUP('Données projet'!$B$10,Paramètres!$A$1:$I$89,3,0)*VLOOKUP('Données projet'!$B$10,Paramètres!$A$1:$I$89,5,0)</f>
        <v>2.0572770154103635E-13</v>
      </c>
      <c r="AK120" s="13">
        <f t="shared" si="89"/>
        <v>2.8416956338469711E-12</v>
      </c>
      <c r="AL120" s="20">
        <f t="shared" si="58"/>
        <v>5.3075956424674458E-12</v>
      </c>
      <c r="AM120" s="59">
        <f t="shared" si="59"/>
        <v>293.3333333333386</v>
      </c>
      <c r="AN120" s="59">
        <f ca="1">AVERAGE(OFFSET($AM$3,0,0,'Données projet'!$E$10+1,1))-AVERAGE(OFFSET($H$3,0,0,'Données projet'!$E$10+1,1))</f>
        <v>436.23918637269577</v>
      </c>
      <c r="AO120" s="59">
        <f t="shared" si="90"/>
        <v>611.43967996341894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17.546237111161162</v>
      </c>
      <c r="AV120" s="21">
        <f>EXP(-LN(2)/25)*AV119+(1-EXP(-LN(2)/25))/(LN(2)/25)*Calculateur!AQ120*Calculateur!AS120*VLOOKUP('Données projet'!$B$10,Paramètres!$A$1:$I$89,3,0)*0.475*44/12</f>
        <v>5.8801174271779191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23.42635453833908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4.4337866711430253E-14</v>
      </c>
      <c r="BF120" s="13">
        <f t="shared" si="91"/>
        <v>7.3222115536967035E-13</v>
      </c>
      <c r="BG120" s="20">
        <f t="shared" si="61"/>
        <v>1.3525069634579169E-12</v>
      </c>
      <c r="BH120" s="59">
        <f t="shared" si="62"/>
        <v>293.33333333333468</v>
      </c>
      <c r="BI120" s="59">
        <f ca="1">AVERAGE(OFFSET($BH$3,0,0,'Données projet'!$E$11+1,1))-AVERAGE(OFFSET($H$3,0,0,'Données projet'!$E$11+1,1))</f>
        <v>288.82868507674738</v>
      </c>
      <c r="BJ120" s="59">
        <f t="shared" si="92"/>
        <v>283.48738729114024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34.184933334457753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34.184933334457753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2.1316282072803006E-14</v>
      </c>
      <c r="BZ120" s="13">
        <f>BY120*VLOOKUP('Données projet'!$B$12,Paramètres!$A$1:$I$89,3,0)*VLOOKUP('Données projet'!$B$12,Paramètres!$A$1:$I$89,5,0)</f>
        <v>1.8621904018800709E-14</v>
      </c>
      <c r="CA120" s="13">
        <f t="shared" si="93"/>
        <v>3.40208645124969E-13</v>
      </c>
      <c r="CB120" s="20">
        <f t="shared" si="64"/>
        <v>6.2496320642539887E-13</v>
      </c>
      <c r="CC120" s="59">
        <f t="shared" si="65"/>
        <v>293.33333333333394</v>
      </c>
      <c r="CD120" s="59">
        <f ca="1">AVERAGE(OFFSET($CC$3,0,0,'Données projet'!$E$12+1,1))-AVERAGE(OFFSET($H$3,0,0,'Données projet'!$E$12+1,1))</f>
        <v>93.329407403816901</v>
      </c>
      <c r="CE120" s="59">
        <f t="shared" si="94"/>
        <v>90.925148357295313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8.3579424168008476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8.3579424168008476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-2.2737367544323206E-13</v>
      </c>
      <c r="CU120" s="17">
        <f>CT120*VLOOKUP('Données projet'!$B$13,Paramètres!$A$1:$I$89,3,0)*VLOOKUP('Données projet'!$B$13,Paramètres!$A$1:$I$89,5,0)</f>
        <v>-2.1636878955177963E-13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805.04572055352492</v>
      </c>
      <c r="CZ120" s="59">
        <f t="shared" si="96"/>
        <v>708.66645042414962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195.47129838662298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195.47129838662298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-1.1368683772161603E-13</v>
      </c>
      <c r="DP120" s="17">
        <f>DO120*VLOOKUP('Données projet'!$B$14,Paramètres!$A$1:$I$89,3,0)*VLOOKUP('Données projet'!$B$14,Paramètres!$A$1:$I$89,5,0)</f>
        <v>-7.626113074366004E-14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482.69499576870095</v>
      </c>
      <c r="DU120" s="59">
        <f t="shared" si="98"/>
        <v>384.28918352579575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120.91750213040434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120.91750213040434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1.7053025658242404E-13</v>
      </c>
      <c r="EK120" s="17">
        <f>EJ120*VLOOKUP('Données projet'!$B$15,Paramètres!$A$1:$I$89,3,0)*VLOOKUP('Données projet'!$B$15,Paramètres!$A$1:$I$89,5,0)</f>
        <v>1.250327841262333E-13</v>
      </c>
      <c r="EL120" s="13">
        <f t="shared" si="99"/>
        <v>1.8301318724634299E-12</v>
      </c>
      <c r="EM120" s="20">
        <f t="shared" si="73"/>
        <v>3.405245110226996E-12</v>
      </c>
      <c r="EN120" s="59">
        <f t="shared" si="74"/>
        <v>293.33333333333672</v>
      </c>
      <c r="EO120" s="59">
        <f ca="1">AVERAGE(OFFSET($EN$3,0,0,'Données projet'!$E$15+1,1))-AVERAGE(OFFSET($H$3,0,0,'Données projet'!$E$15+1,1))</f>
        <v>197.34725966440715</v>
      </c>
      <c r="EP120" s="59">
        <f t="shared" si="100"/>
        <v>240.16326570529532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11.607522847330227</v>
      </c>
      <c r="EW120" s="21">
        <f>EXP(-LN(2)/25)*EW119+(1-EXP(-LN(2)/25))/(LN(2)/25)*Calculateur!ER120*Calculateur!ET120*VLOOKUP('Données projet'!$B$15,Paramètres!$A$1:$I$89,3,0)*0.475*44/12</f>
        <v>4.8059085468996097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16.413431394229836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2.2737367544323206E-13</v>
      </c>
      <c r="FF120" s="17">
        <f>FE120*VLOOKUP('Données projet'!$B$16,Paramètres!$A$1:$I$89,3,0)*VLOOKUP('Données projet'!$B$16,Paramètres!$A$1:$I$89,5,0)</f>
        <v>1.2710188457276673E-13</v>
      </c>
      <c r="FG120" s="13">
        <f t="shared" si="101"/>
        <v>1.856866851063998E-12</v>
      </c>
      <c r="FH120" s="20">
        <f t="shared" si="76"/>
        <v>3.4554122145673649E-12</v>
      </c>
      <c r="FI120" s="59">
        <f t="shared" si="77"/>
        <v>293.33333333333678</v>
      </c>
      <c r="FJ120" s="59">
        <f ca="1">AVERAGE(OFFSET($FI$3,0,0,'Données projet'!$E$16+1,1))-AVERAGE(OFFSET($H$3,0,0,'Données projet'!$E$16+1,1))</f>
        <v>346.42094266871379</v>
      </c>
      <c r="FK120" s="59">
        <f t="shared" si="102"/>
        <v>453.48153556975973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55.387823994058856</v>
      </c>
      <c r="FR120" s="21">
        <f>EXP(-LN(2)/25)*FR119+(1-EXP(-LN(2)/25))/(LN(2)/25)*Calculateur!FM120*Calculateur!FO120*VLOOKUP('Données projet'!$B$16,Paramètres!$A$1:$I$89,3,0)*0.475*44/12</f>
        <v>21.723326835572397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77.111150829631256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-1.1368683772161603E-13</v>
      </c>
      <c r="GA120" s="17">
        <f>FZ120*VLOOKUP('Données projet'!$B$17,Paramètres!$A$1:$I$89,3,0)*VLOOKUP('Données projet'!$B$17,Paramètres!$A$1:$I$89,5,0)</f>
        <v>-5.3205440053716299E-14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198.26255998041</v>
      </c>
      <c r="GF120" s="59">
        <f t="shared" si="104"/>
        <v>238.62101708181166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35.501892640172059</v>
      </c>
      <c r="GM120" s="21">
        <f>EXP(-LN(2)/25)*GM119+(1-EXP(-LN(2)/25))/(LN(2)/25)*Calculateur!GH120*Calculateur!GJ120*VLOOKUP('Données projet'!$B$17,Paramètres!$A$1:$I$89,3,0)*0.475*44/12</f>
        <v>12.820503128260064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48.322395768432123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>
        <f>GU120*VLOOKUP('Données projet'!$B$18,Paramètres!$A$1:$I$89,3,0)*VLOOKUP('Données projet'!$B$18,Paramètres!$A$1:$I$89,5,0)</f>
        <v>0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604.0566904089452</v>
      </c>
      <c r="HA120" s="59">
        <f t="shared" si="106"/>
        <v>369.5187835902687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103.84148036758555</v>
      </c>
      <c r="HH120" s="21">
        <f>EXP(-LN(2)/25)*HH119+(1-EXP(-LN(2)/25))/(LN(2)/25)*Calculateur!HC120*Calculateur!HE120*VLOOKUP('Données projet'!$B$18,Paramètres!$A$1:$I$89,3,0)*0.475*44/12</f>
        <v>36.227551317306187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140.06903168489174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6.8888888888888893</v>
      </c>
      <c r="N121" s="13">
        <f>IF('Données projet'!$A$36&gt;35,N120+M121-V120,IF(A121&lt;'Données projet'!$A$36,$K$205^A121,IF(A121='Données projet'!$A$36,'Données projet'!$B$36,N120+M121-V120)))</f>
        <v>362.55555555555537</v>
      </c>
      <c r="O121" s="13">
        <f>N121*VLOOKUP('Données projet'!$B$9,Paramètres!$A$1:$I$89,3,0)*VLOOKUP('Données projet'!$B$9,Paramètres!$A$1:$I$89,5,0)</f>
        <v>328.04026666666647</v>
      </c>
      <c r="P121" s="13">
        <f t="shared" si="87"/>
        <v>77.023863712411909</v>
      </c>
      <c r="Q121" s="20">
        <f t="shared" si="107"/>
        <v>705.48669374356143</v>
      </c>
      <c r="R121" s="59">
        <f t="shared" si="55"/>
        <v>998.8200270768948</v>
      </c>
      <c r="S121" s="59">
        <f ca="1">AVERAGE(OFFSET($R$3,0,0,'Données projet'!$E$9+1,1))-AVERAGE(OFFSET($H$3,0,0,'Données projet'!$E$9+1,1))</f>
        <v>528.20489749461376</v>
      </c>
      <c r="T121" s="59">
        <f t="shared" si="88"/>
        <v>276.26988364830532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51.330514990765934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51.330514990765934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2.2737367544323206E-13</v>
      </c>
      <c r="AJ121" s="13">
        <f>AI121*VLOOKUP('Données projet'!$B$10,Paramètres!$A$1:$I$89,3,0)*VLOOKUP('Données projet'!$B$10,Paramètres!$A$1:$I$89,5,0)</f>
        <v>2.0572770154103635E-13</v>
      </c>
      <c r="AK121" s="13">
        <f t="shared" si="89"/>
        <v>2.8416956338469711E-12</v>
      </c>
      <c r="AL121" s="20">
        <f t="shared" si="58"/>
        <v>5.3075956424674458E-12</v>
      </c>
      <c r="AM121" s="59">
        <f t="shared" si="59"/>
        <v>293.3333333333386</v>
      </c>
      <c r="AN121" s="59">
        <f ca="1">AVERAGE(OFFSET($AM$3,0,0,'Données projet'!$E$10+1,1))-AVERAGE(OFFSET($H$3,0,0,'Données projet'!$E$10+1,1))</f>
        <v>436.23918637269577</v>
      </c>
      <c r="AO121" s="59">
        <f t="shared" si="90"/>
        <v>611.43967996341894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17.202166103559179</v>
      </c>
      <c r="AV121" s="21">
        <f>EXP(-LN(2)/25)*AV120+(1-EXP(-LN(2)/25))/(LN(2)/25)*Calculateur!AQ121*Calculateur!AS121*VLOOKUP('Données projet'!$B$10,Paramètres!$A$1:$I$89,3,0)*0.475*44/12</f>
        <v>5.7193253069098029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22.921491410468981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4.4337866711430253E-14</v>
      </c>
      <c r="BF121" s="13">
        <f t="shared" si="91"/>
        <v>7.3222115536967035E-13</v>
      </c>
      <c r="BG121" s="20">
        <f t="shared" si="61"/>
        <v>1.3525069634579169E-12</v>
      </c>
      <c r="BH121" s="59">
        <f t="shared" si="62"/>
        <v>293.33333333333468</v>
      </c>
      <c r="BI121" s="59">
        <f ca="1">AVERAGE(OFFSET($BH$3,0,0,'Données projet'!$E$11+1,1))-AVERAGE(OFFSET($H$3,0,0,'Données projet'!$E$11+1,1))</f>
        <v>288.82868507674738</v>
      </c>
      <c r="BJ121" s="59">
        <f t="shared" si="92"/>
        <v>283.48738729114024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33.51458764251953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33.51458764251953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2.1316282072803006E-14</v>
      </c>
      <c r="BZ121" s="13">
        <f>BY121*VLOOKUP('Données projet'!$B$12,Paramètres!$A$1:$I$89,3,0)*VLOOKUP('Données projet'!$B$12,Paramètres!$A$1:$I$89,5,0)</f>
        <v>1.8621904018800709E-14</v>
      </c>
      <c r="CA121" s="13">
        <f t="shared" si="93"/>
        <v>3.40208645124969E-13</v>
      </c>
      <c r="CB121" s="20">
        <f t="shared" si="64"/>
        <v>6.2496320642539887E-13</v>
      </c>
      <c r="CC121" s="59">
        <f t="shared" si="65"/>
        <v>293.33333333333394</v>
      </c>
      <c r="CD121" s="59">
        <f ca="1">AVERAGE(OFFSET($CC$3,0,0,'Données projet'!$E$12+1,1))-AVERAGE(OFFSET($H$3,0,0,'Données projet'!$E$12+1,1))</f>
        <v>93.329407403816901</v>
      </c>
      <c r="CE121" s="59">
        <f t="shared" si="94"/>
        <v>90.925148357295313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8.1940482638488881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8.1940482638488881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-2.2737367544323206E-13</v>
      </c>
      <c r="CU121" s="17">
        <f>CT121*VLOOKUP('Données projet'!$B$13,Paramètres!$A$1:$I$89,3,0)*VLOOKUP('Données projet'!$B$13,Paramètres!$A$1:$I$89,5,0)</f>
        <v>-2.1636878955177963E-13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805.04572055352492</v>
      </c>
      <c r="CZ121" s="59">
        <f t="shared" si="96"/>
        <v>708.66645042414962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191.63822545098074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191.63822545098074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-1.1368683772161603E-13</v>
      </c>
      <c r="DP121" s="17">
        <f>DO121*VLOOKUP('Données projet'!$B$14,Paramètres!$A$1:$I$89,3,0)*VLOOKUP('Données projet'!$B$14,Paramètres!$A$1:$I$89,5,0)</f>
        <v>-7.626113074366004E-14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482.69499576870095</v>
      </c>
      <c r="DU121" s="59">
        <f t="shared" si="98"/>
        <v>384.28918352579575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118.54638366602097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118.54638366602097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1.7053025658242404E-13</v>
      </c>
      <c r="EK121" s="17">
        <f>EJ121*VLOOKUP('Données projet'!$B$15,Paramètres!$A$1:$I$89,3,0)*VLOOKUP('Données projet'!$B$15,Paramètres!$A$1:$I$89,5,0)</f>
        <v>1.250327841262333E-13</v>
      </c>
      <c r="EL121" s="13">
        <f t="shared" si="99"/>
        <v>1.8301318724634299E-12</v>
      </c>
      <c r="EM121" s="20">
        <f t="shared" si="73"/>
        <v>3.405245110226996E-12</v>
      </c>
      <c r="EN121" s="59">
        <f t="shared" si="74"/>
        <v>293.33333333333672</v>
      </c>
      <c r="EO121" s="59">
        <f ca="1">AVERAGE(OFFSET($EN$3,0,0,'Données projet'!$E$15+1,1))-AVERAGE(OFFSET($H$3,0,0,'Données projet'!$E$15+1,1))</f>
        <v>197.34725966440715</v>
      </c>
      <c r="EP121" s="59">
        <f t="shared" si="100"/>
        <v>240.16326570529532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11.379906404183936</v>
      </c>
      <c r="EW121" s="21">
        <f>EXP(-LN(2)/25)*EW120+(1-EXP(-LN(2)/25))/(LN(2)/25)*Calculateur!ER121*Calculateur!ET121*VLOOKUP('Données projet'!$B$15,Paramètres!$A$1:$I$89,3,0)*0.475*44/12</f>
        <v>4.6744907249528937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16.054397129136831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2.2737367544323206E-13</v>
      </c>
      <c r="FF121" s="17">
        <f>FE121*VLOOKUP('Données projet'!$B$16,Paramètres!$A$1:$I$89,3,0)*VLOOKUP('Données projet'!$B$16,Paramètres!$A$1:$I$89,5,0)</f>
        <v>1.2710188457276673E-13</v>
      </c>
      <c r="FG121" s="13">
        <f t="shared" si="101"/>
        <v>1.856866851063998E-12</v>
      </c>
      <c r="FH121" s="20">
        <f t="shared" si="76"/>
        <v>3.4554122145673649E-12</v>
      </c>
      <c r="FI121" s="59">
        <f t="shared" si="77"/>
        <v>293.33333333333678</v>
      </c>
      <c r="FJ121" s="59">
        <f ca="1">AVERAGE(OFFSET($FI$3,0,0,'Données projet'!$E$16+1,1))-AVERAGE(OFFSET($H$3,0,0,'Données projet'!$E$16+1,1))</f>
        <v>346.42094266871379</v>
      </c>
      <c r="FK121" s="59">
        <f t="shared" si="102"/>
        <v>453.48153556975973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54.301702548772184</v>
      </c>
      <c r="FR121" s="21">
        <f>EXP(-LN(2)/25)*FR120+(1-EXP(-LN(2)/25))/(LN(2)/25)*Calculateur!FM121*Calculateur!FO121*VLOOKUP('Données projet'!$B$16,Paramètres!$A$1:$I$89,3,0)*0.475*44/12</f>
        <v>21.129301320873562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75.43100386964575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-1.1368683772161603E-13</v>
      </c>
      <c r="GA121" s="17">
        <f>FZ121*VLOOKUP('Données projet'!$B$17,Paramètres!$A$1:$I$89,3,0)*VLOOKUP('Données projet'!$B$17,Paramètres!$A$1:$I$89,5,0)</f>
        <v>-5.3205440053716299E-14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198.26255998041</v>
      </c>
      <c r="GF121" s="59">
        <f t="shared" si="104"/>
        <v>238.62101708181166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34.805722179514639</v>
      </c>
      <c r="GM121" s="21">
        <f>EXP(-LN(2)/25)*GM120+(1-EXP(-LN(2)/25))/(LN(2)/25)*Calculateur!GH121*Calculateur!GJ121*VLOOKUP('Données projet'!$B$17,Paramètres!$A$1:$I$89,3,0)*0.475*44/12</f>
        <v>12.469925796016835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47.27564797553147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>
        <f>GU121*VLOOKUP('Données projet'!$B$18,Paramètres!$A$1:$I$89,3,0)*VLOOKUP('Données projet'!$B$18,Paramètres!$A$1:$I$89,5,0)</f>
        <v>0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604.0566904089452</v>
      </c>
      <c r="HA121" s="59">
        <f t="shared" si="106"/>
        <v>369.5187835902687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101.8052122746262</v>
      </c>
      <c r="HH121" s="21">
        <f>EXP(-LN(2)/25)*HH120+(1-EXP(-LN(2)/25))/(LN(2)/25)*Calculateur!HC121*Calculateur!HE121*VLOOKUP('Données projet'!$B$18,Paramètres!$A$1:$I$89,3,0)*0.475*44/12</f>
        <v>35.236907021410325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137.04211929603653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6.8888888888888893</v>
      </c>
      <c r="N122" s="13">
        <f>IF('Données projet'!$A$36&gt;35,N121+M122-V121,IF(A122&lt;'Données projet'!$A$36,$K$205^A122,IF(A122='Données projet'!$A$36,'Données projet'!$B$36,N121+M122-V121)))</f>
        <v>369.44444444444429</v>
      </c>
      <c r="O122" s="13">
        <f>N122*VLOOKUP('Données projet'!$B$9,Paramètres!$A$1:$I$89,3,0)*VLOOKUP('Données projet'!$B$9,Paramètres!$A$1:$I$89,5,0)</f>
        <v>334.27333333333314</v>
      </c>
      <c r="P122" s="13">
        <f t="shared" si="87"/>
        <v>78.315613673397522</v>
      </c>
      <c r="Q122" s="20">
        <f t="shared" si="107"/>
        <v>718.59241603672262</v>
      </c>
      <c r="R122" s="59">
        <f t="shared" si="55"/>
        <v>1011.9257493700559</v>
      </c>
      <c r="S122" s="59">
        <f ca="1">AVERAGE(OFFSET($R$3,0,0,'Données projet'!$E$9+1,1))-AVERAGE(OFFSET($H$3,0,0,'Données projet'!$E$9+1,1))</f>
        <v>528.20489749461376</v>
      </c>
      <c r="T122" s="59">
        <f t="shared" si="88"/>
        <v>276.26988364830532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50.323954900319698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50.323954900319698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2.2737367544323206E-13</v>
      </c>
      <c r="AJ122" s="13">
        <f>AI122*VLOOKUP('Données projet'!$B$10,Paramètres!$A$1:$I$89,3,0)*VLOOKUP('Données projet'!$B$10,Paramètres!$A$1:$I$89,5,0)</f>
        <v>2.0572770154103635E-13</v>
      </c>
      <c r="AK122" s="13">
        <f t="shared" si="89"/>
        <v>2.8416956338469711E-12</v>
      </c>
      <c r="AL122" s="20">
        <f t="shared" si="58"/>
        <v>5.3075956424674458E-12</v>
      </c>
      <c r="AM122" s="59">
        <f t="shared" si="59"/>
        <v>293.3333333333386</v>
      </c>
      <c r="AN122" s="59">
        <f ca="1">AVERAGE(OFFSET($AM$3,0,0,'Données projet'!$E$10+1,1))-AVERAGE(OFFSET($H$3,0,0,'Données projet'!$E$10+1,1))</f>
        <v>436.23918637269577</v>
      </c>
      <c r="AO122" s="59">
        <f t="shared" si="90"/>
        <v>611.43967996341894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16.864842118553678</v>
      </c>
      <c r="AV122" s="21">
        <f>EXP(-LN(2)/25)*AV121+(1-EXP(-LN(2)/25))/(LN(2)/25)*Calculateur!AQ122*Calculateur!AS122*VLOOKUP('Données projet'!$B$10,Paramètres!$A$1:$I$89,3,0)*0.475*44/12</f>
        <v>5.5629300556261079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22.427772174179786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4.4337866711430253E-14</v>
      </c>
      <c r="BF122" s="13">
        <f t="shared" si="91"/>
        <v>7.3222115536967035E-13</v>
      </c>
      <c r="BG122" s="20">
        <f t="shared" si="61"/>
        <v>1.3525069634579169E-12</v>
      </c>
      <c r="BH122" s="59">
        <f t="shared" si="62"/>
        <v>293.33333333333468</v>
      </c>
      <c r="BI122" s="59">
        <f ca="1">AVERAGE(OFFSET($BH$3,0,0,'Données projet'!$E$11+1,1))-AVERAGE(OFFSET($H$3,0,0,'Données projet'!$E$11+1,1))</f>
        <v>288.82868507674738</v>
      </c>
      <c r="BJ122" s="59">
        <f t="shared" si="92"/>
        <v>283.48738729114024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32.857387020729718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32.857387020729718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2.1316282072803006E-14</v>
      </c>
      <c r="BZ122" s="13">
        <f>BY122*VLOOKUP('Données projet'!$B$12,Paramètres!$A$1:$I$89,3,0)*VLOOKUP('Données projet'!$B$12,Paramètres!$A$1:$I$89,5,0)</f>
        <v>1.8621904018800709E-14</v>
      </c>
      <c r="CA122" s="13">
        <f t="shared" si="93"/>
        <v>3.40208645124969E-13</v>
      </c>
      <c r="CB122" s="20">
        <f t="shared" si="64"/>
        <v>6.2496320642539887E-13</v>
      </c>
      <c r="CC122" s="59">
        <f t="shared" si="65"/>
        <v>293.33333333333394</v>
      </c>
      <c r="CD122" s="59">
        <f ca="1">AVERAGE(OFFSET($CC$3,0,0,'Données projet'!$E$12+1,1))-AVERAGE(OFFSET($H$3,0,0,'Données projet'!$E$12+1,1))</f>
        <v>93.329407403816901</v>
      </c>
      <c r="CE122" s="59">
        <f t="shared" si="94"/>
        <v>90.925148357295313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8.0333679752707532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8.0333679752707532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-2.2737367544323206E-13</v>
      </c>
      <c r="CU122" s="17">
        <f>CT122*VLOOKUP('Données projet'!$B$13,Paramètres!$A$1:$I$89,3,0)*VLOOKUP('Données projet'!$B$13,Paramètres!$A$1:$I$89,5,0)</f>
        <v>-2.1636878955177963E-13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805.04572055352492</v>
      </c>
      <c r="CZ122" s="59">
        <f t="shared" si="96"/>
        <v>708.66645042414962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187.88031673766284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187.88031673766284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-1.1368683772161603E-13</v>
      </c>
      <c r="DP122" s="17">
        <f>DO122*VLOOKUP('Données projet'!$B$14,Paramètres!$A$1:$I$89,3,0)*VLOOKUP('Données projet'!$B$14,Paramètres!$A$1:$I$89,5,0)</f>
        <v>-7.626113074366004E-14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482.69499576870095</v>
      </c>
      <c r="DU122" s="59">
        <f t="shared" si="98"/>
        <v>384.28918352579575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116.22176138848469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116.22176138848469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1.7053025658242404E-13</v>
      </c>
      <c r="EK122" s="17">
        <f>EJ122*VLOOKUP('Données projet'!$B$15,Paramètres!$A$1:$I$89,3,0)*VLOOKUP('Données projet'!$B$15,Paramètres!$A$1:$I$89,5,0)</f>
        <v>1.250327841262333E-13</v>
      </c>
      <c r="EL122" s="13">
        <f t="shared" si="99"/>
        <v>1.8301318724634299E-12</v>
      </c>
      <c r="EM122" s="20">
        <f t="shared" si="73"/>
        <v>3.405245110226996E-12</v>
      </c>
      <c r="EN122" s="59">
        <f t="shared" si="74"/>
        <v>293.33333333333672</v>
      </c>
      <c r="EO122" s="59">
        <f ca="1">AVERAGE(OFFSET($EN$3,0,0,'Données projet'!$E$15+1,1))-AVERAGE(OFFSET($H$3,0,0,'Données projet'!$E$15+1,1))</f>
        <v>197.34725966440715</v>
      </c>
      <c r="EP122" s="59">
        <f t="shared" si="100"/>
        <v>240.16326570529532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11.156753380655424</v>
      </c>
      <c r="EW122" s="21">
        <f>EXP(-LN(2)/25)*EW121+(1-EXP(-LN(2)/25))/(LN(2)/25)*Calculateur!ER122*Calculateur!ET122*VLOOKUP('Données projet'!$B$15,Paramètres!$A$1:$I$89,3,0)*0.475*44/12</f>
        <v>4.5466665302582729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15.703419910913697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2.2737367544323206E-13</v>
      </c>
      <c r="FF122" s="17">
        <f>FE122*VLOOKUP('Données projet'!$B$16,Paramètres!$A$1:$I$89,3,0)*VLOOKUP('Données projet'!$B$16,Paramètres!$A$1:$I$89,5,0)</f>
        <v>1.2710188457276673E-13</v>
      </c>
      <c r="FG122" s="13">
        <f t="shared" si="101"/>
        <v>1.856866851063998E-12</v>
      </c>
      <c r="FH122" s="20">
        <f t="shared" si="76"/>
        <v>3.4554122145673649E-12</v>
      </c>
      <c r="FI122" s="59">
        <f t="shared" si="77"/>
        <v>293.33333333333678</v>
      </c>
      <c r="FJ122" s="59">
        <f ca="1">AVERAGE(OFFSET($FI$3,0,0,'Données projet'!$E$16+1,1))-AVERAGE(OFFSET($H$3,0,0,'Données projet'!$E$16+1,1))</f>
        <v>346.42094266871379</v>
      </c>
      <c r="FK122" s="59">
        <f t="shared" si="102"/>
        <v>453.48153556975973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53.23687928255891</v>
      </c>
      <c r="FR122" s="21">
        <f>EXP(-LN(2)/25)*FR121+(1-EXP(-LN(2)/25))/(LN(2)/25)*Calculateur!FM122*Calculateur!FO122*VLOOKUP('Données projet'!$B$16,Paramètres!$A$1:$I$89,3,0)*0.475*44/12</f>
        <v>20.551519465112609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73.788398747671522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-1.1368683772161603E-13</v>
      </c>
      <c r="GA122" s="17">
        <f>FZ122*VLOOKUP('Données projet'!$B$17,Paramètres!$A$1:$I$89,3,0)*VLOOKUP('Données projet'!$B$17,Paramètres!$A$1:$I$89,5,0)</f>
        <v>-5.3205440053716299E-14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198.26255998041</v>
      </c>
      <c r="GF122" s="59">
        <f t="shared" si="104"/>
        <v>238.62101708181166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34.12320319696866</v>
      </c>
      <c r="GM122" s="21">
        <f>EXP(-LN(2)/25)*GM121+(1-EXP(-LN(2)/25))/(LN(2)/25)*Calculateur!GH122*Calculateur!GJ122*VLOOKUP('Données projet'!$B$17,Paramètres!$A$1:$I$89,3,0)*0.475*44/12</f>
        <v>12.128935019359856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46.252138216328518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>
        <f>GU122*VLOOKUP('Données projet'!$B$18,Paramètres!$A$1:$I$89,3,0)*VLOOKUP('Données projet'!$B$18,Paramètres!$A$1:$I$89,5,0)</f>
        <v>0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604.0566904089452</v>
      </c>
      <c r="HA122" s="59">
        <f t="shared" si="106"/>
        <v>369.5187835902687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99.808874156968898</v>
      </c>
      <c r="HH122" s="21">
        <f>EXP(-LN(2)/25)*HH121+(1-EXP(-LN(2)/25))/(LN(2)/25)*Calculateur!HC122*Calculateur!HE122*VLOOKUP('Données projet'!$B$18,Paramètres!$A$1:$I$89,3,0)*0.475*44/12</f>
        <v>34.273351945881451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134.08222610285034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6.8888888888888893</v>
      </c>
      <c r="N123" s="13">
        <f>IF('Données projet'!$A$36&gt;35,N122+M123-V122,IF(A123&lt;'Données projet'!$A$36,$K$205^A123,IF(A123='Données projet'!$A$36,'Données projet'!$B$36,N122+M123-V122)))</f>
        <v>376.3333333333332</v>
      </c>
      <c r="O123" s="13">
        <f>N123*VLOOKUP('Données projet'!$B$9,Paramètres!$A$1:$I$89,3,0)*VLOOKUP('Données projet'!$B$9,Paramètres!$A$1:$I$89,5,0)</f>
        <v>340.50639999999987</v>
      </c>
      <c r="P123" s="13">
        <f t="shared" si="87"/>
        <v>79.604562803685241</v>
      </c>
      <c r="Q123" s="20">
        <f t="shared" si="107"/>
        <v>731.69326021641825</v>
      </c>
      <c r="R123" s="59">
        <f t="shared" si="55"/>
        <v>1025.0265935497516</v>
      </c>
      <c r="S123" s="59">
        <f ca="1">AVERAGE(OFFSET($R$3,0,0,'Données projet'!$E$9+1,1))-AVERAGE(OFFSET($H$3,0,0,'Données projet'!$E$9+1,1))</f>
        <v>528.20489749461376</v>
      </c>
      <c r="T123" s="59">
        <f t="shared" si="88"/>
        <v>276.26988364830532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49.337132839306079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49.337132839306079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2.2737367544323206E-13</v>
      </c>
      <c r="AJ123" s="13">
        <f>AI123*VLOOKUP('Données projet'!$B$10,Paramètres!$A$1:$I$89,3,0)*VLOOKUP('Données projet'!$B$10,Paramètres!$A$1:$I$89,5,0)</f>
        <v>2.0572770154103635E-13</v>
      </c>
      <c r="AK123" s="13">
        <f t="shared" si="89"/>
        <v>2.8416956338469711E-12</v>
      </c>
      <c r="AL123" s="20">
        <f t="shared" si="58"/>
        <v>5.3075956424674458E-12</v>
      </c>
      <c r="AM123" s="59">
        <f t="shared" si="59"/>
        <v>293.3333333333386</v>
      </c>
      <c r="AN123" s="59">
        <f ca="1">AVERAGE(OFFSET($AM$3,0,0,'Données projet'!$E$10+1,1))-AVERAGE(OFFSET($H$3,0,0,'Données projet'!$E$10+1,1))</f>
        <v>436.23918637269577</v>
      </c>
      <c r="AO123" s="59">
        <f t="shared" si="90"/>
        <v>611.43967996341894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16.534132851146822</v>
      </c>
      <c r="AV123" s="21">
        <f>EXP(-LN(2)/25)*AV122+(1-EXP(-LN(2)/25))/(LN(2)/25)*Calculateur!AQ123*Calculateur!AS123*VLOOKUP('Données projet'!$B$10,Paramètres!$A$1:$I$89,3,0)*0.475*44/12</f>
        <v>5.4108114407132346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21.944944291860057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4.4337866711430253E-14</v>
      </c>
      <c r="BF123" s="13">
        <f t="shared" si="91"/>
        <v>7.3222115536967035E-13</v>
      </c>
      <c r="BG123" s="20">
        <f t="shared" si="61"/>
        <v>1.3525069634579169E-12</v>
      </c>
      <c r="BH123" s="59">
        <f t="shared" si="62"/>
        <v>293.33333333333468</v>
      </c>
      <c r="BI123" s="59">
        <f ca="1">AVERAGE(OFFSET($BH$3,0,0,'Données projet'!$E$11+1,1))-AVERAGE(OFFSET($H$3,0,0,'Données projet'!$E$11+1,1))</f>
        <v>288.82868507674738</v>
      </c>
      <c r="BJ123" s="59">
        <f t="shared" si="92"/>
        <v>283.48738729114024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32.213073702280404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32.213073702280404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2.1316282072803006E-14</v>
      </c>
      <c r="BZ123" s="13">
        <f>BY123*VLOOKUP('Données projet'!$B$12,Paramètres!$A$1:$I$89,3,0)*VLOOKUP('Données projet'!$B$12,Paramètres!$A$1:$I$89,5,0)</f>
        <v>1.8621904018800709E-14</v>
      </c>
      <c r="CA123" s="13">
        <f t="shared" si="93"/>
        <v>3.40208645124969E-13</v>
      </c>
      <c r="CB123" s="20">
        <f t="shared" si="64"/>
        <v>6.2496320642539887E-13</v>
      </c>
      <c r="CC123" s="59">
        <f t="shared" si="65"/>
        <v>293.33333333333394</v>
      </c>
      <c r="CD123" s="59">
        <f ca="1">AVERAGE(OFFSET($CC$3,0,0,'Données projet'!$E$12+1,1))-AVERAGE(OFFSET($H$3,0,0,'Données projet'!$E$12+1,1))</f>
        <v>93.329407403816901</v>
      </c>
      <c r="CE123" s="59">
        <f t="shared" si="94"/>
        <v>90.925148357295313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7.8758385291463364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7.8758385291463364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-2.2737367544323206E-13</v>
      </c>
      <c r="CU123" s="17">
        <f>CT123*VLOOKUP('Données projet'!$B$13,Paramètres!$A$1:$I$89,3,0)*VLOOKUP('Données projet'!$B$13,Paramètres!$A$1:$I$89,5,0)</f>
        <v>-2.1636878955177963E-13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805.04572055352492</v>
      </c>
      <c r="CZ123" s="59">
        <f t="shared" si="96"/>
        <v>708.66645042414962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184.19609832211509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184.19609832211509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-1.1368683772161603E-13</v>
      </c>
      <c r="DP123" s="17">
        <f>DO123*VLOOKUP('Données projet'!$B$14,Paramètres!$A$1:$I$89,3,0)*VLOOKUP('Données projet'!$B$14,Paramètres!$A$1:$I$89,5,0)</f>
        <v>-7.626113074366004E-14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482.69499576870095</v>
      </c>
      <c r="DU123" s="59">
        <f t="shared" si="98"/>
        <v>384.28918352579575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113.94272353593132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113.94272353593132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1.7053025658242404E-13</v>
      </c>
      <c r="EK123" s="17">
        <f>EJ123*VLOOKUP('Données projet'!$B$15,Paramètres!$A$1:$I$89,3,0)*VLOOKUP('Données projet'!$B$15,Paramètres!$A$1:$I$89,5,0)</f>
        <v>1.250327841262333E-13</v>
      </c>
      <c r="EL123" s="13">
        <f t="shared" si="99"/>
        <v>1.8301318724634299E-12</v>
      </c>
      <c r="EM123" s="20">
        <f t="shared" si="73"/>
        <v>3.405245110226996E-12</v>
      </c>
      <c r="EN123" s="59">
        <f t="shared" si="74"/>
        <v>293.33333333333672</v>
      </c>
      <c r="EO123" s="59">
        <f ca="1">AVERAGE(OFFSET($EN$3,0,0,'Données projet'!$E$15+1,1))-AVERAGE(OFFSET($H$3,0,0,'Données projet'!$E$15+1,1))</f>
        <v>197.34725966440715</v>
      </c>
      <c r="EP123" s="59">
        <f t="shared" si="100"/>
        <v>240.16326570529532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10.937976251808401</v>
      </c>
      <c r="EW123" s="21">
        <f>EXP(-LN(2)/25)*EW122+(1-EXP(-LN(2)/25))/(LN(2)/25)*Calculateur!ER123*Calculateur!ET123*VLOOKUP('Données projet'!$B$15,Paramètres!$A$1:$I$89,3,0)*0.475*44/12</f>
        <v>4.422337694889559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15.360313946697961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2.2737367544323206E-13</v>
      </c>
      <c r="FF123" s="17">
        <f>FE123*VLOOKUP('Données projet'!$B$16,Paramètres!$A$1:$I$89,3,0)*VLOOKUP('Données projet'!$B$16,Paramètres!$A$1:$I$89,5,0)</f>
        <v>1.2710188457276673E-13</v>
      </c>
      <c r="FG123" s="13">
        <f t="shared" si="101"/>
        <v>1.856866851063998E-12</v>
      </c>
      <c r="FH123" s="20">
        <f t="shared" si="76"/>
        <v>3.4554122145673649E-12</v>
      </c>
      <c r="FI123" s="59">
        <f t="shared" si="77"/>
        <v>293.33333333333678</v>
      </c>
      <c r="FJ123" s="59">
        <f ca="1">AVERAGE(OFFSET($FI$3,0,0,'Données projet'!$E$16+1,1))-AVERAGE(OFFSET($H$3,0,0,'Données projet'!$E$16+1,1))</f>
        <v>346.42094266871379</v>
      </c>
      <c r="FK123" s="59">
        <f t="shared" si="102"/>
        <v>453.48153556975973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52.192936551118017</v>
      </c>
      <c r="FR123" s="21">
        <f>EXP(-LN(2)/25)*FR122+(1-EXP(-LN(2)/25))/(LN(2)/25)*Calculateur!FM123*Calculateur!FO123*VLOOKUP('Données projet'!$B$16,Paramètres!$A$1:$I$89,3,0)*0.475*44/12</f>
        <v>19.989537084581666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72.182473635699679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-1.1368683772161603E-13</v>
      </c>
      <c r="GA123" s="17">
        <f>FZ123*VLOOKUP('Données projet'!$B$17,Paramètres!$A$1:$I$89,3,0)*VLOOKUP('Données projet'!$B$17,Paramètres!$A$1:$I$89,5,0)</f>
        <v>-5.3205440053716299E-14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198.26255998041</v>
      </c>
      <c r="GF123" s="59">
        <f t="shared" si="104"/>
        <v>238.62101708181166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33.454067995374935</v>
      </c>
      <c r="GM123" s="21">
        <f>EXP(-LN(2)/25)*GM122+(1-EXP(-LN(2)/25))/(LN(2)/25)*Calculateur!GH123*Calculateur!GJ123*VLOOKUP('Données projet'!$B$17,Paramètres!$A$1:$I$89,3,0)*0.475*44/12</f>
        <v>11.797268653422488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45.25133664879742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>
        <f>GU123*VLOOKUP('Données projet'!$B$18,Paramètres!$A$1:$I$89,3,0)*VLOOKUP('Données projet'!$B$18,Paramètres!$A$1:$I$89,5,0)</f>
        <v>0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604.0566904089452</v>
      </c>
      <c r="HA123" s="59">
        <f t="shared" si="106"/>
        <v>369.5187835902687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97.851683012152833</v>
      </c>
      <c r="HH123" s="21">
        <f>EXP(-LN(2)/25)*HH122+(1-EXP(-LN(2)/25))/(LN(2)/25)*Calculateur!HC123*Calculateur!HE123*VLOOKUP('Données projet'!$B$18,Paramètres!$A$1:$I$89,3,0)*0.475*44/12</f>
        <v>33.33614533456408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131.18782834671691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6.8888888888888893</v>
      </c>
      <c r="N124" s="13">
        <f>IF('Données projet'!$A$36&gt;35,N123+M124-V123,IF(A124&lt;'Données projet'!$A$36,$K$205^A124,IF(A124='Données projet'!$A$36,'Données projet'!$B$36,N123+M124-V123)))</f>
        <v>383.22222222222211</v>
      </c>
      <c r="O124" s="13">
        <f>N124*VLOOKUP('Données projet'!$B$9,Paramètres!$A$1:$I$89,3,0)*VLOOKUP('Données projet'!$B$9,Paramètres!$A$1:$I$89,5,0)</f>
        <v>346.7394666666666</v>
      </c>
      <c r="P124" s="13">
        <f t="shared" si="87"/>
        <v>80.890768286611646</v>
      </c>
      <c r="Q124" s="20">
        <f t="shared" si="107"/>
        <v>744.78932587695965</v>
      </c>
      <c r="R124" s="59">
        <f t="shared" si="55"/>
        <v>1038.122659210293</v>
      </c>
      <c r="S124" s="59">
        <f ca="1">AVERAGE(OFFSET($R$3,0,0,'Données projet'!$E$9+1,1))-AVERAGE(OFFSET($H$3,0,0,'Données projet'!$E$9+1,1))</f>
        <v>528.20489749461376</v>
      </c>
      <c r="T124" s="59">
        <f t="shared" si="88"/>
        <v>276.26988364830532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48.369661757006917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48.369661757006917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2.2737367544323206E-13</v>
      </c>
      <c r="AJ124" s="13">
        <f>AI124*VLOOKUP('Données projet'!$B$10,Paramètres!$A$1:$I$89,3,0)*VLOOKUP('Données projet'!$B$10,Paramètres!$A$1:$I$89,5,0)</f>
        <v>2.0572770154103635E-13</v>
      </c>
      <c r="AK124" s="13">
        <f t="shared" si="89"/>
        <v>2.8416956338469711E-12</v>
      </c>
      <c r="AL124" s="20">
        <f t="shared" si="58"/>
        <v>5.3075956424674458E-12</v>
      </c>
      <c r="AM124" s="59">
        <f t="shared" si="59"/>
        <v>293.3333333333386</v>
      </c>
      <c r="AN124" s="59">
        <f ca="1">AVERAGE(OFFSET($AM$3,0,0,'Données projet'!$E$10+1,1))-AVERAGE(OFFSET($H$3,0,0,'Données projet'!$E$10+1,1))</f>
        <v>436.23918637269577</v>
      </c>
      <c r="AO124" s="59">
        <f t="shared" si="90"/>
        <v>611.43967996341894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16.209908590761078</v>
      </c>
      <c r="AV124" s="21">
        <f>EXP(-LN(2)/25)*AV123+(1-EXP(-LN(2)/25))/(LN(2)/25)*Calculateur!AQ124*Calculateur!AS124*VLOOKUP('Données projet'!$B$10,Paramètres!$A$1:$I$89,3,0)*0.475*44/12</f>
        <v>5.262852517324724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21.472761108085802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4.4337866711430253E-14</v>
      </c>
      <c r="BF124" s="13">
        <f t="shared" si="91"/>
        <v>7.3222115536967035E-13</v>
      </c>
      <c r="BG124" s="20">
        <f t="shared" si="61"/>
        <v>1.3525069634579169E-12</v>
      </c>
      <c r="BH124" s="59">
        <f t="shared" si="62"/>
        <v>293.33333333333468</v>
      </c>
      <c r="BI124" s="59">
        <f ca="1">AVERAGE(OFFSET($BH$3,0,0,'Données projet'!$E$11+1,1))-AVERAGE(OFFSET($H$3,0,0,'Données projet'!$E$11+1,1))</f>
        <v>288.82868507674738</v>
      </c>
      <c r="BJ124" s="59">
        <f t="shared" si="92"/>
        <v>283.48738729114024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31.581394975013563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31.581394975013563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2.1316282072803006E-14</v>
      </c>
      <c r="BZ124" s="13">
        <f>BY124*VLOOKUP('Données projet'!$B$12,Paramètres!$A$1:$I$89,3,0)*VLOOKUP('Données projet'!$B$12,Paramètres!$A$1:$I$89,5,0)</f>
        <v>1.8621904018800709E-14</v>
      </c>
      <c r="CA124" s="13">
        <f t="shared" si="93"/>
        <v>3.40208645124969E-13</v>
      </c>
      <c r="CB124" s="20">
        <f t="shared" si="64"/>
        <v>6.2496320642539887E-13</v>
      </c>
      <c r="CC124" s="59">
        <f t="shared" si="65"/>
        <v>293.33333333333394</v>
      </c>
      <c r="CD124" s="59">
        <f ca="1">AVERAGE(OFFSET($CC$3,0,0,'Données projet'!$E$12+1,1))-AVERAGE(OFFSET($H$3,0,0,'Données projet'!$E$12+1,1))</f>
        <v>93.329407403816901</v>
      </c>
      <c r="CE124" s="59">
        <f t="shared" si="94"/>
        <v>90.925148357295313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7.7213981393769453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7.7213981393769453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-2.2737367544323206E-13</v>
      </c>
      <c r="CU124" s="17">
        <f>CT124*VLOOKUP('Données projet'!$B$13,Paramètres!$A$1:$I$89,3,0)*VLOOKUP('Données projet'!$B$13,Paramètres!$A$1:$I$89,5,0)</f>
        <v>-2.1636878955177963E-13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805.04572055352492</v>
      </c>
      <c r="CZ124" s="59">
        <f t="shared" si="96"/>
        <v>708.66645042414962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180.58412518254491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180.58412518254491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-1.1368683772161603E-13</v>
      </c>
      <c r="DP124" s="17">
        <f>DO124*VLOOKUP('Données projet'!$B$14,Paramètres!$A$1:$I$89,3,0)*VLOOKUP('Données projet'!$B$14,Paramètres!$A$1:$I$89,5,0)</f>
        <v>-7.626113074366004E-14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482.69499576870095</v>
      </c>
      <c r="DU124" s="59">
        <f t="shared" si="98"/>
        <v>384.28918352579575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111.70837622559068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111.70837622559068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1.7053025658242404E-13</v>
      </c>
      <c r="EK124" s="17">
        <f>EJ124*VLOOKUP('Données projet'!$B$15,Paramètres!$A$1:$I$89,3,0)*VLOOKUP('Données projet'!$B$15,Paramètres!$A$1:$I$89,5,0)</f>
        <v>1.250327841262333E-13</v>
      </c>
      <c r="EL124" s="13">
        <f t="shared" si="99"/>
        <v>1.8301318724634299E-12</v>
      </c>
      <c r="EM124" s="20">
        <f t="shared" si="73"/>
        <v>3.405245110226996E-12</v>
      </c>
      <c r="EN124" s="59">
        <f t="shared" si="74"/>
        <v>293.33333333333672</v>
      </c>
      <c r="EO124" s="59">
        <f ca="1">AVERAGE(OFFSET($EN$3,0,0,'Données projet'!$E$15+1,1))-AVERAGE(OFFSET($H$3,0,0,'Données projet'!$E$15+1,1))</f>
        <v>197.34725966440715</v>
      </c>
      <c r="EP124" s="59">
        <f t="shared" si="100"/>
        <v>240.16326570529532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10.723489209017195</v>
      </c>
      <c r="EW124" s="21">
        <f>EXP(-LN(2)/25)*EW123+(1-EXP(-LN(2)/25))/(LN(2)/25)*Calculateur!ER124*Calculateur!ET124*VLOOKUP('Données projet'!$B$15,Paramètres!$A$1:$I$89,3,0)*0.475*44/12</f>
        <v>4.3014086380621723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15.024897847079368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2.2737367544323206E-13</v>
      </c>
      <c r="FF124" s="17">
        <f>FE124*VLOOKUP('Données projet'!$B$16,Paramètres!$A$1:$I$89,3,0)*VLOOKUP('Données projet'!$B$16,Paramètres!$A$1:$I$89,5,0)</f>
        <v>1.2710188457276673E-13</v>
      </c>
      <c r="FG124" s="13">
        <f t="shared" si="101"/>
        <v>1.856866851063998E-12</v>
      </c>
      <c r="FH124" s="20">
        <f t="shared" si="76"/>
        <v>3.4554122145673649E-12</v>
      </c>
      <c r="FI124" s="59">
        <f t="shared" si="77"/>
        <v>293.33333333333678</v>
      </c>
      <c r="FJ124" s="59">
        <f ca="1">AVERAGE(OFFSET($FI$3,0,0,'Données projet'!$E$16+1,1))-AVERAGE(OFFSET($H$3,0,0,'Données projet'!$E$16+1,1))</f>
        <v>346.42094266871379</v>
      </c>
      <c r="FK124" s="59">
        <f t="shared" si="102"/>
        <v>453.48153556975973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51.169464899898486</v>
      </c>
      <c r="FR124" s="21">
        <f>EXP(-LN(2)/25)*FR123+(1-EXP(-LN(2)/25))/(LN(2)/25)*Calculateur!FM124*Calculateur!FO124*VLOOKUP('Données projet'!$B$16,Paramètres!$A$1:$I$89,3,0)*0.475*44/12</f>
        <v>19.442922141799713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70.612387041698199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-1.1368683772161603E-13</v>
      </c>
      <c r="GA124" s="17">
        <f>FZ124*VLOOKUP('Données projet'!$B$17,Paramètres!$A$1:$I$89,3,0)*VLOOKUP('Données projet'!$B$17,Paramètres!$A$1:$I$89,5,0)</f>
        <v>-5.3205440053716299E-14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198.26255998041</v>
      </c>
      <c r="GF124" s="59">
        <f t="shared" si="104"/>
        <v>238.62101708181166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32.798054126952287</v>
      </c>
      <c r="GM124" s="21">
        <f>EXP(-LN(2)/25)*GM123+(1-EXP(-LN(2)/25))/(LN(2)/25)*Calculateur!GH124*Calculateur!GJ124*VLOOKUP('Données projet'!$B$17,Paramètres!$A$1:$I$89,3,0)*0.475*44/12</f>
        <v>11.474671721703254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44.27272584865554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>
        <f>GU124*VLOOKUP('Données projet'!$B$18,Paramètres!$A$1:$I$89,3,0)*VLOOKUP('Données projet'!$B$18,Paramètres!$A$1:$I$89,5,0)</f>
        <v>0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604.0566904089452</v>
      </c>
      <c r="HA124" s="59">
        <f t="shared" si="106"/>
        <v>369.5187835902687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95.932871191917883</v>
      </c>
      <c r="HH124" s="21">
        <f>EXP(-LN(2)/25)*HH123+(1-EXP(-LN(2)/25))/(LN(2)/25)*Calculateur!HC124*Calculateur!HE124*VLOOKUP('Données projet'!$B$18,Paramètres!$A$1:$I$89,3,0)*0.475*44/12</f>
        <v>32.42456668731873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128.35743787923661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6.8888888888888893</v>
      </c>
      <c r="N125" s="13">
        <f>IF('Données projet'!$A$36&gt;35,N124+M125-V124,IF(A125&lt;'Données projet'!$A$36,$K$205^A125,IF(A125='Données projet'!$A$36,'Données projet'!$B$36,N124+M125-V124)))</f>
        <v>390.11111111111103</v>
      </c>
      <c r="O125" s="13">
        <f>N125*VLOOKUP('Données projet'!$B$9,Paramètres!$A$1:$I$89,3,0)*VLOOKUP('Données projet'!$B$9,Paramètres!$A$1:$I$89,5,0)</f>
        <v>352.97253333333327</v>
      </c>
      <c r="P125" s="13">
        <f t="shared" si="87"/>
        <v>82.174285131904085</v>
      </c>
      <c r="Q125" s="20">
        <f t="shared" si="107"/>
        <v>757.88070882695501</v>
      </c>
      <c r="R125" s="59">
        <f t="shared" si="55"/>
        <v>1051.2140421602883</v>
      </c>
      <c r="S125" s="59">
        <f ca="1">AVERAGE(OFFSET($R$3,0,0,'Données projet'!$E$9+1,1))-AVERAGE(OFFSET($H$3,0,0,'Données projet'!$E$9+1,1))</f>
        <v>528.20489749461376</v>
      </c>
      <c r="T125" s="59">
        <f t="shared" si="88"/>
        <v>276.26988364830532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47.421162192532542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47.421162192532542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2.2737367544323206E-13</v>
      </c>
      <c r="AJ125" s="13">
        <f>AI125*VLOOKUP('Données projet'!$B$10,Paramètres!$A$1:$I$89,3,0)*VLOOKUP('Données projet'!$B$10,Paramètres!$A$1:$I$89,5,0)</f>
        <v>2.0572770154103635E-13</v>
      </c>
      <c r="AK125" s="13">
        <f t="shared" si="89"/>
        <v>2.8416956338469711E-12</v>
      </c>
      <c r="AL125" s="20">
        <f t="shared" si="58"/>
        <v>5.3075956424674458E-12</v>
      </c>
      <c r="AM125" s="59">
        <f t="shared" si="59"/>
        <v>293.3333333333386</v>
      </c>
      <c r="AN125" s="59">
        <f ca="1">AVERAGE(OFFSET($AM$3,0,0,'Données projet'!$E$10+1,1))-AVERAGE(OFFSET($H$3,0,0,'Données projet'!$E$10+1,1))</f>
        <v>436.23918637269577</v>
      </c>
      <c r="AO125" s="59">
        <f t="shared" si="90"/>
        <v>611.43967996341894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15.892042170364226</v>
      </c>
      <c r="AV125" s="21">
        <f>EXP(-LN(2)/25)*AV124+(1-EXP(-LN(2)/25))/(LN(2)/25)*Calculateur!AQ125*Calculateur!AS125*VLOOKUP('Données projet'!$B$10,Paramètres!$A$1:$I$89,3,0)*0.475*44/12</f>
        <v>5.1189395384770942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21.010981708841321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4.4337866711430253E-14</v>
      </c>
      <c r="BF125" s="13">
        <f t="shared" si="91"/>
        <v>7.3222115536967035E-13</v>
      </c>
      <c r="BG125" s="20">
        <f t="shared" si="61"/>
        <v>1.3525069634579169E-12</v>
      </c>
      <c r="BH125" s="59">
        <f t="shared" si="62"/>
        <v>293.33333333333468</v>
      </c>
      <c r="BI125" s="59">
        <f ca="1">AVERAGE(OFFSET($BH$3,0,0,'Données projet'!$E$11+1,1))-AVERAGE(OFFSET($H$3,0,0,'Données projet'!$E$11+1,1))</f>
        <v>288.82868507674738</v>
      </c>
      <c r="BJ125" s="59">
        <f t="shared" si="92"/>
        <v>283.48738729114024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30.962103082302445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30.962103082302445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2.1316282072803006E-14</v>
      </c>
      <c r="BZ125" s="13">
        <f>BY125*VLOOKUP('Données projet'!$B$12,Paramètres!$A$1:$I$89,3,0)*VLOOKUP('Données projet'!$B$12,Paramètres!$A$1:$I$89,5,0)</f>
        <v>1.8621904018800709E-14</v>
      </c>
      <c r="CA125" s="13">
        <f t="shared" si="93"/>
        <v>3.40208645124969E-13</v>
      </c>
      <c r="CB125" s="20">
        <f t="shared" si="64"/>
        <v>6.2496320642539887E-13</v>
      </c>
      <c r="CC125" s="59">
        <f t="shared" si="65"/>
        <v>293.33333333333394</v>
      </c>
      <c r="CD125" s="59">
        <f ca="1">AVERAGE(OFFSET($CC$3,0,0,'Données projet'!$E$12+1,1))-AVERAGE(OFFSET($H$3,0,0,'Données projet'!$E$12+1,1))</f>
        <v>93.329407403816901</v>
      </c>
      <c r="CE125" s="59">
        <f t="shared" si="94"/>
        <v>90.925148357295313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7.5699862314515949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7.5699862314515949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-2.2737367544323206E-13</v>
      </c>
      <c r="CU125" s="17">
        <f>CT125*VLOOKUP('Données projet'!$B$13,Paramètres!$A$1:$I$89,3,0)*VLOOKUP('Données projet'!$B$13,Paramètres!$A$1:$I$89,5,0)</f>
        <v>-2.1636878955177963E-13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805.04572055352492</v>
      </c>
      <c r="CZ125" s="59">
        <f t="shared" si="96"/>
        <v>708.66645042414962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177.04298063315559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177.04298063315559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-1.1368683772161603E-13</v>
      </c>
      <c r="DP125" s="17">
        <f>DO125*VLOOKUP('Données projet'!$B$14,Paramètres!$A$1:$I$89,3,0)*VLOOKUP('Données projet'!$B$14,Paramètres!$A$1:$I$89,5,0)</f>
        <v>-7.626113074366004E-14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482.69499576870095</v>
      </c>
      <c r="DU125" s="59">
        <f t="shared" si="98"/>
        <v>384.28918352579575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109.51784310318854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109.51784310318854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1.7053025658242404E-13</v>
      </c>
      <c r="EK125" s="17">
        <f>EJ125*VLOOKUP('Données projet'!$B$15,Paramètres!$A$1:$I$89,3,0)*VLOOKUP('Données projet'!$B$15,Paramètres!$A$1:$I$89,5,0)</f>
        <v>1.250327841262333E-13</v>
      </c>
      <c r="EL125" s="13">
        <f t="shared" si="99"/>
        <v>1.8301318724634299E-12</v>
      </c>
      <c r="EM125" s="20">
        <f t="shared" si="73"/>
        <v>3.405245110226996E-12</v>
      </c>
      <c r="EN125" s="59">
        <f t="shared" si="74"/>
        <v>293.33333333333672</v>
      </c>
      <c r="EO125" s="59">
        <f ca="1">AVERAGE(OFFSET($EN$3,0,0,'Données projet'!$E$15+1,1))-AVERAGE(OFFSET($H$3,0,0,'Données projet'!$E$15+1,1))</f>
        <v>197.34725966440715</v>
      </c>
      <c r="EP125" s="59">
        <f t="shared" si="100"/>
        <v>240.16326570529532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10.513208126310946</v>
      </c>
      <c r="EW125" s="21">
        <f>EXP(-LN(2)/25)*EW124+(1-EXP(-LN(2)/25))/(LN(2)/25)*Calculateur!ER125*Calculateur!ET125*VLOOKUP('Données projet'!$B$15,Paramètres!$A$1:$I$89,3,0)*0.475*44/12</f>
        <v>4.1837863926531131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14.696994518964059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2.2737367544323206E-13</v>
      </c>
      <c r="FF125" s="17">
        <f>FE125*VLOOKUP('Données projet'!$B$16,Paramètres!$A$1:$I$89,3,0)*VLOOKUP('Données projet'!$B$16,Paramètres!$A$1:$I$89,5,0)</f>
        <v>1.2710188457276673E-13</v>
      </c>
      <c r="FG125" s="13">
        <f t="shared" si="101"/>
        <v>1.856866851063998E-12</v>
      </c>
      <c r="FH125" s="20">
        <f t="shared" si="76"/>
        <v>3.4554122145673649E-12</v>
      </c>
      <c r="FI125" s="59">
        <f t="shared" si="77"/>
        <v>293.33333333333678</v>
      </c>
      <c r="FJ125" s="59">
        <f ca="1">AVERAGE(OFFSET($FI$3,0,0,'Données projet'!$E$16+1,1))-AVERAGE(OFFSET($H$3,0,0,'Données projet'!$E$16+1,1))</f>
        <v>346.42094266871379</v>
      </c>
      <c r="FK125" s="59">
        <f t="shared" si="102"/>
        <v>453.48153556975973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50.166062903503303</v>
      </c>
      <c r="FR125" s="21">
        <f>EXP(-LN(2)/25)*FR124+(1-EXP(-LN(2)/25))/(LN(2)/25)*Calculateur!FM125*Calculateur!FO125*VLOOKUP('Données projet'!$B$16,Paramètres!$A$1:$I$89,3,0)*0.475*44/12</f>
        <v>18.91125441337336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69.077317316876659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-1.1368683772161603E-13</v>
      </c>
      <c r="GA125" s="17">
        <f>FZ125*VLOOKUP('Données projet'!$B$17,Paramètres!$A$1:$I$89,3,0)*VLOOKUP('Données projet'!$B$17,Paramètres!$A$1:$I$89,5,0)</f>
        <v>-5.3205440053716299E-14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198.26255998041</v>
      </c>
      <c r="GF125" s="59">
        <f t="shared" si="104"/>
        <v>238.62101708181166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32.154904290360456</v>
      </c>
      <c r="GM125" s="21">
        <f>EXP(-LN(2)/25)*GM124+(1-EXP(-LN(2)/25))/(LN(2)/25)*Calculateur!GH125*Calculateur!GJ125*VLOOKUP('Données projet'!$B$17,Paramètres!$A$1:$I$89,3,0)*0.475*44/12</f>
        <v>11.160896220046519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43.315800510406973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>
        <f>GU125*VLOOKUP('Données projet'!$B$18,Paramètres!$A$1:$I$89,3,0)*VLOOKUP('Données projet'!$B$18,Paramètres!$A$1:$I$89,5,0)</f>
        <v>0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604.0566904089452</v>
      </c>
      <c r="HA125" s="59">
        <f t="shared" si="106"/>
        <v>369.5187835902687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94.051686101118094</v>
      </c>
      <c r="HH125" s="21">
        <f>EXP(-LN(2)/25)*HH124+(1-EXP(-LN(2)/25))/(LN(2)/25)*Calculateur!HC125*Calculateur!HE125*VLOOKUP('Données projet'!$B$18,Paramètres!$A$1:$I$89,3,0)*0.475*44/12</f>
        <v>31.537915206120147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125.58960130723824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397</v>
      </c>
      <c r="L126" s="12">
        <f>VLOOKUP(A126,'Données projet'!$A$35:$I$55,9,0)</f>
        <v>6.8888888888888893</v>
      </c>
      <c r="M126" s="12">
        <f t="array" ref="M126">INDEX(L:L,MIN(IF(ISNUMBER(L126:L322),ROW(L126:L322),"")))</f>
        <v>6.8888888888888893</v>
      </c>
      <c r="N126" s="13">
        <f>IF('Données projet'!$A$36&gt;35,N125+M126-V125,IF(A126&lt;'Données projet'!$A$36,$K$205^A126,IF(A126='Données projet'!$A$36,'Données projet'!$B$36,N125+M126-V125)))</f>
        <v>396.99999999999994</v>
      </c>
      <c r="O126" s="13">
        <f>N126*VLOOKUP('Données projet'!$B$9,Paramètres!$A$1:$I$89,3,0)*VLOOKUP('Données projet'!$B$9,Paramètres!$A$1:$I$89,5,0)</f>
        <v>359.20559999999995</v>
      </c>
      <c r="P126" s="13">
        <f t="shared" si="87"/>
        <v>83.455166295200186</v>
      </c>
      <c r="Q126" s="20">
        <f t="shared" si="107"/>
        <v>770.96750129747352</v>
      </c>
      <c r="R126" s="59">
        <f t="shared" si="55"/>
        <v>1064.3008346308068</v>
      </c>
      <c r="S126" s="59">
        <f ca="1">AVERAGE(OFFSET($R$3,0,0,'Données projet'!$E$9+1,1))-AVERAGE(OFFSET($H$3,0,0,'Données projet'!$E$9+1,1))</f>
        <v>528.20489749461376</v>
      </c>
      <c r="T126" s="59">
        <f t="shared" si="88"/>
        <v>276.26988364830532</v>
      </c>
      <c r="U126" s="15">
        <f>IF(ISNA(VLOOKUP(A126,'Données projet'!$A$35:$I$55,3,0)),0,VLOOKUP(A126,'Données projet'!$A$35:$I$55,3,0))</f>
        <v>11</v>
      </c>
      <c r="V126" s="15">
        <f>IF(ISNA(VLOOKUP(A126,'Données projet'!$A$35:$I$55,4,0)),0,VLOOKUP(A126,'Données projet'!$A$35:$I$55,4,0))</f>
        <v>40</v>
      </c>
      <c r="W126" s="16">
        <f>IF(ISNA(VLOOKUP(A126,'Données projet'!$A$35:$I$55,5,0)),0%,VLOOKUP(A126,'Données projet'!$A$35:$I$55,5,0)*VLOOKUP('Données projet'!$B$9,Paramètres!$A$1:$I$89,7,0))</f>
        <v>0.25800000000000001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56.813631591812488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56.813631591812488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2.2737367544323206E-13</v>
      </c>
      <c r="AJ126" s="13">
        <f>AI126*VLOOKUP('Données projet'!$B$10,Paramètres!$A$1:$I$89,3,0)*VLOOKUP('Données projet'!$B$10,Paramètres!$A$1:$I$89,5,0)</f>
        <v>2.0572770154103635E-13</v>
      </c>
      <c r="AK126" s="13">
        <f t="shared" si="89"/>
        <v>2.8416956338469711E-12</v>
      </c>
      <c r="AL126" s="20">
        <f t="shared" si="58"/>
        <v>5.3075956424674458E-12</v>
      </c>
      <c r="AM126" s="59">
        <f t="shared" si="59"/>
        <v>293.3333333333386</v>
      </c>
      <c r="AN126" s="59">
        <f ca="1">AVERAGE(OFFSET($AM$3,0,0,'Données projet'!$E$10+1,1))-AVERAGE(OFFSET($H$3,0,0,'Données projet'!$E$10+1,1))</f>
        <v>436.23918637269577</v>
      </c>
      <c r="AO126" s="59">
        <f t="shared" si="90"/>
        <v>611.43967996341894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15.580408916591985</v>
      </c>
      <c r="AV126" s="21">
        <f>EXP(-LN(2)/25)*AV125+(1-EXP(-LN(2)/25))/(LN(2)/25)*Calculateur!AQ126*Calculateur!AS126*VLOOKUP('Données projet'!$B$10,Paramètres!$A$1:$I$89,3,0)*0.475*44/12</f>
        <v>4.9789618676041068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20.559370784196091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4.4337866711430253E-14</v>
      </c>
      <c r="BF126" s="13">
        <f t="shared" si="91"/>
        <v>7.3222115536967035E-13</v>
      </c>
      <c r="BG126" s="20">
        <f t="shared" si="61"/>
        <v>1.3525069634579169E-12</v>
      </c>
      <c r="BH126" s="59">
        <f t="shared" si="62"/>
        <v>293.33333333333468</v>
      </c>
      <c r="BI126" s="59">
        <f ca="1">AVERAGE(OFFSET($BH$3,0,0,'Données projet'!$E$11+1,1))-AVERAGE(OFFSET($H$3,0,0,'Données projet'!$E$11+1,1))</f>
        <v>288.82868507674738</v>
      </c>
      <c r="BJ126" s="59">
        <f t="shared" si="92"/>
        <v>283.48738729114024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30.354955125876632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30.354955125876632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2.1316282072803006E-14</v>
      </c>
      <c r="BZ126" s="13">
        <f>BY126*VLOOKUP('Données projet'!$B$12,Paramètres!$A$1:$I$89,3,0)*VLOOKUP('Données projet'!$B$12,Paramètres!$A$1:$I$89,5,0)</f>
        <v>1.8621904018800709E-14</v>
      </c>
      <c r="CA126" s="13">
        <f t="shared" si="93"/>
        <v>3.40208645124969E-13</v>
      </c>
      <c r="CB126" s="20">
        <f t="shared" si="64"/>
        <v>6.2496320642539887E-13</v>
      </c>
      <c r="CC126" s="59">
        <f t="shared" si="65"/>
        <v>293.33333333333394</v>
      </c>
      <c r="CD126" s="59">
        <f ca="1">AVERAGE(OFFSET($CC$3,0,0,'Données projet'!$E$12+1,1))-AVERAGE(OFFSET($H$3,0,0,'Données projet'!$E$12+1,1))</f>
        <v>93.329407403816901</v>
      </c>
      <c r="CE126" s="59">
        <f t="shared" si="94"/>
        <v>90.925148357295313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7.4215434186885165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7.4215434186885165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-2.2737367544323206E-13</v>
      </c>
      <c r="CU126" s="17">
        <f>CT126*VLOOKUP('Données projet'!$B$13,Paramètres!$A$1:$I$89,3,0)*VLOOKUP('Données projet'!$B$13,Paramètres!$A$1:$I$89,5,0)</f>
        <v>-2.1636878955177963E-13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805.04572055352492</v>
      </c>
      <c r="CZ126" s="59">
        <f t="shared" si="96"/>
        <v>708.66645042414962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173.5712757684949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173.5712757684949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-1.1368683772161603E-13</v>
      </c>
      <c r="DP126" s="17">
        <f>DO126*VLOOKUP('Données projet'!$B$14,Paramètres!$A$1:$I$89,3,0)*VLOOKUP('Données projet'!$B$14,Paramètres!$A$1:$I$89,5,0)</f>
        <v>-7.626113074366004E-14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482.69499576870095</v>
      </c>
      <c r="DU126" s="59">
        <f t="shared" si="98"/>
        <v>384.28918352579575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107.37026499922342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107.37026499922342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1.7053025658242404E-13</v>
      </c>
      <c r="EK126" s="17">
        <f>EJ126*VLOOKUP('Données projet'!$B$15,Paramètres!$A$1:$I$89,3,0)*VLOOKUP('Données projet'!$B$15,Paramètres!$A$1:$I$89,5,0)</f>
        <v>1.250327841262333E-13</v>
      </c>
      <c r="EL126" s="13">
        <f t="shared" si="99"/>
        <v>1.8301318724634299E-12</v>
      </c>
      <c r="EM126" s="20">
        <f t="shared" si="73"/>
        <v>3.405245110226996E-12</v>
      </c>
      <c r="EN126" s="59">
        <f t="shared" si="74"/>
        <v>293.33333333333672</v>
      </c>
      <c r="EO126" s="59">
        <f ca="1">AVERAGE(OFFSET($EN$3,0,0,'Données projet'!$E$15+1,1))-AVERAGE(OFFSET($H$3,0,0,'Données projet'!$E$15+1,1))</f>
        <v>197.34725966440715</v>
      </c>
      <c r="EP126" s="59">
        <f t="shared" si="100"/>
        <v>240.16326570529532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10.307050527377772</v>
      </c>
      <c r="EW126" s="21">
        <f>EXP(-LN(2)/25)*EW125+(1-EXP(-LN(2)/25))/(LN(2)/25)*Calculateur!ER126*Calculateur!ET126*VLOOKUP('Données projet'!$B$15,Paramètres!$A$1:$I$89,3,0)*0.475*44/12</f>
        <v>4.0693805337302491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14.376431061108022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2.2737367544323206E-13</v>
      </c>
      <c r="FF126" s="17">
        <f>FE126*VLOOKUP('Données projet'!$B$16,Paramètres!$A$1:$I$89,3,0)*VLOOKUP('Données projet'!$B$16,Paramètres!$A$1:$I$89,5,0)</f>
        <v>1.2710188457276673E-13</v>
      </c>
      <c r="FG126" s="13">
        <f t="shared" si="101"/>
        <v>1.856866851063998E-12</v>
      </c>
      <c r="FH126" s="20">
        <f t="shared" si="76"/>
        <v>3.4554122145673649E-12</v>
      </c>
      <c r="FI126" s="59">
        <f t="shared" si="77"/>
        <v>293.33333333333678</v>
      </c>
      <c r="FJ126" s="59">
        <f ca="1">AVERAGE(OFFSET($FI$3,0,0,'Données projet'!$E$16+1,1))-AVERAGE(OFFSET($H$3,0,0,'Données projet'!$E$16+1,1))</f>
        <v>346.42094266871379</v>
      </c>
      <c r="FK126" s="59">
        <f t="shared" si="102"/>
        <v>453.48153556975973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49.182337008242648</v>
      </c>
      <c r="FR126" s="21">
        <f>EXP(-LN(2)/25)*FR125+(1-EXP(-LN(2)/25))/(LN(2)/25)*Calculateur!FM126*Calculateur!FO126*VLOOKUP('Données projet'!$B$16,Paramètres!$A$1:$I$89,3,0)*0.475*44/12</f>
        <v>18.394125166940018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67.57646217518267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-1.1368683772161603E-13</v>
      </c>
      <c r="GA126" s="17">
        <f>FZ126*VLOOKUP('Données projet'!$B$17,Paramètres!$A$1:$I$89,3,0)*VLOOKUP('Données projet'!$B$17,Paramètres!$A$1:$I$89,5,0)</f>
        <v>-5.3205440053716299E-14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198.26255998041</v>
      </c>
      <c r="GF126" s="59">
        <f t="shared" si="104"/>
        <v>238.62101708181166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31.524366229781524</v>
      </c>
      <c r="GM126" s="21">
        <f>EXP(-LN(2)/25)*GM125+(1-EXP(-LN(2)/25))/(LN(2)/25)*Calculateur!GH126*Calculateur!GJ126*VLOOKUP('Données projet'!$B$17,Paramètres!$A$1:$I$89,3,0)*0.475*44/12</f>
        <v>10.855700925983323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42.380067155764849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>
        <f>GU126*VLOOKUP('Données projet'!$B$18,Paramètres!$A$1:$I$89,3,0)*VLOOKUP('Données projet'!$B$18,Paramètres!$A$1:$I$89,5,0)</f>
        <v>0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604.0566904089452</v>
      </c>
      <c r="HA126" s="59">
        <f t="shared" si="106"/>
        <v>369.5187835902687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92.207389902539276</v>
      </c>
      <c r="HH126" s="21">
        <f>EXP(-LN(2)/25)*HH125+(1-EXP(-LN(2)/25))/(LN(2)/25)*Calculateur!HC126*Calculateur!HE126*VLOOKUP('Données projet'!$B$18,Paramètres!$A$1:$I$89,3,0)*0.475*44/12</f>
        <v>30.675509256301911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122.88289915884118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6.8888888888888893</v>
      </c>
      <c r="N127" s="13">
        <f>IF('Données projet'!$A$36&gt;35,N126+M127-V126,IF(A127&lt;'Données projet'!$A$36,$K$205^A127,IF(A127='Données projet'!$A$36,'Données projet'!$B$36,N126+M127-V126)))</f>
        <v>363.88888888888886</v>
      </c>
      <c r="O127" s="13">
        <f>N127*VLOOKUP('Données projet'!$B$9,Paramètres!$A$1:$I$89,3,0)*VLOOKUP('Données projet'!$B$9,Paramètres!$A$1:$I$89,5,0)</f>
        <v>329.24666666666661</v>
      </c>
      <c r="P127" s="13">
        <f t="shared" si="87"/>
        <v>77.274101183226051</v>
      </c>
      <c r="Q127" s="20">
        <f t="shared" si="107"/>
        <v>708.02367067189641</v>
      </c>
      <c r="R127" s="59">
        <f t="shared" si="55"/>
        <v>1001.3570040052298</v>
      </c>
      <c r="S127" s="59">
        <f ca="1">AVERAGE(OFFSET($R$3,0,0,'Données projet'!$E$9+1,1))-AVERAGE(OFFSET($H$3,0,0,'Données projet'!$E$9+1,1))</f>
        <v>528.20489749461376</v>
      </c>
      <c r="T127" s="59">
        <f t="shared" si="88"/>
        <v>276.26988364830532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55.699550929190629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55.699550929190629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2.2737367544323206E-13</v>
      </c>
      <c r="AJ127" s="13">
        <f>AI127*VLOOKUP('Données projet'!$B$10,Paramètres!$A$1:$I$89,3,0)*VLOOKUP('Données projet'!$B$10,Paramètres!$A$1:$I$89,5,0)</f>
        <v>2.0572770154103635E-13</v>
      </c>
      <c r="AK127" s="13">
        <f t="shared" si="89"/>
        <v>2.8416956338469711E-12</v>
      </c>
      <c r="AL127" s="20">
        <f t="shared" si="58"/>
        <v>5.3075956424674458E-12</v>
      </c>
      <c r="AM127" s="59">
        <f t="shared" si="59"/>
        <v>293.3333333333386</v>
      </c>
      <c r="AN127" s="59">
        <f ca="1">AVERAGE(OFFSET($AM$3,0,0,'Données projet'!$E$10+1,1))-AVERAGE(OFFSET($H$3,0,0,'Données projet'!$E$10+1,1))</f>
        <v>436.23918637269577</v>
      </c>
      <c r="AO127" s="59">
        <f t="shared" si="90"/>
        <v>611.43967996341894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15.274886600848701</v>
      </c>
      <c r="AV127" s="21">
        <f>EXP(-LN(2)/25)*AV126+(1-EXP(-LN(2)/25))/(LN(2)/25)*Calculateur!AQ127*Calculateur!AS127*VLOOKUP('Données projet'!$B$10,Paramètres!$A$1:$I$89,3,0)*0.475*44/12</f>
        <v>4.8428118935022475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20.117698494350947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4.4337866711430253E-14</v>
      </c>
      <c r="BF127" s="13">
        <f t="shared" si="91"/>
        <v>7.3222115536967035E-13</v>
      </c>
      <c r="BG127" s="20">
        <f t="shared" si="61"/>
        <v>1.3525069634579169E-12</v>
      </c>
      <c r="BH127" s="59">
        <f t="shared" si="62"/>
        <v>293.33333333333468</v>
      </c>
      <c r="BI127" s="59">
        <f ca="1">AVERAGE(OFFSET($BH$3,0,0,'Données projet'!$E$11+1,1))-AVERAGE(OFFSET($H$3,0,0,'Données projet'!$E$11+1,1))</f>
        <v>288.82868507674738</v>
      </c>
      <c r="BJ127" s="59">
        <f t="shared" si="92"/>
        <v>283.48738729114024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29.759712970552645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29.759712970552645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2.1316282072803006E-14</v>
      </c>
      <c r="BZ127" s="13">
        <f>BY127*VLOOKUP('Données projet'!$B$12,Paramètres!$A$1:$I$89,3,0)*VLOOKUP('Données projet'!$B$12,Paramètres!$A$1:$I$89,5,0)</f>
        <v>1.8621904018800709E-14</v>
      </c>
      <c r="CA127" s="13">
        <f t="shared" si="93"/>
        <v>3.40208645124969E-13</v>
      </c>
      <c r="CB127" s="20">
        <f t="shared" si="64"/>
        <v>6.2496320642539887E-13</v>
      </c>
      <c r="CC127" s="59">
        <f t="shared" si="65"/>
        <v>293.33333333333394</v>
      </c>
      <c r="CD127" s="59">
        <f ca="1">AVERAGE(OFFSET($CC$3,0,0,'Données projet'!$E$12+1,1))-AVERAGE(OFFSET($H$3,0,0,'Données projet'!$E$12+1,1))</f>
        <v>93.329407403816901</v>
      </c>
      <c r="CE127" s="59">
        <f t="shared" si="94"/>
        <v>90.925148357295313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7.2760114789425465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7.2760114789425465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-2.2737367544323206E-13</v>
      </c>
      <c r="CU127" s="17">
        <f>CT127*VLOOKUP('Données projet'!$B$13,Paramètres!$A$1:$I$89,3,0)*VLOOKUP('Données projet'!$B$13,Paramètres!$A$1:$I$89,5,0)</f>
        <v>-2.1636878955177963E-13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805.04572055352492</v>
      </c>
      <c r="CZ127" s="59">
        <f t="shared" si="96"/>
        <v>708.66645042414962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170.16764891869934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170.16764891869934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-1.1368683772161603E-13</v>
      </c>
      <c r="DP127" s="17">
        <f>DO127*VLOOKUP('Données projet'!$B$14,Paramètres!$A$1:$I$89,3,0)*VLOOKUP('Données projet'!$B$14,Paramètres!$A$1:$I$89,5,0)</f>
        <v>-7.626113074366004E-14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482.69499576870095</v>
      </c>
      <c r="DU127" s="59">
        <f t="shared" si="98"/>
        <v>384.28918352579575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105.26479959198376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105.26479959198376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1.7053025658242404E-13</v>
      </c>
      <c r="EK127" s="17">
        <f>EJ127*VLOOKUP('Données projet'!$B$15,Paramètres!$A$1:$I$89,3,0)*VLOOKUP('Données projet'!$B$15,Paramètres!$A$1:$I$89,5,0)</f>
        <v>1.250327841262333E-13</v>
      </c>
      <c r="EL127" s="13">
        <f t="shared" si="99"/>
        <v>1.8301318724634299E-12</v>
      </c>
      <c r="EM127" s="20">
        <f t="shared" si="73"/>
        <v>3.405245110226996E-12</v>
      </c>
      <c r="EN127" s="59">
        <f t="shared" si="74"/>
        <v>293.33333333333672</v>
      </c>
      <c r="EO127" s="59">
        <f ca="1">AVERAGE(OFFSET($EN$3,0,0,'Données projet'!$E$15+1,1))-AVERAGE(OFFSET($H$3,0,0,'Données projet'!$E$15+1,1))</f>
        <v>197.34725966440715</v>
      </c>
      <c r="EP127" s="59">
        <f t="shared" si="100"/>
        <v>240.16326570529532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10.104935553215958</v>
      </c>
      <c r="EW127" s="21">
        <f>EXP(-LN(2)/25)*EW126+(1-EXP(-LN(2)/25))/(LN(2)/25)*Calculateur!ER127*Calculateur!ET127*VLOOKUP('Données projet'!$B$15,Paramètres!$A$1:$I$89,3,0)*0.475*44/12</f>
        <v>3.958103109035974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14.063038662251932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2.2737367544323206E-13</v>
      </c>
      <c r="FF127" s="17">
        <f>FE127*VLOOKUP('Données projet'!$B$16,Paramètres!$A$1:$I$89,3,0)*VLOOKUP('Données projet'!$B$16,Paramètres!$A$1:$I$89,5,0)</f>
        <v>1.2710188457276673E-13</v>
      </c>
      <c r="FG127" s="13">
        <f t="shared" si="101"/>
        <v>1.856866851063998E-12</v>
      </c>
      <c r="FH127" s="20">
        <f t="shared" si="76"/>
        <v>3.4554122145673649E-12</v>
      </c>
      <c r="FI127" s="59">
        <f t="shared" si="77"/>
        <v>293.33333333333678</v>
      </c>
      <c r="FJ127" s="59">
        <f ca="1">AVERAGE(OFFSET($FI$3,0,0,'Données projet'!$E$16+1,1))-AVERAGE(OFFSET($H$3,0,0,'Données projet'!$E$16+1,1))</f>
        <v>346.42094266871379</v>
      </c>
      <c r="FK127" s="59">
        <f t="shared" si="102"/>
        <v>453.48153556975973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48.217901377774503</v>
      </c>
      <c r="FR127" s="21">
        <f>EXP(-LN(2)/25)*FR126+(1-EXP(-LN(2)/25))/(LN(2)/25)*Calculateur!FM127*Calculateur!FO127*VLOOKUP('Données projet'!$B$16,Paramètres!$A$1:$I$89,3,0)*0.475*44/12</f>
        <v>17.891136846945042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66.109038224719541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-1.1368683772161603E-13</v>
      </c>
      <c r="GA127" s="17">
        <f>FZ127*VLOOKUP('Données projet'!$B$17,Paramètres!$A$1:$I$89,3,0)*VLOOKUP('Données projet'!$B$17,Paramètres!$A$1:$I$89,5,0)</f>
        <v>-5.3205440053716299E-14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198.26255998041</v>
      </c>
      <c r="GF127" s="59">
        <f t="shared" si="104"/>
        <v>238.62101708181166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30.906192635980304</v>
      </c>
      <c r="GM127" s="21">
        <f>EXP(-LN(2)/25)*GM126+(1-EXP(-LN(2)/25))/(LN(2)/25)*Calculateur!GH127*Calculateur!GJ127*VLOOKUP('Données projet'!$B$17,Paramètres!$A$1:$I$89,3,0)*0.475*44/12</f>
        <v>10.558851213285807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41.46504384926611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>
        <f>GU127*VLOOKUP('Données projet'!$B$18,Paramètres!$A$1:$I$89,3,0)*VLOOKUP('Données projet'!$B$18,Paramètres!$A$1:$I$89,5,0)</f>
        <v>0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604.0566904089452</v>
      </c>
      <c r="HA127" s="59">
        <f t="shared" si="106"/>
        <v>369.5187835902687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90.399259227504984</v>
      </c>
      <c r="HH127" s="21">
        <f>EXP(-LN(2)/25)*HH126+(1-EXP(-LN(2)/25))/(LN(2)/25)*Calculateur!HC127*Calculateur!HE127*VLOOKUP('Données projet'!$B$18,Paramètres!$A$1:$I$89,3,0)*0.475*44/12</f>
        <v>29.836685842533413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120.2359450700384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6.8888888888888893</v>
      </c>
      <c r="N128" s="13">
        <f>IF('Données projet'!$A$36&gt;35,N127+M128-V127,IF(A128&lt;'Données projet'!$A$36,$K$205^A128,IF(A128='Données projet'!$A$36,'Données projet'!$B$36,N127+M128-V127)))</f>
        <v>370.77777777777777</v>
      </c>
      <c r="O128" s="13">
        <f>N128*VLOOKUP('Données projet'!$B$9,Paramètres!$A$1:$I$89,3,0)*VLOOKUP('Données projet'!$B$9,Paramètres!$A$1:$I$89,5,0)</f>
        <v>335.47973333333329</v>
      </c>
      <c r="P128" s="13">
        <f t="shared" si="87"/>
        <v>78.565304478830157</v>
      </c>
      <c r="Q128" s="20">
        <f t="shared" si="107"/>
        <v>721.12844085618462</v>
      </c>
      <c r="R128" s="59">
        <f t="shared" si="55"/>
        <v>1014.4617741895179</v>
      </c>
      <c r="S128" s="59">
        <f ca="1">AVERAGE(OFFSET($R$3,0,0,'Données projet'!$E$9+1,1))-AVERAGE(OFFSET($H$3,0,0,'Données projet'!$E$9+1,1))</f>
        <v>528.20489749461376</v>
      </c>
      <c r="T128" s="59">
        <f t="shared" si="88"/>
        <v>276.26988364830532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54.607316708840678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54.607316708840678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2.2737367544323206E-13</v>
      </c>
      <c r="AJ128" s="13">
        <f>AI128*VLOOKUP('Données projet'!$B$10,Paramètres!$A$1:$I$89,3,0)*VLOOKUP('Données projet'!$B$10,Paramètres!$A$1:$I$89,5,0)</f>
        <v>2.0572770154103635E-13</v>
      </c>
      <c r="AK128" s="13">
        <f t="shared" si="89"/>
        <v>2.8416956338469711E-12</v>
      </c>
      <c r="AL128" s="20">
        <f t="shared" si="58"/>
        <v>5.3075956424674458E-12</v>
      </c>
      <c r="AM128" s="59">
        <f t="shared" si="59"/>
        <v>293.3333333333386</v>
      </c>
      <c r="AN128" s="59">
        <f ca="1">AVERAGE(OFFSET($AM$3,0,0,'Données projet'!$E$10+1,1))-AVERAGE(OFFSET($H$3,0,0,'Données projet'!$E$10+1,1))</f>
        <v>436.23918637269577</v>
      </c>
      <c r="AO128" s="59">
        <f t="shared" si="90"/>
        <v>611.43967996341894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14.97535539136693</v>
      </c>
      <c r="AV128" s="21">
        <f>EXP(-LN(2)/25)*AV127+(1-EXP(-LN(2)/25))/(LN(2)/25)*Calculateur!AQ128*Calculateur!AS128*VLOOKUP('Données projet'!$B$10,Paramètres!$A$1:$I$89,3,0)*0.475*44/12</f>
        <v>4.7103849476020194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19.685740338968948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4.4337866711430253E-14</v>
      </c>
      <c r="BF128" s="13">
        <f t="shared" si="91"/>
        <v>7.3222115536967035E-13</v>
      </c>
      <c r="BG128" s="20">
        <f t="shared" si="61"/>
        <v>1.3525069634579169E-12</v>
      </c>
      <c r="BH128" s="59">
        <f t="shared" si="62"/>
        <v>293.33333333333468</v>
      </c>
      <c r="BI128" s="59">
        <f ca="1">AVERAGE(OFFSET($BH$3,0,0,'Données projet'!$E$11+1,1))-AVERAGE(OFFSET($H$3,0,0,'Données projet'!$E$11+1,1))</f>
        <v>288.82868507674738</v>
      </c>
      <c r="BJ128" s="59">
        <f t="shared" si="92"/>
        <v>283.48738729114024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29.176143150832694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29.176143150832694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2.1316282072803006E-14</v>
      </c>
      <c r="BZ128" s="13">
        <f>BY128*VLOOKUP('Données projet'!$B$12,Paramètres!$A$1:$I$89,3,0)*VLOOKUP('Données projet'!$B$12,Paramètres!$A$1:$I$89,5,0)</f>
        <v>1.8621904018800709E-14</v>
      </c>
      <c r="CA128" s="13">
        <f t="shared" si="93"/>
        <v>3.40208645124969E-13</v>
      </c>
      <c r="CB128" s="20">
        <f t="shared" si="64"/>
        <v>6.2496320642539887E-13</v>
      </c>
      <c r="CC128" s="59">
        <f t="shared" si="65"/>
        <v>293.33333333333394</v>
      </c>
      <c r="CD128" s="59">
        <f ca="1">AVERAGE(OFFSET($CC$3,0,0,'Données projet'!$E$12+1,1))-AVERAGE(OFFSET($H$3,0,0,'Données projet'!$E$12+1,1))</f>
        <v>93.329407403816901</v>
      </c>
      <c r="CE128" s="59">
        <f t="shared" si="94"/>
        <v>90.925148357295313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7.1333333317692764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7.1333333317692764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-2.2737367544323206E-13</v>
      </c>
      <c r="CU128" s="17">
        <f>CT128*VLOOKUP('Données projet'!$B$13,Paramètres!$A$1:$I$89,3,0)*VLOOKUP('Données projet'!$B$13,Paramètres!$A$1:$I$89,5,0)</f>
        <v>-2.1636878955177963E-13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805.04572055352492</v>
      </c>
      <c r="CZ128" s="59">
        <f t="shared" si="96"/>
        <v>708.66645042414962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166.83076511542089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166.83076511542089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-1.1368683772161603E-13</v>
      </c>
      <c r="DP128" s="17">
        <f>DO128*VLOOKUP('Données projet'!$B$14,Paramètres!$A$1:$I$89,3,0)*VLOOKUP('Données projet'!$B$14,Paramètres!$A$1:$I$89,5,0)</f>
        <v>-7.626113074366004E-14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482.69499576870095</v>
      </c>
      <c r="DU128" s="59">
        <f t="shared" si="98"/>
        <v>384.28918352579575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103.20062107717297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103.20062107717297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1.7053025658242404E-13</v>
      </c>
      <c r="EK128" s="17">
        <f>EJ128*VLOOKUP('Données projet'!$B$15,Paramètres!$A$1:$I$89,3,0)*VLOOKUP('Données projet'!$B$15,Paramètres!$A$1:$I$89,5,0)</f>
        <v>1.250327841262333E-13</v>
      </c>
      <c r="EL128" s="13">
        <f t="shared" si="99"/>
        <v>1.8301318724634299E-12</v>
      </c>
      <c r="EM128" s="20">
        <f t="shared" si="73"/>
        <v>3.405245110226996E-12</v>
      </c>
      <c r="EN128" s="59">
        <f t="shared" si="74"/>
        <v>293.33333333333672</v>
      </c>
      <c r="EO128" s="59">
        <f ca="1">AVERAGE(OFFSET($EN$3,0,0,'Données projet'!$E$15+1,1))-AVERAGE(OFFSET($H$3,0,0,'Données projet'!$E$15+1,1))</f>
        <v>197.34725966440715</v>
      </c>
      <c r="EP128" s="59">
        <f t="shared" si="100"/>
        <v>240.16326570529532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9.9067839304194951</v>
      </c>
      <c r="EW128" s="21">
        <f>EXP(-LN(2)/25)*EW127+(1-EXP(-LN(2)/25))/(LN(2)/25)*Calculateur!ER128*Calculateur!ET128*VLOOKUP('Données projet'!$B$15,Paramètres!$A$1:$I$89,3,0)*0.475*44/12</f>
        <v>3.8498685713717893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13.756652501791285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2.2737367544323206E-13</v>
      </c>
      <c r="FF128" s="17">
        <f>FE128*VLOOKUP('Données projet'!$B$16,Paramètres!$A$1:$I$89,3,0)*VLOOKUP('Données projet'!$B$16,Paramètres!$A$1:$I$89,5,0)</f>
        <v>1.2710188457276673E-13</v>
      </c>
      <c r="FG128" s="13">
        <f t="shared" si="101"/>
        <v>1.856866851063998E-12</v>
      </c>
      <c r="FH128" s="20">
        <f t="shared" si="76"/>
        <v>3.4554122145673649E-12</v>
      </c>
      <c r="FI128" s="59">
        <f t="shared" si="77"/>
        <v>293.33333333333678</v>
      </c>
      <c r="FJ128" s="59">
        <f ca="1">AVERAGE(OFFSET($FI$3,0,0,'Données projet'!$E$16+1,1))-AVERAGE(OFFSET($H$3,0,0,'Données projet'!$E$16+1,1))</f>
        <v>346.42094266871379</v>
      </c>
      <c r="FK128" s="59">
        <f t="shared" si="102"/>
        <v>453.48153556975973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47.272377741772189</v>
      </c>
      <c r="FR128" s="21">
        <f>EXP(-LN(2)/25)*FR127+(1-EXP(-LN(2)/25))/(LN(2)/25)*Calculateur!FM128*Calculateur!FO128*VLOOKUP('Données projet'!$B$16,Paramètres!$A$1:$I$89,3,0)*0.475*44/12</f>
        <v>17.401902769011333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64.674280510783518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-1.1368683772161603E-13</v>
      </c>
      <c r="GA128" s="17">
        <f>FZ128*VLOOKUP('Données projet'!$B$17,Paramètres!$A$1:$I$89,3,0)*VLOOKUP('Données projet'!$B$17,Paramètres!$A$1:$I$89,5,0)</f>
        <v>-5.3205440053716299E-14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198.26255998041</v>
      </c>
      <c r="GF128" s="59">
        <f t="shared" si="104"/>
        <v>238.62101708181166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30.300141049304866</v>
      </c>
      <c r="GM128" s="21">
        <f>EXP(-LN(2)/25)*GM127+(1-EXP(-LN(2)/25))/(LN(2)/25)*Calculateur!GH128*Calculateur!GJ128*VLOOKUP('Données projet'!$B$17,Paramètres!$A$1:$I$89,3,0)*0.475*44/12</f>
        <v>10.270118871592654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40.57025992089752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>
        <f>GU128*VLOOKUP('Données projet'!$B$18,Paramètres!$A$1:$I$89,3,0)*VLOOKUP('Données projet'!$B$18,Paramètres!$A$1:$I$89,5,0)</f>
        <v>0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604.0566904089452</v>
      </c>
      <c r="HA128" s="59">
        <f t="shared" si="106"/>
        <v>369.5187835902687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88.626584892157311</v>
      </c>
      <c r="HH128" s="21">
        <f>EXP(-LN(2)/25)*HH127+(1-EXP(-LN(2)/25))/(LN(2)/25)*Calculateur!HC128*Calculateur!HE128*VLOOKUP('Données projet'!$B$18,Paramètres!$A$1:$I$89,3,0)*0.475*44/12</f>
        <v>29.02080009912622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117.64738499128353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6.8888888888888893</v>
      </c>
      <c r="N129" s="13">
        <f>IF('Données projet'!$A$36&gt;35,N128+M129-V128,IF(A129&lt;'Données projet'!$A$36,$K$205^A129,IF(A129='Données projet'!$A$36,'Données projet'!$B$36,N128+M129-V128)))</f>
        <v>377.66666666666669</v>
      </c>
      <c r="O129" s="13">
        <f>N129*VLOOKUP('Données projet'!$B$9,Paramètres!$A$1:$I$89,3,0)*VLOOKUP('Données projet'!$B$9,Paramètres!$A$1:$I$89,5,0)</f>
        <v>341.71280000000002</v>
      </c>
      <c r="P129" s="13">
        <f t="shared" si="87"/>
        <v>79.853718187033792</v>
      </c>
      <c r="Q129" s="20">
        <f t="shared" si="107"/>
        <v>734.22835250908383</v>
      </c>
      <c r="R129" s="59">
        <f t="shared" si="55"/>
        <v>1027.5616858424171</v>
      </c>
      <c r="S129" s="59">
        <f ca="1">AVERAGE(OFFSET($R$3,0,0,'Données projet'!$E$9+1,1))-AVERAGE(OFFSET($H$3,0,0,'Données projet'!$E$9+1,1))</f>
        <v>528.20489749461376</v>
      </c>
      <c r="T129" s="59">
        <f t="shared" si="88"/>
        <v>276.26988364830532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53.536500535354691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53.536500535354691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2.2737367544323206E-13</v>
      </c>
      <c r="AJ129" s="13">
        <f>AI129*VLOOKUP('Données projet'!$B$10,Paramètres!$A$1:$I$89,3,0)*VLOOKUP('Données projet'!$B$10,Paramètres!$A$1:$I$89,5,0)</f>
        <v>2.0572770154103635E-13</v>
      </c>
      <c r="AK129" s="13">
        <f t="shared" si="89"/>
        <v>2.8416956338469711E-12</v>
      </c>
      <c r="AL129" s="20">
        <f t="shared" si="58"/>
        <v>5.3075956424674458E-12</v>
      </c>
      <c r="AM129" s="59">
        <f t="shared" si="59"/>
        <v>293.3333333333386</v>
      </c>
      <c r="AN129" s="59">
        <f ca="1">AVERAGE(OFFSET($AM$3,0,0,'Données projet'!$E$10+1,1))-AVERAGE(OFFSET($H$3,0,0,'Données projet'!$E$10+1,1))</f>
        <v>436.23918637269577</v>
      </c>
      <c r="AO129" s="59">
        <f t="shared" si="90"/>
        <v>611.43967996341894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14.681697806207099</v>
      </c>
      <c r="AV129" s="21">
        <f>EXP(-LN(2)/25)*AV128+(1-EXP(-LN(2)/25))/(LN(2)/25)*Calculateur!AQ129*Calculateur!AS129*VLOOKUP('Données projet'!$B$10,Paramètres!$A$1:$I$89,3,0)*0.475*44/12</f>
        <v>4.5815792235014632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19.263277029708561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4.4337866711430253E-14</v>
      </c>
      <c r="BF129" s="13">
        <f t="shared" si="91"/>
        <v>7.3222115536967035E-13</v>
      </c>
      <c r="BG129" s="20">
        <f t="shared" si="61"/>
        <v>1.3525069634579169E-12</v>
      </c>
      <c r="BH129" s="59">
        <f t="shared" si="62"/>
        <v>293.33333333333468</v>
      </c>
      <c r="BI129" s="59">
        <f ca="1">AVERAGE(OFFSET($BH$3,0,0,'Données projet'!$E$11+1,1))-AVERAGE(OFFSET($H$3,0,0,'Données projet'!$E$11+1,1))</f>
        <v>288.82868507674738</v>
      </c>
      <c r="BJ129" s="59">
        <f t="shared" si="92"/>
        <v>283.48738729114024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28.604016779335009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28.604016779335009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2.1316282072803006E-14</v>
      </c>
      <c r="BZ129" s="13">
        <f>BY129*VLOOKUP('Données projet'!$B$12,Paramètres!$A$1:$I$89,3,0)*VLOOKUP('Données projet'!$B$12,Paramètres!$A$1:$I$89,5,0)</f>
        <v>1.8621904018800709E-14</v>
      </c>
      <c r="CA129" s="13">
        <f t="shared" si="93"/>
        <v>3.40208645124969E-13</v>
      </c>
      <c r="CB129" s="20">
        <f t="shared" si="64"/>
        <v>6.2496320642539887E-13</v>
      </c>
      <c r="CC129" s="59">
        <f t="shared" si="65"/>
        <v>293.33333333333394</v>
      </c>
      <c r="CD129" s="59">
        <f ca="1">AVERAGE(OFFSET($CC$3,0,0,'Données projet'!$E$12+1,1))-AVERAGE(OFFSET($H$3,0,0,'Données projet'!$E$12+1,1))</f>
        <v>93.329407403816901</v>
      </c>
      <c r="CE129" s="59">
        <f t="shared" si="94"/>
        <v>90.925148357295313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6.9934530160369972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6.9934530160369972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-2.2737367544323206E-13</v>
      </c>
      <c r="CU129" s="17">
        <f>CT129*VLOOKUP('Données projet'!$B$13,Paramètres!$A$1:$I$89,3,0)*VLOOKUP('Données projet'!$B$13,Paramètres!$A$1:$I$89,5,0)</f>
        <v>-2.1636878955177963E-13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805.04572055352492</v>
      </c>
      <c r="CZ129" s="59">
        <f t="shared" si="96"/>
        <v>708.66645042414962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163.55931556822657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163.55931556822657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-1.1368683772161603E-13</v>
      </c>
      <c r="DP129" s="17">
        <f>DO129*VLOOKUP('Données projet'!$B$14,Paramètres!$A$1:$I$89,3,0)*VLOOKUP('Données projet'!$B$14,Paramètres!$A$1:$I$89,5,0)</f>
        <v>-7.626113074366004E-14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482.69499576870095</v>
      </c>
      <c r="DU129" s="59">
        <f t="shared" si="98"/>
        <v>384.28918352579575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101.17691984401304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101.17691984401304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1.7053025658242404E-13</v>
      </c>
      <c r="EK129" s="17">
        <f>EJ129*VLOOKUP('Données projet'!$B$15,Paramètres!$A$1:$I$89,3,0)*VLOOKUP('Données projet'!$B$15,Paramètres!$A$1:$I$89,5,0)</f>
        <v>1.250327841262333E-13</v>
      </c>
      <c r="EL129" s="13">
        <f t="shared" si="99"/>
        <v>1.8301318724634299E-12</v>
      </c>
      <c r="EM129" s="20">
        <f t="shared" si="73"/>
        <v>3.405245110226996E-12</v>
      </c>
      <c r="EN129" s="59">
        <f t="shared" si="74"/>
        <v>293.33333333333672</v>
      </c>
      <c r="EO129" s="59">
        <f ca="1">AVERAGE(OFFSET($EN$3,0,0,'Données projet'!$E$15+1,1))-AVERAGE(OFFSET($H$3,0,0,'Données projet'!$E$15+1,1))</f>
        <v>197.34725966440715</v>
      </c>
      <c r="EP129" s="59">
        <f t="shared" si="100"/>
        <v>240.16326570529532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9.7125179400855153</v>
      </c>
      <c r="EW129" s="21">
        <f>EXP(-LN(2)/25)*EW128+(1-EXP(-LN(2)/25))/(LN(2)/25)*Calculateur!ER129*Calculateur!ET129*VLOOKUP('Données projet'!$B$15,Paramètres!$A$1:$I$89,3,0)*0.475*44/12</f>
        <v>3.7445937128318385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13.457111652917353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2.2737367544323206E-13</v>
      </c>
      <c r="FF129" s="17">
        <f>FE129*VLOOKUP('Données projet'!$B$16,Paramètres!$A$1:$I$89,3,0)*VLOOKUP('Données projet'!$B$16,Paramètres!$A$1:$I$89,5,0)</f>
        <v>1.2710188457276673E-13</v>
      </c>
      <c r="FG129" s="13">
        <f t="shared" si="101"/>
        <v>1.856866851063998E-12</v>
      </c>
      <c r="FH129" s="20">
        <f t="shared" si="76"/>
        <v>3.4554122145673649E-12</v>
      </c>
      <c r="FI129" s="59">
        <f t="shared" si="77"/>
        <v>293.33333333333678</v>
      </c>
      <c r="FJ129" s="59">
        <f ca="1">AVERAGE(OFFSET($FI$3,0,0,'Données projet'!$E$16+1,1))-AVERAGE(OFFSET($H$3,0,0,'Données projet'!$E$16+1,1))</f>
        <v>346.42094266871379</v>
      </c>
      <c r="FK129" s="59">
        <f t="shared" si="102"/>
        <v>453.48153556975973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46.345395247559409</v>
      </c>
      <c r="FR129" s="21">
        <f>EXP(-LN(2)/25)*FR128+(1-EXP(-LN(2)/25))/(LN(2)/25)*Calculateur!FM129*Calculateur!FO129*VLOOKUP('Données projet'!$B$16,Paramètres!$A$1:$I$89,3,0)*0.475*44/12</f>
        <v>16.926046822666425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63.271442070225831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-1.1368683772161603E-13</v>
      </c>
      <c r="GA129" s="17">
        <f>FZ129*VLOOKUP('Données projet'!$B$17,Paramètres!$A$1:$I$89,3,0)*VLOOKUP('Données projet'!$B$17,Paramètres!$A$1:$I$89,5,0)</f>
        <v>-5.3205440053716299E-14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198.26255998041</v>
      </c>
      <c r="GF129" s="59">
        <f t="shared" si="104"/>
        <v>238.62101708181166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29.705973764589164</v>
      </c>
      <c r="GM129" s="21">
        <f>EXP(-LN(2)/25)*GM128+(1-EXP(-LN(2)/25))/(LN(2)/25)*Calculateur!GH129*Calculateur!GJ129*VLOOKUP('Données projet'!$B$17,Paramètres!$A$1:$I$89,3,0)*0.475*44/12</f>
        <v>9.9892819309668734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39.695255695556035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>
        <f>GU129*VLOOKUP('Données projet'!$B$18,Paramètres!$A$1:$I$89,3,0)*VLOOKUP('Données projet'!$B$18,Paramètres!$A$1:$I$89,5,0)</f>
        <v>0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604.0566904089452</v>
      </c>
      <c r="HA129" s="59">
        <f t="shared" si="106"/>
        <v>369.5187835902687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86.888671619301221</v>
      </c>
      <c r="HH129" s="21">
        <f>EXP(-LN(2)/25)*HH128+(1-EXP(-LN(2)/25))/(LN(2)/25)*Calculateur!HC129*Calculateur!HE129*VLOOKUP('Données projet'!$B$18,Paramètres!$A$1:$I$89,3,0)*0.475*44/12</f>
        <v>28.227224794278065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115.11589641357929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6.8888888888888893</v>
      </c>
      <c r="N130" s="13">
        <f>IF('Données projet'!$A$36&gt;35,N129+M130-V129,IF(A130&lt;'Données projet'!$A$36,$K$205^A130,IF(A130='Données projet'!$A$36,'Données projet'!$B$36,N129+M130-V129)))</f>
        <v>384.5555555555556</v>
      </c>
      <c r="O130" s="13">
        <f>N130*VLOOKUP('Données projet'!$B$9,Paramètres!$A$1:$I$89,3,0)*VLOOKUP('Données projet'!$B$9,Paramètres!$A$1:$I$89,5,0)</f>
        <v>347.94586666666669</v>
      </c>
      <c r="P130" s="13">
        <f t="shared" si="87"/>
        <v>81.139399060719668</v>
      </c>
      <c r="Q130" s="20">
        <f t="shared" si="107"/>
        <v>747.32350447519786</v>
      </c>
      <c r="R130" s="59">
        <f t="shared" si="55"/>
        <v>1040.6568378085312</v>
      </c>
      <c r="S130" s="59">
        <f ca="1">AVERAGE(OFFSET($R$3,0,0,'Données projet'!$E$9+1,1))-AVERAGE(OFFSET($H$3,0,0,'Données projet'!$E$9+1,1))</f>
        <v>528.20489749461376</v>
      </c>
      <c r="T130" s="59">
        <f t="shared" si="88"/>
        <v>276.26988364830532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52.486682413897391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52.486682413897391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2.2737367544323206E-13</v>
      </c>
      <c r="AJ130" s="13">
        <f>AI130*VLOOKUP('Données projet'!$B$10,Paramètres!$A$1:$I$89,3,0)*VLOOKUP('Données projet'!$B$10,Paramètres!$A$1:$I$89,5,0)</f>
        <v>2.0572770154103635E-13</v>
      </c>
      <c r="AK130" s="13">
        <f t="shared" si="89"/>
        <v>2.8416956338469711E-12</v>
      </c>
      <c r="AL130" s="20">
        <f t="shared" si="58"/>
        <v>5.3075956424674458E-12</v>
      </c>
      <c r="AM130" s="59">
        <f t="shared" si="59"/>
        <v>293.3333333333386</v>
      </c>
      <c r="AN130" s="59">
        <f ca="1">AVERAGE(OFFSET($AM$3,0,0,'Données projet'!$E$10+1,1))-AVERAGE(OFFSET($H$3,0,0,'Données projet'!$E$10+1,1))</f>
        <v>436.23918637269577</v>
      </c>
      <c r="AO130" s="59">
        <f t="shared" si="90"/>
        <v>611.43967996341894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14.393798667178812</v>
      </c>
      <c r="AV130" s="21">
        <f>EXP(-LN(2)/25)*AV129+(1-EXP(-LN(2)/25))/(LN(2)/25)*Calculateur!AQ130*Calculateur!AS130*VLOOKUP('Données projet'!$B$10,Paramètres!$A$1:$I$89,3,0)*0.475*44/12</f>
        <v>4.4562956987000355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18.850094365878846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4.4337866711430253E-14</v>
      </c>
      <c r="BF130" s="13">
        <f t="shared" si="91"/>
        <v>7.3222115536967035E-13</v>
      </c>
      <c r="BG130" s="20">
        <f t="shared" si="61"/>
        <v>1.3525069634579169E-12</v>
      </c>
      <c r="BH130" s="59">
        <f t="shared" si="62"/>
        <v>293.33333333333468</v>
      </c>
      <c r="BI130" s="59">
        <f ca="1">AVERAGE(OFFSET($BH$3,0,0,'Données projet'!$E$11+1,1))-AVERAGE(OFFSET($H$3,0,0,'Données projet'!$E$11+1,1))</f>
        <v>288.82868507674738</v>
      </c>
      <c r="BJ130" s="59">
        <f t="shared" si="92"/>
        <v>283.48738729114024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28.043109457019764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28.043109457019764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2.1316282072803006E-14</v>
      </c>
      <c r="BZ130" s="13">
        <f>BY130*VLOOKUP('Données projet'!$B$12,Paramètres!$A$1:$I$89,3,0)*VLOOKUP('Données projet'!$B$12,Paramètres!$A$1:$I$89,5,0)</f>
        <v>1.8621904018800709E-14</v>
      </c>
      <c r="CA130" s="13">
        <f t="shared" si="93"/>
        <v>3.40208645124969E-13</v>
      </c>
      <c r="CB130" s="20">
        <f t="shared" si="64"/>
        <v>6.2496320642539887E-13</v>
      </c>
      <c r="CC130" s="59">
        <f t="shared" si="65"/>
        <v>293.33333333333394</v>
      </c>
      <c r="CD130" s="59">
        <f ca="1">AVERAGE(OFFSET($CC$3,0,0,'Données projet'!$E$12+1,1))-AVERAGE(OFFSET($H$3,0,0,'Données projet'!$E$12+1,1))</f>
        <v>93.329407403816901</v>
      </c>
      <c r="CE130" s="59">
        <f t="shared" si="94"/>
        <v>90.925148357295313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6.8563156679776602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6.8563156679776602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-2.2737367544323206E-13</v>
      </c>
      <c r="CU130" s="17">
        <f>CT130*VLOOKUP('Données projet'!$B$13,Paramètres!$A$1:$I$89,3,0)*VLOOKUP('Données projet'!$B$13,Paramètres!$A$1:$I$89,5,0)</f>
        <v>-2.1636878955177963E-13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805.04572055352492</v>
      </c>
      <c r="CZ130" s="59">
        <f t="shared" si="96"/>
        <v>708.66645042414962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160.35201715126553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160.35201715126553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-1.1368683772161603E-13</v>
      </c>
      <c r="DP130" s="17">
        <f>DO130*VLOOKUP('Données projet'!$B$14,Paramètres!$A$1:$I$89,3,0)*VLOOKUP('Données projet'!$B$14,Paramètres!$A$1:$I$89,5,0)</f>
        <v>-7.626113074366004E-14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482.69499576870095</v>
      </c>
      <c r="DU130" s="59">
        <f t="shared" si="98"/>
        <v>384.28918352579575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99.192902157699521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99.192902157699521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1.7053025658242404E-13</v>
      </c>
      <c r="EK130" s="17">
        <f>EJ130*VLOOKUP('Données projet'!$B$15,Paramètres!$A$1:$I$89,3,0)*VLOOKUP('Données projet'!$B$15,Paramètres!$A$1:$I$89,5,0)</f>
        <v>1.250327841262333E-13</v>
      </c>
      <c r="EL130" s="13">
        <f t="shared" si="99"/>
        <v>1.8301318724634299E-12</v>
      </c>
      <c r="EM130" s="20">
        <f t="shared" si="73"/>
        <v>3.405245110226996E-12</v>
      </c>
      <c r="EN130" s="59">
        <f t="shared" si="74"/>
        <v>293.33333333333672</v>
      </c>
      <c r="EO130" s="59">
        <f ca="1">AVERAGE(OFFSET($EN$3,0,0,'Données projet'!$E$15+1,1))-AVERAGE(OFFSET($H$3,0,0,'Données projet'!$E$15+1,1))</f>
        <v>197.34725966440715</v>
      </c>
      <c r="EP130" s="59">
        <f t="shared" si="100"/>
        <v>240.16326570529532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9.5220613873314299</v>
      </c>
      <c r="EW130" s="21">
        <f>EXP(-LN(2)/25)*EW129+(1-EXP(-LN(2)/25))/(LN(2)/25)*Calculateur!ER130*Calculateur!ET130*VLOOKUP('Données projet'!$B$15,Paramètres!$A$1:$I$89,3,0)*0.475*44/12</f>
        <v>3.6421976008348267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13.164258988166257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2.2737367544323206E-13</v>
      </c>
      <c r="FF130" s="17">
        <f>FE130*VLOOKUP('Données projet'!$B$16,Paramètres!$A$1:$I$89,3,0)*VLOOKUP('Données projet'!$B$16,Paramètres!$A$1:$I$89,5,0)</f>
        <v>1.2710188457276673E-13</v>
      </c>
      <c r="FG130" s="13">
        <f t="shared" si="101"/>
        <v>1.856866851063998E-12</v>
      </c>
      <c r="FH130" s="20">
        <f t="shared" si="76"/>
        <v>3.4554122145673649E-12</v>
      </c>
      <c r="FI130" s="59">
        <f t="shared" si="77"/>
        <v>293.33333333333678</v>
      </c>
      <c r="FJ130" s="59">
        <f ca="1">AVERAGE(OFFSET($FI$3,0,0,'Données projet'!$E$16+1,1))-AVERAGE(OFFSET($H$3,0,0,'Données projet'!$E$16+1,1))</f>
        <v>346.42094266871379</v>
      </c>
      <c r="FK130" s="59">
        <f t="shared" si="102"/>
        <v>453.48153556975973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45.436590314654644</v>
      </c>
      <c r="FR130" s="21">
        <f>EXP(-LN(2)/25)*FR129+(1-EXP(-LN(2)/25))/(LN(2)/25)*Calculateur!FM130*Calculateur!FO130*VLOOKUP('Données projet'!$B$16,Paramètres!$A$1:$I$89,3,0)*0.475*44/12</f>
        <v>16.463203182198495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61.899793496853135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-1.1368683772161603E-13</v>
      </c>
      <c r="GA130" s="17">
        <f>FZ130*VLOOKUP('Données projet'!$B$17,Paramètres!$A$1:$I$89,3,0)*VLOOKUP('Données projet'!$B$17,Paramètres!$A$1:$I$89,5,0)</f>
        <v>-5.3205440053716299E-14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198.26255998041</v>
      </c>
      <c r="GF130" s="59">
        <f t="shared" si="104"/>
        <v>238.62101708181166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29.123457737920479</v>
      </c>
      <c r="GM130" s="21">
        <f>EXP(-LN(2)/25)*GM129+(1-EXP(-LN(2)/25))/(LN(2)/25)*Calculateur!GH130*Calculateur!GJ130*VLOOKUP('Données projet'!$B$17,Paramètres!$A$1:$I$89,3,0)*0.475*44/12</f>
        <v>9.7161244912510778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38.839582229171555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>
        <f>GU130*VLOOKUP('Données projet'!$B$18,Paramètres!$A$1:$I$89,3,0)*VLOOKUP('Données projet'!$B$18,Paramètres!$A$1:$I$89,5,0)</f>
        <v>0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604.0566904089452</v>
      </c>
      <c r="HA130" s="59">
        <f t="shared" si="106"/>
        <v>369.5187835902687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85.184837765703406</v>
      </c>
      <c r="HH130" s="21">
        <f>EXP(-LN(2)/25)*HH129+(1-EXP(-LN(2)/25))/(LN(2)/25)*Calculateur!HC130*Calculateur!HE130*VLOOKUP('Données projet'!$B$18,Paramètres!$A$1:$I$89,3,0)*0.475*44/12</f>
        <v>27.455349847873293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112.6401876135767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6.8888888888888893</v>
      </c>
      <c r="N131" s="13">
        <f>IF('Données projet'!$A$36&gt;35,N130+M131-V130,IF(A131&lt;'Données projet'!$A$36,$K$205^A131,IF(A131='Données projet'!$A$36,'Données projet'!$B$36,N130+M131-V130)))</f>
        <v>391.44444444444451</v>
      </c>
      <c r="O131" s="13">
        <f>N131*VLOOKUP('Données projet'!$B$9,Paramètres!$A$1:$I$89,3,0)*VLOOKUP('Données projet'!$B$9,Paramètres!$A$1:$I$89,5,0)</f>
        <v>354.17893333333336</v>
      </c>
      <c r="P131" s="13">
        <f t="shared" si="87"/>
        <v>82.422401702997661</v>
      </c>
      <c r="Q131" s="20">
        <f t="shared" ref="Q131:Q153" si="108">(O131+P131)*0.475*44/12</f>
        <v>760.41399185494322</v>
      </c>
      <c r="R131" s="59">
        <f t="shared" ref="R131:R194" si="109">Q131+(I131+J131)*44/12</f>
        <v>1053.7473251882766</v>
      </c>
      <c r="S131" s="59">
        <f ca="1">AVERAGE(OFFSET($R$3,0,0,'Données projet'!$E$9+1,1))-AVERAGE(OFFSET($H$3,0,0,'Données projet'!$E$9+1,1))</f>
        <v>528.20489749461376</v>
      </c>
      <c r="T131" s="59">
        <f t="shared" si="88"/>
        <v>276.26988364830532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51.457450585476046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51.457450585476046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2.2737367544323206E-13</v>
      </c>
      <c r="AJ131" s="13">
        <f>AI131*VLOOKUP('Données projet'!$B$10,Paramètres!$A$1:$I$89,3,0)*VLOOKUP('Données projet'!$B$10,Paramètres!$A$1:$I$89,5,0)</f>
        <v>2.0572770154103635E-13</v>
      </c>
      <c r="AK131" s="13">
        <f t="shared" si="89"/>
        <v>2.8416956338469711E-12</v>
      </c>
      <c r="AL131" s="20">
        <f t="shared" si="58"/>
        <v>5.3075956424674458E-12</v>
      </c>
      <c r="AM131" s="59">
        <f t="shared" si="59"/>
        <v>293.3333333333386</v>
      </c>
      <c r="AN131" s="59">
        <f ca="1">AVERAGE(OFFSET($AM$3,0,0,'Données projet'!$E$10+1,1))-AVERAGE(OFFSET($H$3,0,0,'Données projet'!$E$10+1,1))</f>
        <v>436.23918637269577</v>
      </c>
      <c r="AO131" s="59">
        <f t="shared" si="90"/>
        <v>611.43967996341894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14.111545054665733</v>
      </c>
      <c r="AV131" s="21">
        <f>EXP(-LN(2)/25)*AV130+(1-EXP(-LN(2)/25))/(LN(2)/25)*Calculateur!AQ131*Calculateur!AS131*VLOOKUP('Données projet'!$B$10,Paramètres!$A$1:$I$89,3,0)*0.475*44/12</f>
        <v>4.3344380584726769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18.445983113138411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4.4337866711430253E-14</v>
      </c>
      <c r="BF131" s="13">
        <f t="shared" si="91"/>
        <v>7.3222115536967035E-13</v>
      </c>
      <c r="BG131" s="20">
        <f t="shared" si="61"/>
        <v>1.3525069634579169E-12</v>
      </c>
      <c r="BH131" s="59">
        <f t="shared" si="62"/>
        <v>293.33333333333468</v>
      </c>
      <c r="BI131" s="59">
        <f ca="1">AVERAGE(OFFSET($BH$3,0,0,'Données projet'!$E$11+1,1))-AVERAGE(OFFSET($H$3,0,0,'Données projet'!$E$11+1,1))</f>
        <v>288.82868507674738</v>
      </c>
      <c r="BJ131" s="59">
        <f t="shared" si="92"/>
        <v>283.48738729114024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27.493201185175437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27.493201185175437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2.1316282072803006E-14</v>
      </c>
      <c r="BZ131" s="13">
        <f>BY131*VLOOKUP('Données projet'!$B$12,Paramètres!$A$1:$I$89,3,0)*VLOOKUP('Données projet'!$B$12,Paramètres!$A$1:$I$89,5,0)</f>
        <v>1.8621904018800709E-14</v>
      </c>
      <c r="CA131" s="13">
        <f t="shared" si="93"/>
        <v>3.40208645124969E-13</v>
      </c>
      <c r="CB131" s="20">
        <f t="shared" si="64"/>
        <v>6.2496320642539887E-13</v>
      </c>
      <c r="CC131" s="59">
        <f t="shared" si="65"/>
        <v>293.33333333333394</v>
      </c>
      <c r="CD131" s="59">
        <f ca="1">AVERAGE(OFFSET($CC$3,0,0,'Données projet'!$E$12+1,1))-AVERAGE(OFFSET($H$3,0,0,'Données projet'!$E$12+1,1))</f>
        <v>93.329407403816901</v>
      </c>
      <c r="CE131" s="59">
        <f t="shared" si="94"/>
        <v>90.925148357295313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6.7218674996682433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6.7218674996682433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-2.2737367544323206E-13</v>
      </c>
      <c r="CU131" s="17">
        <f>CT131*VLOOKUP('Données projet'!$B$13,Paramètres!$A$1:$I$89,3,0)*VLOOKUP('Données projet'!$B$13,Paramètres!$A$1:$I$89,5,0)</f>
        <v>-2.1636878955177963E-13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805.04572055352492</v>
      </c>
      <c r="CZ131" s="59">
        <f t="shared" si="96"/>
        <v>708.66645042414962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157.20761190000223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157.20761190000223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-1.1368683772161603E-13</v>
      </c>
      <c r="DP131" s="17">
        <f>DO131*VLOOKUP('Données projet'!$B$14,Paramètres!$A$1:$I$89,3,0)*VLOOKUP('Données projet'!$B$14,Paramètres!$A$1:$I$89,5,0)</f>
        <v>-7.626113074366004E-14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482.69499576870095</v>
      </c>
      <c r="DU131" s="59">
        <f t="shared" si="98"/>
        <v>384.28918352579575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97.247789848083301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97.247789848083301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1.7053025658242404E-13</v>
      </c>
      <c r="EK131" s="17">
        <f>EJ131*VLOOKUP('Données projet'!$B$15,Paramètres!$A$1:$I$89,3,0)*VLOOKUP('Données projet'!$B$15,Paramètres!$A$1:$I$89,5,0)</f>
        <v>1.250327841262333E-13</v>
      </c>
      <c r="EL131" s="13">
        <f t="shared" si="99"/>
        <v>1.8301318724634299E-12</v>
      </c>
      <c r="EM131" s="20">
        <f t="shared" si="73"/>
        <v>3.405245110226996E-12</v>
      </c>
      <c r="EN131" s="59">
        <f t="shared" si="74"/>
        <v>293.33333333333672</v>
      </c>
      <c r="EO131" s="59">
        <f ca="1">AVERAGE(OFFSET($EN$3,0,0,'Données projet'!$E$15+1,1))-AVERAGE(OFFSET($H$3,0,0,'Données projet'!$E$15+1,1))</f>
        <v>197.34725966440715</v>
      </c>
      <c r="EP131" s="59">
        <f t="shared" si="100"/>
        <v>240.16326570529532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9.3353395714098255</v>
      </c>
      <c r="EW131" s="21">
        <f>EXP(-LN(2)/25)*EW130+(1-EXP(-LN(2)/25))/(LN(2)/25)*Calculateur!ER131*Calculateur!ET131*VLOOKUP('Données projet'!$B$15,Paramètres!$A$1:$I$89,3,0)*0.475*44/12</f>
        <v>3.5426015159051509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12.877941087314976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2.2737367544323206E-13</v>
      </c>
      <c r="FF131" s="17">
        <f>FE131*VLOOKUP('Données projet'!$B$16,Paramètres!$A$1:$I$89,3,0)*VLOOKUP('Données projet'!$B$16,Paramètres!$A$1:$I$89,5,0)</f>
        <v>1.2710188457276673E-13</v>
      </c>
      <c r="FG131" s="13">
        <f t="shared" si="101"/>
        <v>1.856866851063998E-12</v>
      </c>
      <c r="FH131" s="20">
        <f t="shared" si="76"/>
        <v>3.4554122145673649E-12</v>
      </c>
      <c r="FI131" s="59">
        <f t="shared" si="77"/>
        <v>293.33333333333678</v>
      </c>
      <c r="FJ131" s="59">
        <f ca="1">AVERAGE(OFFSET($FI$3,0,0,'Données projet'!$E$16+1,1))-AVERAGE(OFFSET($H$3,0,0,'Données projet'!$E$16+1,1))</f>
        <v>346.42094266871379</v>
      </c>
      <c r="FK131" s="59">
        <f t="shared" si="102"/>
        <v>453.48153556975973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44.54560649216787</v>
      </c>
      <c r="FR131" s="21">
        <f>EXP(-LN(2)/25)*FR130+(1-EXP(-LN(2)/25))/(LN(2)/25)*Calculateur!FM131*Calculateur!FO131*VLOOKUP('Données projet'!$B$16,Paramètres!$A$1:$I$89,3,0)*0.475*44/12</f>
        <v>16.013016025419049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60.558622517586919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-1.1368683772161603E-13</v>
      </c>
      <c r="GA131" s="17">
        <f>FZ131*VLOOKUP('Données projet'!$B$17,Paramètres!$A$1:$I$89,3,0)*VLOOKUP('Données projet'!$B$17,Paramètres!$A$1:$I$89,5,0)</f>
        <v>-5.3205440053716299E-14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198.26255998041</v>
      </c>
      <c r="GF131" s="59">
        <f t="shared" si="104"/>
        <v>238.62101708181166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28.552364495235071</v>
      </c>
      <c r="GM131" s="21">
        <f>EXP(-LN(2)/25)*GM130+(1-EXP(-LN(2)/25))/(LN(2)/25)*Calculateur!GH131*Calculateur!GJ131*VLOOKUP('Données projet'!$B$17,Paramètres!$A$1:$I$89,3,0)*0.475*44/12</f>
        <v>9.450436556089036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38.002801051324106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>
        <f>GU131*VLOOKUP('Données projet'!$B$18,Paramètres!$A$1:$I$89,3,0)*VLOOKUP('Données projet'!$B$18,Paramètres!$A$1:$I$89,5,0)</f>
        <v>0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604.0566904089452</v>
      </c>
      <c r="HA131" s="59">
        <f t="shared" si="106"/>
        <v>369.5187835902687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83.514415054738606</v>
      </c>
      <c r="HH131" s="21">
        <f>EXP(-LN(2)/25)*HH130+(1-EXP(-LN(2)/25))/(LN(2)/25)*Calculateur!HC131*Calculateur!HE131*VLOOKUP('Données projet'!$B$18,Paramètres!$A$1:$I$89,3,0)*0.475*44/12</f>
        <v>26.704581862469098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110.2189969172077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6.8888888888888893</v>
      </c>
      <c r="N132" s="13">
        <f>IF('Données projet'!$A$36&gt;35,N131+M132-V131,IF(A132&lt;'Données projet'!$A$36,$K$205^A132,IF(A132='Données projet'!$A$36,'Données projet'!$B$36,N131+M132-V131)))</f>
        <v>398.33333333333343</v>
      </c>
      <c r="O132" s="13">
        <f>N132*VLOOKUP('Données projet'!$B$9,Paramètres!$A$1:$I$89,3,0)*VLOOKUP('Données projet'!$B$9,Paramètres!$A$1:$I$89,5,0)</f>
        <v>360.41200000000003</v>
      </c>
      <c r="P132" s="13">
        <f t="shared" si="87"/>
        <v>83.702778685011111</v>
      </c>
      <c r="Q132" s="20">
        <f t="shared" si="108"/>
        <v>773.49990620972778</v>
      </c>
      <c r="R132" s="59">
        <f t="shared" si="109"/>
        <v>1066.8332395430612</v>
      </c>
      <c r="S132" s="59">
        <f ca="1">AVERAGE(OFFSET($R$3,0,0,'Données projet'!$E$9+1,1))-AVERAGE(OFFSET($H$3,0,0,'Données projet'!$E$9+1,1))</f>
        <v>528.20489749461376</v>
      </c>
      <c r="T132" s="59">
        <f t="shared" si="88"/>
        <v>276.26988364830532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50.44840136544061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50.44840136544061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2.2737367544323206E-13</v>
      </c>
      <c r="AJ132" s="13">
        <f>AI132*VLOOKUP('Données projet'!$B$10,Paramètres!$A$1:$I$89,3,0)*VLOOKUP('Données projet'!$B$10,Paramètres!$A$1:$I$89,5,0)</f>
        <v>2.0572770154103635E-13</v>
      </c>
      <c r="AK132" s="13">
        <f t="shared" si="89"/>
        <v>2.8416956338469711E-12</v>
      </c>
      <c r="AL132" s="20">
        <f t="shared" ref="AL132:AL153" si="112">(AJ132+AK132)*0.475*44/12</f>
        <v>5.3075956424674458E-12</v>
      </c>
      <c r="AM132" s="59">
        <f t="shared" ref="AM132:AM195" si="113">AL132+(AD132+AE132)*44/12</f>
        <v>293.3333333333386</v>
      </c>
      <c r="AN132" s="59">
        <f ca="1">AVERAGE(OFFSET($AM$3,0,0,'Données projet'!$E$10+1,1))-AVERAGE(OFFSET($H$3,0,0,'Données projet'!$E$10+1,1))</f>
        <v>436.23918637269577</v>
      </c>
      <c r="AO132" s="59">
        <f t="shared" si="90"/>
        <v>611.43967996341894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13.834826263336332</v>
      </c>
      <c r="AV132" s="21">
        <f>EXP(-LN(2)/25)*AV131+(1-EXP(-LN(2)/25))/(LN(2)/25)*Calculateur!AQ132*Calculateur!AS132*VLOOKUP('Données projet'!$B$10,Paramètres!$A$1:$I$89,3,0)*0.475*44/12</f>
        <v>4.2159126218255505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18.050738885161884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4.4337866711430253E-14</v>
      </c>
      <c r="BF132" s="13">
        <f t="shared" si="91"/>
        <v>7.3222115536967035E-13</v>
      </c>
      <c r="BG132" s="20">
        <f t="shared" ref="BG132:BG153" si="115">(BE132+BF132)*0.475*44/12</f>
        <v>1.3525069634579169E-12</v>
      </c>
      <c r="BH132" s="59">
        <f t="shared" ref="BH132:BH195" si="116">BG132+(AY132+AZ132)*44/12</f>
        <v>293.33333333333468</v>
      </c>
      <c r="BI132" s="59">
        <f ca="1">AVERAGE(OFFSET($BH$3,0,0,'Données projet'!$E$11+1,1))-AVERAGE(OFFSET($H$3,0,0,'Données projet'!$E$11+1,1))</f>
        <v>288.82868507674738</v>
      </c>
      <c r="BJ132" s="59">
        <f t="shared" si="92"/>
        <v>283.48738729114024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26.954076279131048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26.954076279131048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2.1316282072803006E-14</v>
      </c>
      <c r="BZ132" s="13">
        <f>BY132*VLOOKUP('Données projet'!$B$12,Paramètres!$A$1:$I$89,3,0)*VLOOKUP('Données projet'!$B$12,Paramètres!$A$1:$I$89,5,0)</f>
        <v>1.8621904018800709E-14</v>
      </c>
      <c r="CA132" s="13">
        <f t="shared" si="93"/>
        <v>3.40208645124969E-13</v>
      </c>
      <c r="CB132" s="20">
        <f t="shared" ref="CB132:CB153" si="118">(BZ132+CA132)*0.475*44/12</f>
        <v>6.2496320642539887E-13</v>
      </c>
      <c r="CC132" s="59">
        <f t="shared" ref="CC132:CC195" si="119">CB132+(BT132+BU132)*44/12</f>
        <v>293.33333333333394</v>
      </c>
      <c r="CD132" s="59">
        <f ca="1">AVERAGE(OFFSET($CC$3,0,0,'Données projet'!$E$12+1,1))-AVERAGE(OFFSET($H$3,0,0,'Données projet'!$E$12+1,1))</f>
        <v>93.329407403816901</v>
      </c>
      <c r="CE132" s="59">
        <f t="shared" si="94"/>
        <v>90.925148357295313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6.5900557779340891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6.5900557779340891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-2.2737367544323206E-13</v>
      </c>
      <c r="CU132" s="17">
        <f>CT132*VLOOKUP('Données projet'!$B$13,Paramètres!$A$1:$I$89,3,0)*VLOOKUP('Données projet'!$B$13,Paramètres!$A$1:$I$89,5,0)</f>
        <v>-2.1636878955177963E-13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805.04572055352492</v>
      </c>
      <c r="CZ132" s="59">
        <f t="shared" si="96"/>
        <v>708.66645042414962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154.12486651781839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154.12486651781839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-1.1368683772161603E-13</v>
      </c>
      <c r="DP132" s="17">
        <f>DO132*VLOOKUP('Données projet'!$B$14,Paramètres!$A$1:$I$89,3,0)*VLOOKUP('Données projet'!$B$14,Paramètres!$A$1:$I$89,5,0)</f>
        <v>-7.626113074366004E-14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482.69499576870095</v>
      </c>
      <c r="DU132" s="59">
        <f t="shared" si="98"/>
        <v>384.28918352579575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95.340820004457299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95.340820004457299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1.7053025658242404E-13</v>
      </c>
      <c r="EK132" s="17">
        <f>EJ132*VLOOKUP('Données projet'!$B$15,Paramètres!$A$1:$I$89,3,0)*VLOOKUP('Données projet'!$B$15,Paramètres!$A$1:$I$89,5,0)</f>
        <v>1.250327841262333E-13</v>
      </c>
      <c r="EL132" s="13">
        <f t="shared" si="99"/>
        <v>1.8301318724634299E-12</v>
      </c>
      <c r="EM132" s="20">
        <f t="shared" ref="EM132:EM153" si="127">(EK132+EL132)*0.475*44/12</f>
        <v>3.405245110226996E-12</v>
      </c>
      <c r="EN132" s="59">
        <f t="shared" ref="EN132:EN195" si="128">EM132+(EE132+EF132)*44/12</f>
        <v>293.33333333333672</v>
      </c>
      <c r="EO132" s="59">
        <f ca="1">AVERAGE(OFFSET($EN$3,0,0,'Données projet'!$E$15+1,1))-AVERAGE(OFFSET($H$3,0,0,'Données projet'!$E$15+1,1))</f>
        <v>197.34725966440715</v>
      </c>
      <c r="EP132" s="59">
        <f t="shared" si="100"/>
        <v>240.16326570529532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9.1522792564093827</v>
      </c>
      <c r="EW132" s="21">
        <f>EXP(-LN(2)/25)*EW131+(1-EXP(-LN(2)/25))/(LN(2)/25)*Calculateur!ER132*Calculateur!ET132*VLOOKUP('Données projet'!$B$15,Paramètres!$A$1:$I$89,3,0)*0.475*44/12</f>
        <v>3.4457288911554076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12.598008147564791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2.2737367544323206E-13</v>
      </c>
      <c r="FF132" s="17">
        <f>FE132*VLOOKUP('Données projet'!$B$16,Paramètres!$A$1:$I$89,3,0)*VLOOKUP('Données projet'!$B$16,Paramètres!$A$1:$I$89,5,0)</f>
        <v>1.2710188457276673E-13</v>
      </c>
      <c r="FG132" s="13">
        <f t="shared" si="101"/>
        <v>1.856866851063998E-12</v>
      </c>
      <c r="FH132" s="20">
        <f t="shared" ref="FH132:FH153" si="130">(FF132+FG132)*0.475*44/12</f>
        <v>3.4554122145673649E-12</v>
      </c>
      <c r="FI132" s="59">
        <f t="shared" ref="FI132:FI195" si="131">FH132+(EZ132+FA132)*44/12</f>
        <v>293.33333333333678</v>
      </c>
      <c r="FJ132" s="59">
        <f ca="1">AVERAGE(OFFSET($FI$3,0,0,'Données projet'!$E$16+1,1))-AVERAGE(OFFSET($H$3,0,0,'Données projet'!$E$16+1,1))</f>
        <v>346.42094266871379</v>
      </c>
      <c r="FK132" s="59">
        <f t="shared" si="102"/>
        <v>453.48153556975973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43.672094318993594</v>
      </c>
      <c r="FR132" s="21">
        <f>EXP(-LN(2)/25)*FR131+(1-EXP(-LN(2)/25))/(LN(2)/25)*Calculateur!FM132*Calculateur!FO132*VLOOKUP('Données projet'!$B$16,Paramètres!$A$1:$I$89,3,0)*0.475*44/12</f>
        <v>15.57513926011605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59.247233579109647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-1.1368683772161603E-13</v>
      </c>
      <c r="GA132" s="17">
        <f>FZ132*VLOOKUP('Données projet'!$B$17,Paramètres!$A$1:$I$89,3,0)*VLOOKUP('Données projet'!$B$17,Paramètres!$A$1:$I$89,5,0)</f>
        <v>-5.3205440053716299E-14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198.26255998041</v>
      </c>
      <c r="GF132" s="59">
        <f t="shared" si="104"/>
        <v>238.62101708181166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27.992470042706245</v>
      </c>
      <c r="GM132" s="21">
        <f>EXP(-LN(2)/25)*GM131+(1-EXP(-LN(2)/25))/(LN(2)/25)*Calculateur!GH132*Calculateur!GJ132*VLOOKUP('Données projet'!$B$17,Paramètres!$A$1:$I$89,3,0)*0.475*44/12</f>
        <v>9.1920138714859227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37.184483914192171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>
        <f>GU132*VLOOKUP('Données projet'!$B$18,Paramètres!$A$1:$I$89,3,0)*VLOOKUP('Données projet'!$B$18,Paramètres!$A$1:$I$89,5,0)</f>
        <v>0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604.0566904089452</v>
      </c>
      <c r="HA132" s="59">
        <f t="shared" si="106"/>
        <v>369.5187835902687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81.876748314278586</v>
      </c>
      <c r="HH132" s="21">
        <f>EXP(-LN(2)/25)*HH131+(1-EXP(-LN(2)/25))/(LN(2)/25)*Calculateur!HC132*Calculateur!HE132*VLOOKUP('Données projet'!$B$18,Paramètres!$A$1:$I$89,3,0)*0.475*44/12</f>
        <v>25.974343667106954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107.85109198138554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6.8888888888888893</v>
      </c>
      <c r="N133" s="13">
        <f>IF('Données projet'!$A$36&gt;35,N132+M133-V132,IF(A133&lt;'Données projet'!$A$36,$K$205^A133,IF(A133='Données projet'!$A$36,'Données projet'!$B$36,N132+M133-V132)))</f>
        <v>405.22222222222234</v>
      </c>
      <c r="O133" s="13">
        <f>N133*VLOOKUP('Données projet'!$B$9,Paramètres!$A$1:$I$89,3,0)*VLOOKUP('Données projet'!$B$9,Paramètres!$A$1:$I$89,5,0)</f>
        <v>366.64506666666676</v>
      </c>
      <c r="P133" s="13">
        <f t="shared" ref="P133:P196" si="141">EXP(-1.0587+0.8836*LN(O133)+0.284)</f>
        <v>84.98058065536334</v>
      </c>
      <c r="Q133" s="20">
        <f t="shared" si="108"/>
        <v>786.58133575253578</v>
      </c>
      <c r="R133" s="59">
        <f t="shared" si="109"/>
        <v>1079.914669085869</v>
      </c>
      <c r="S133" s="59">
        <f ca="1">AVERAGE(OFFSET($R$3,0,0,'Données projet'!$E$9+1,1))-AVERAGE(OFFSET($H$3,0,0,'Données projet'!$E$9+1,1))</f>
        <v>528.20489749461376</v>
      </c>
      <c r="T133" s="59">
        <f t="shared" ref="T133:T196" si="142">$T$3</f>
        <v>276.26988364830532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49.459138985150823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49.459138985150823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2.2737367544323206E-13</v>
      </c>
      <c r="AJ133" s="13">
        <f>AI133*VLOOKUP('Données projet'!$B$10,Paramètres!$A$1:$I$89,3,0)*VLOOKUP('Données projet'!$B$10,Paramètres!$A$1:$I$89,5,0)</f>
        <v>2.0572770154103635E-13</v>
      </c>
      <c r="AK133" s="13">
        <f t="shared" ref="AK133:AK153" si="143">EXP(-1.0587+0.8836*LN(AJ133)+0.284)</f>
        <v>2.8416956338469711E-12</v>
      </c>
      <c r="AL133" s="20">
        <f t="shared" si="112"/>
        <v>5.3075956424674458E-12</v>
      </c>
      <c r="AM133" s="59">
        <f t="shared" si="113"/>
        <v>293.3333333333386</v>
      </c>
      <c r="AN133" s="59">
        <f ca="1">AVERAGE(OFFSET($AM$3,0,0,'Données projet'!$E$10+1,1))-AVERAGE(OFFSET($H$3,0,0,'Données projet'!$E$10+1,1))</f>
        <v>436.23918637269577</v>
      </c>
      <c r="AO133" s="59">
        <f t="shared" ref="AO133:AO196" si="144">$AO$3</f>
        <v>611.43967996341894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13.563533758723104</v>
      </c>
      <c r="AV133" s="21">
        <f>EXP(-LN(2)/25)*AV132+(1-EXP(-LN(2)/25))/(LN(2)/25)*Calculateur!AQ133*Calculateur!AS133*VLOOKUP('Données projet'!$B$10,Paramètres!$A$1:$I$89,3,0)*0.475*44/12</f>
        <v>4.1006282694765215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17.664162028199627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4.4337866711430253E-14</v>
      </c>
      <c r="BF133" s="13">
        <f t="shared" ref="BF133:BF153" si="145">EXP(-1.0587+0.8836*LN(BE133)+0.284)</f>
        <v>7.3222115536967035E-13</v>
      </c>
      <c r="BG133" s="20">
        <f t="shared" si="115"/>
        <v>1.3525069634579169E-12</v>
      </c>
      <c r="BH133" s="59">
        <f t="shared" si="116"/>
        <v>293.33333333333468</v>
      </c>
      <c r="BI133" s="59">
        <f ca="1">AVERAGE(OFFSET($BH$3,0,0,'Données projet'!$E$11+1,1))-AVERAGE(OFFSET($H$3,0,0,'Données projet'!$E$11+1,1))</f>
        <v>288.82868507674738</v>
      </c>
      <c r="BJ133" s="59">
        <f t="shared" ref="BJ133:BJ196" si="146">$BJ$3</f>
        <v>283.48738729114024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26.425523283660468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26.425523283660468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2.1316282072803006E-14</v>
      </c>
      <c r="BZ133" s="13">
        <f>BY133*VLOOKUP('Données projet'!$B$12,Paramètres!$A$1:$I$89,3,0)*VLOOKUP('Données projet'!$B$12,Paramètres!$A$1:$I$89,5,0)</f>
        <v>1.8621904018800709E-14</v>
      </c>
      <c r="CA133" s="13">
        <f t="shared" ref="CA133:CA153" si="147">EXP(-1.0587+0.8836*LN(BZ133)+0.284)</f>
        <v>3.40208645124969E-13</v>
      </c>
      <c r="CB133" s="20">
        <f t="shared" si="118"/>
        <v>6.2496320642539887E-13</v>
      </c>
      <c r="CC133" s="59">
        <f t="shared" si="119"/>
        <v>293.33333333333394</v>
      </c>
      <c r="CD133" s="59">
        <f ca="1">AVERAGE(OFFSET($CC$3,0,0,'Données projet'!$E$12+1,1))-AVERAGE(OFFSET($H$3,0,0,'Données projet'!$E$12+1,1))</f>
        <v>93.329407403816901</v>
      </c>
      <c r="CE133" s="59">
        <f t="shared" ref="CE133:CE196" si="148">$CE$3</f>
        <v>90.925148357295313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6.4608288036659296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6.4608288036659296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-2.2737367544323206E-13</v>
      </c>
      <c r="CU133" s="17">
        <f>CT133*VLOOKUP('Données projet'!$B$13,Paramètres!$A$1:$I$89,3,0)*VLOOKUP('Données projet'!$B$13,Paramètres!$A$1:$I$89,5,0)</f>
        <v>-2.1636878955177963E-13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805.04572055352492</v>
      </c>
      <c r="CZ133" s="59">
        <f t="shared" ref="CZ133:CZ196" si="150">$CZ$3</f>
        <v>708.66645042414962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151.10257189229014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151.10257189229014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-1.1368683772161603E-13</v>
      </c>
      <c r="DP133" s="17">
        <f>DO133*VLOOKUP('Données projet'!$B$14,Paramètres!$A$1:$I$89,3,0)*VLOOKUP('Données projet'!$B$14,Paramètres!$A$1:$I$89,5,0)</f>
        <v>-7.626113074366004E-14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482.69499576870095</v>
      </c>
      <c r="DU133" s="59">
        <f t="shared" ref="DU133:DU196" si="152">$DU$3</f>
        <v>384.28918352579575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93.471244676328041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93.471244676328041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1.7053025658242404E-13</v>
      </c>
      <c r="EK133" s="17">
        <f>EJ133*VLOOKUP('Données projet'!$B$15,Paramètres!$A$1:$I$89,3,0)*VLOOKUP('Données projet'!$B$15,Paramètres!$A$1:$I$89,5,0)</f>
        <v>1.250327841262333E-13</v>
      </c>
      <c r="EL133" s="13">
        <f t="shared" ref="EL133:EL153" si="153">EXP(-1.0587+0.8836*LN(EK133)+0.284)</f>
        <v>1.8301318724634299E-12</v>
      </c>
      <c r="EM133" s="20">
        <f t="shared" si="127"/>
        <v>3.405245110226996E-12</v>
      </c>
      <c r="EN133" s="59">
        <f t="shared" si="128"/>
        <v>293.33333333333672</v>
      </c>
      <c r="EO133" s="59">
        <f ca="1">AVERAGE(OFFSET($EN$3,0,0,'Données projet'!$E$15+1,1))-AVERAGE(OFFSET($H$3,0,0,'Données projet'!$E$15+1,1))</f>
        <v>197.34725966440715</v>
      </c>
      <c r="EP133" s="59">
        <f t="shared" ref="EP133:EP196" si="154">$EP$3</f>
        <v>240.16326570529532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8.9728086425303317</v>
      </c>
      <c r="EW133" s="21">
        <f>EXP(-LN(2)/25)*EW132+(1-EXP(-LN(2)/25))/(LN(2)/25)*Calculateur!ER133*Calculateur!ET133*VLOOKUP('Données projet'!$B$15,Paramètres!$A$1:$I$89,3,0)*0.475*44/12</f>
        <v>3.3515052534237557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12.324313895954088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2.2737367544323206E-13</v>
      </c>
      <c r="FF133" s="17">
        <f>FE133*VLOOKUP('Données projet'!$B$16,Paramètres!$A$1:$I$89,3,0)*VLOOKUP('Données projet'!$B$16,Paramètres!$A$1:$I$89,5,0)</f>
        <v>1.2710188457276673E-13</v>
      </c>
      <c r="FG133" s="13">
        <f t="shared" ref="FG133:FG153" si="155">EXP(-1.0587+0.8836*LN(FF133)+0.284)</f>
        <v>1.856866851063998E-12</v>
      </c>
      <c r="FH133" s="20">
        <f t="shared" si="130"/>
        <v>3.4554122145673649E-12</v>
      </c>
      <c r="FI133" s="59">
        <f t="shared" si="131"/>
        <v>293.33333333333678</v>
      </c>
      <c r="FJ133" s="59">
        <f ca="1">AVERAGE(OFFSET($FI$3,0,0,'Données projet'!$E$16+1,1))-AVERAGE(OFFSET($H$3,0,0,'Données projet'!$E$16+1,1))</f>
        <v>346.42094266871379</v>
      </c>
      <c r="FK133" s="59">
        <f t="shared" ref="FK133:FK196" si="156">$FK$3</f>
        <v>453.48153556975973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42.815711186745446</v>
      </c>
      <c r="FR133" s="21">
        <f>EXP(-LN(2)/25)*FR132+(1-EXP(-LN(2)/25))/(LN(2)/25)*Calculateur!FM133*Calculateur!FO133*VLOOKUP('Données projet'!$B$16,Paramètres!$A$1:$I$89,3,0)*0.475*44/12</f>
        <v>15.1492362579872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57.964947444732644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-1.1368683772161603E-13</v>
      </c>
      <c r="GA133" s="17">
        <f>FZ133*VLOOKUP('Données projet'!$B$17,Paramètres!$A$1:$I$89,3,0)*VLOOKUP('Données projet'!$B$17,Paramètres!$A$1:$I$89,5,0)</f>
        <v>-5.3205440053716299E-14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198.26255998041</v>
      </c>
      <c r="GF133" s="59">
        <f t="shared" ref="GF133:GF196" si="158">$GF$3</f>
        <v>238.62101708181166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27.443554778889613</v>
      </c>
      <c r="GM133" s="21">
        <f>EXP(-LN(2)/25)*GM132+(1-EXP(-LN(2)/25))/(LN(2)/25)*Calculateur!GH133*Calculateur!GJ133*VLOOKUP('Données projet'!$B$17,Paramètres!$A$1:$I$89,3,0)*0.475*44/12</f>
        <v>8.9406577687831401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36.384212547672753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>
        <f>GU133*VLOOKUP('Données projet'!$B$18,Paramètres!$A$1:$I$89,3,0)*VLOOKUP('Données projet'!$B$18,Paramètres!$A$1:$I$89,5,0)</f>
        <v>0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604.0566904089452</v>
      </c>
      <c r="HA133" s="59">
        <f t="shared" ref="HA133:HA196" si="160">$HA$3</f>
        <v>369.5187835902687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80.271195219720894</v>
      </c>
      <c r="HH133" s="21">
        <f>EXP(-LN(2)/25)*HH132+(1-EXP(-LN(2)/25))/(LN(2)/25)*Calculateur!HC133*Calculateur!HE133*VLOOKUP('Données projet'!$B$18,Paramètres!$A$1:$I$89,3,0)*0.475*44/12</f>
        <v>25.264073873598544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105.53526909331944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6.8888888888888893</v>
      </c>
      <c r="N134" s="13">
        <f>IF('Données projet'!$A$36&gt;35,N133+M134-V133,IF(A134&lt;'Données projet'!$A$36,$K$205^A134,IF(A134='Données projet'!$A$36,'Données projet'!$B$36,N133+M134-V133)))</f>
        <v>412.11111111111126</v>
      </c>
      <c r="O134" s="13">
        <f>N134*VLOOKUP('Données projet'!$B$9,Paramètres!$A$1:$I$89,3,0)*VLOOKUP('Données projet'!$B$9,Paramètres!$A$1:$I$89,5,0)</f>
        <v>372.87813333333349</v>
      </c>
      <c r="P134" s="13">
        <f t="shared" si="141"/>
        <v>86.255856441891723</v>
      </c>
      <c r="Q134" s="20">
        <f t="shared" si="108"/>
        <v>799.65836552518397</v>
      </c>
      <c r="R134" s="59">
        <f t="shared" si="109"/>
        <v>1092.9916988585173</v>
      </c>
      <c r="S134" s="59">
        <f ca="1">AVERAGE(OFFSET($R$3,0,0,'Données projet'!$E$9+1,1))-AVERAGE(OFFSET($H$3,0,0,'Données projet'!$E$9+1,1))</f>
        <v>528.20489749461376</v>
      </c>
      <c r="T134" s="59">
        <f t="shared" si="142"/>
        <v>276.26988364830532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48.489275436748045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48.489275436748045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2.2737367544323206E-13</v>
      </c>
      <c r="AJ134" s="13">
        <f>AI134*VLOOKUP('Données projet'!$B$10,Paramètres!$A$1:$I$89,3,0)*VLOOKUP('Données projet'!$B$10,Paramètres!$A$1:$I$89,5,0)</f>
        <v>2.0572770154103635E-13</v>
      </c>
      <c r="AK134" s="13">
        <f t="shared" si="143"/>
        <v>2.8416956338469711E-12</v>
      </c>
      <c r="AL134" s="20">
        <f t="shared" si="112"/>
        <v>5.3075956424674458E-12</v>
      </c>
      <c r="AM134" s="59">
        <f t="shared" si="113"/>
        <v>293.3333333333386</v>
      </c>
      <c r="AN134" s="59">
        <f ca="1">AVERAGE(OFFSET($AM$3,0,0,'Données projet'!$E$10+1,1))-AVERAGE(OFFSET($H$3,0,0,'Données projet'!$E$10+1,1))</f>
        <v>436.23918637269577</v>
      </c>
      <c r="AO134" s="59">
        <f t="shared" si="144"/>
        <v>611.43967996341894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13.297561134653252</v>
      </c>
      <c r="AV134" s="21">
        <f>EXP(-LN(2)/25)*AV133+(1-EXP(-LN(2)/25))/(LN(2)/25)*Calculateur!AQ134*Calculateur!AS134*VLOOKUP('Données projet'!$B$10,Paramètres!$A$1:$I$89,3,0)*0.475*44/12</f>
        <v>3.9884963738050172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17.286057508458271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4.4337866711430253E-14</v>
      </c>
      <c r="BF134" s="13">
        <f t="shared" si="145"/>
        <v>7.3222115536967035E-13</v>
      </c>
      <c r="BG134" s="20">
        <f t="shared" si="115"/>
        <v>1.3525069634579169E-12</v>
      </c>
      <c r="BH134" s="59">
        <f t="shared" si="116"/>
        <v>293.33333333333468</v>
      </c>
      <c r="BI134" s="59">
        <f ca="1">AVERAGE(OFFSET($BH$3,0,0,'Données projet'!$E$11+1,1))-AVERAGE(OFFSET($H$3,0,0,'Données projet'!$E$11+1,1))</f>
        <v>288.82868507674738</v>
      </c>
      <c r="BJ134" s="59">
        <f t="shared" si="146"/>
        <v>283.48738729114024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25.907334890045572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25.907334890045572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2.1316282072803006E-14</v>
      </c>
      <c r="BZ134" s="13">
        <f>BY134*VLOOKUP('Données projet'!$B$12,Paramètres!$A$1:$I$89,3,0)*VLOOKUP('Données projet'!$B$12,Paramètres!$A$1:$I$89,5,0)</f>
        <v>1.8621904018800709E-14</v>
      </c>
      <c r="CA134" s="13">
        <f t="shared" si="147"/>
        <v>3.40208645124969E-13</v>
      </c>
      <c r="CB134" s="20">
        <f t="shared" si="118"/>
        <v>6.2496320642539887E-13</v>
      </c>
      <c r="CC134" s="59">
        <f t="shared" si="119"/>
        <v>293.33333333333394</v>
      </c>
      <c r="CD134" s="59">
        <f ca="1">AVERAGE(OFFSET($CC$3,0,0,'Données projet'!$E$12+1,1))-AVERAGE(OFFSET($H$3,0,0,'Données projet'!$E$12+1,1))</f>
        <v>93.329407403816901</v>
      </c>
      <c r="CE134" s="59">
        <f t="shared" si="148"/>
        <v>90.925148357295313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6.3341358915424975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6.3341358915424975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-2.2737367544323206E-13</v>
      </c>
      <c r="CU134" s="17">
        <f>CT134*VLOOKUP('Données projet'!$B$13,Paramètres!$A$1:$I$89,3,0)*VLOOKUP('Données projet'!$B$13,Paramètres!$A$1:$I$89,5,0)</f>
        <v>-2.1636878955177963E-13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805.04572055352492</v>
      </c>
      <c r="CZ134" s="59">
        <f t="shared" si="150"/>
        <v>708.66645042414962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148.13954262095081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148.13954262095081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-1.1368683772161603E-13</v>
      </c>
      <c r="DP134" s="17">
        <f>DO134*VLOOKUP('Données projet'!$B$14,Paramètres!$A$1:$I$89,3,0)*VLOOKUP('Données projet'!$B$14,Paramètres!$A$1:$I$89,5,0)</f>
        <v>-7.626113074366004E-14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482.69499576870095</v>
      </c>
      <c r="DU134" s="59">
        <f t="shared" si="152"/>
        <v>384.28918352579575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91.638330580055054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91.638330580055054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1.7053025658242404E-13</v>
      </c>
      <c r="EK134" s="17">
        <f>EJ134*VLOOKUP('Données projet'!$B$15,Paramètres!$A$1:$I$89,3,0)*VLOOKUP('Données projet'!$B$15,Paramètres!$A$1:$I$89,5,0)</f>
        <v>1.250327841262333E-13</v>
      </c>
      <c r="EL134" s="13">
        <f t="shared" si="153"/>
        <v>1.8301318724634299E-12</v>
      </c>
      <c r="EM134" s="20">
        <f t="shared" si="127"/>
        <v>3.405245110226996E-12</v>
      </c>
      <c r="EN134" s="59">
        <f t="shared" si="128"/>
        <v>293.33333333333672</v>
      </c>
      <c r="EO134" s="59">
        <f ca="1">AVERAGE(OFFSET($EN$3,0,0,'Données projet'!$E$15+1,1))-AVERAGE(OFFSET($H$3,0,0,'Données projet'!$E$15+1,1))</f>
        <v>197.34725966440715</v>
      </c>
      <c r="EP134" s="59">
        <f t="shared" si="154"/>
        <v>240.16326570529532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8.796857337923182</v>
      </c>
      <c r="EW134" s="21">
        <f>EXP(-LN(2)/25)*EW133+(1-EXP(-LN(2)/25))/(LN(2)/25)*Calculateur!ER134*Calculateur!ET134*VLOOKUP('Données projet'!$B$15,Paramètres!$A$1:$I$89,3,0)*0.475*44/12</f>
        <v>3.2598581660208819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12.056715503944064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2.2737367544323206E-13</v>
      </c>
      <c r="FF134" s="17">
        <f>FE134*VLOOKUP('Données projet'!$B$16,Paramètres!$A$1:$I$89,3,0)*VLOOKUP('Données projet'!$B$16,Paramètres!$A$1:$I$89,5,0)</f>
        <v>1.2710188457276673E-13</v>
      </c>
      <c r="FG134" s="13">
        <f t="shared" si="155"/>
        <v>1.856866851063998E-12</v>
      </c>
      <c r="FH134" s="20">
        <f t="shared" si="130"/>
        <v>3.4554122145673649E-12</v>
      </c>
      <c r="FI134" s="59">
        <f t="shared" si="131"/>
        <v>293.33333333333678</v>
      </c>
      <c r="FJ134" s="59">
        <f ca="1">AVERAGE(OFFSET($FI$3,0,0,'Données projet'!$E$16+1,1))-AVERAGE(OFFSET($H$3,0,0,'Données projet'!$E$16+1,1))</f>
        <v>346.42094266871379</v>
      </c>
      <c r="FK134" s="59">
        <f t="shared" si="156"/>
        <v>453.48153556975973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41.976121205378547</v>
      </c>
      <c r="FR134" s="21">
        <f>EXP(-LN(2)/25)*FR133+(1-EXP(-LN(2)/25))/(LN(2)/25)*Calculateur!FM134*Calculateur!FO134*VLOOKUP('Données projet'!$B$16,Paramètres!$A$1:$I$89,3,0)*0.475*44/12</f>
        <v>14.734979595848829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56.711100801227374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-1.1368683772161603E-13</v>
      </c>
      <c r="GA134" s="17">
        <f>FZ134*VLOOKUP('Données projet'!$B$17,Paramètres!$A$1:$I$89,3,0)*VLOOKUP('Données projet'!$B$17,Paramètres!$A$1:$I$89,5,0)</f>
        <v>-5.3205440053716299E-14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198.26255998041</v>
      </c>
      <c r="GF134" s="59">
        <f t="shared" si="158"/>
        <v>238.62101708181166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26.905403408591173</v>
      </c>
      <c r="GM134" s="21">
        <f>EXP(-LN(2)/25)*GM133+(1-EXP(-LN(2)/25))/(LN(2)/25)*Calculateur!GH134*Calculateur!GJ134*VLOOKUP('Données projet'!$B$17,Paramètres!$A$1:$I$89,3,0)*0.475*44/12</f>
        <v>8.6961750119270071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35.60157842051818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>
        <f>GU134*VLOOKUP('Données projet'!$B$18,Paramètres!$A$1:$I$89,3,0)*VLOOKUP('Données projet'!$B$18,Paramètres!$A$1:$I$89,5,0)</f>
        <v>0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604.0566904089452</v>
      </c>
      <c r="HA134" s="59">
        <f t="shared" si="160"/>
        <v>369.5187835902687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78.697126042056794</v>
      </c>
      <c r="HH134" s="21">
        <f>EXP(-LN(2)/25)*HH133+(1-EXP(-LN(2)/25))/(LN(2)/25)*Calculateur!HC134*Calculateur!HE134*VLOOKUP('Données projet'!$B$18,Paramètres!$A$1:$I$89,3,0)*0.475*44/12</f>
        <v>24.573226444945089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103.27035248700189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>
        <f>VLOOKUP(A135,'Données projet'!$A$35:$I$55,2,0)</f>
        <v>419</v>
      </c>
      <c r="L135" s="12">
        <f>VLOOKUP(A135,'Données projet'!$A$35:$I$55,9,0)</f>
        <v>6.8888888888888893</v>
      </c>
      <c r="M135" s="12">
        <f t="array" ref="M135">INDEX(L:L,MIN(IF(ISNUMBER(L135:L331),ROW(L135:L331),"")))</f>
        <v>6.8888888888888893</v>
      </c>
      <c r="N135" s="13">
        <f>IF('Données projet'!$A$36&gt;35,N134+M135-V134,IF(A135&lt;'Données projet'!$A$36,$K$205^A135,IF(A135='Données projet'!$A$36,'Données projet'!$B$36,N134+M135-V134)))</f>
        <v>419.00000000000017</v>
      </c>
      <c r="O135" s="13">
        <f>N135*VLOOKUP('Données projet'!$B$9,Paramètres!$A$1:$I$89,3,0)*VLOOKUP('Données projet'!$B$9,Paramètres!$A$1:$I$89,5,0)</f>
        <v>379.11120000000017</v>
      </c>
      <c r="P135" s="13">
        <f t="shared" si="141"/>
        <v>87.528653146444299</v>
      </c>
      <c r="Q135" s="20">
        <f t="shared" si="108"/>
        <v>812.73107756339084</v>
      </c>
      <c r="R135" s="59">
        <f t="shared" si="109"/>
        <v>1106.0644108967242</v>
      </c>
      <c r="S135" s="59">
        <f ca="1">AVERAGE(OFFSET($R$3,0,0,'Données projet'!$E$9+1,1))-AVERAGE(OFFSET($H$3,0,0,'Données projet'!$E$9+1,1))</f>
        <v>528.20489749461376</v>
      </c>
      <c r="T135" s="59">
        <f t="shared" si="142"/>
        <v>276.26988364830532</v>
      </c>
      <c r="U135" s="15">
        <f>IF(ISNA(VLOOKUP(A135,'Données projet'!$A$35:$I$55,3,0)),0,VLOOKUP(A135,'Données projet'!$A$35:$I$55,3,0))</f>
        <v>12</v>
      </c>
      <c r="V135" s="15">
        <f>IF(ISNA(VLOOKUP(A135,'Données projet'!$A$35:$I$55,4,0)),0,VLOOKUP(A135,'Données projet'!$A$35:$I$55,4,0))</f>
        <v>41</v>
      </c>
      <c r="W135" s="16">
        <f>IF(ISNA(VLOOKUP(A135,'Données projet'!$A$35:$I$55,5,0)),0%,VLOOKUP(A135,'Données projet'!$A$35:$I$55,5,0)*VLOOKUP('Données projet'!$B$9,Paramètres!$A$1:$I$89,7,0))</f>
        <v>0.25800000000000001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58.118859023439235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58.118859023439235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2.2737367544323206E-13</v>
      </c>
      <c r="AJ135" s="13">
        <f>AI135*VLOOKUP('Données projet'!$B$10,Paramètres!$A$1:$I$89,3,0)*VLOOKUP('Données projet'!$B$10,Paramètres!$A$1:$I$89,5,0)</f>
        <v>2.0572770154103635E-13</v>
      </c>
      <c r="AK135" s="13">
        <f t="shared" si="143"/>
        <v>2.8416956338469711E-12</v>
      </c>
      <c r="AL135" s="20">
        <f t="shared" si="112"/>
        <v>5.3075956424674458E-12</v>
      </c>
      <c r="AM135" s="59">
        <f t="shared" si="113"/>
        <v>293.3333333333386</v>
      </c>
      <c r="AN135" s="59">
        <f ca="1">AVERAGE(OFFSET($AM$3,0,0,'Données projet'!$E$10+1,1))-AVERAGE(OFFSET($H$3,0,0,'Données projet'!$E$10+1,1))</f>
        <v>436.23918637269577</v>
      </c>
      <c r="AO135" s="59">
        <f t="shared" si="144"/>
        <v>611.43967996341894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13.036804071514128</v>
      </c>
      <c r="AV135" s="21">
        <f>EXP(-LN(2)/25)*AV134+(1-EXP(-LN(2)/25))/(LN(2)/25)*Calculateur!AQ135*Calculateur!AS135*VLOOKUP('Données projet'!$B$10,Paramètres!$A$1:$I$89,3,0)*0.475*44/12</f>
        <v>3.8794307307174107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16.916234802231539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4.4337866711430253E-14</v>
      </c>
      <c r="BF135" s="13">
        <f t="shared" si="145"/>
        <v>7.3222115536967035E-13</v>
      </c>
      <c r="BG135" s="20">
        <f t="shared" si="115"/>
        <v>1.3525069634579169E-12</v>
      </c>
      <c r="BH135" s="59">
        <f t="shared" si="116"/>
        <v>293.33333333333468</v>
      </c>
      <c r="BI135" s="59">
        <f ca="1">AVERAGE(OFFSET($BH$3,0,0,'Données projet'!$E$11+1,1))-AVERAGE(OFFSET($H$3,0,0,'Données projet'!$E$11+1,1))</f>
        <v>288.82868507674738</v>
      </c>
      <c r="BJ135" s="59">
        <f t="shared" si="146"/>
        <v>283.48738729114024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25.399307854765752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25.399307854765752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2.1316282072803006E-14</v>
      </c>
      <c r="BZ135" s="13">
        <f>BY135*VLOOKUP('Données projet'!$B$12,Paramètres!$A$1:$I$89,3,0)*VLOOKUP('Données projet'!$B$12,Paramètres!$A$1:$I$89,5,0)</f>
        <v>1.8621904018800709E-14</v>
      </c>
      <c r="CA135" s="13">
        <f t="shared" si="147"/>
        <v>3.40208645124969E-13</v>
      </c>
      <c r="CB135" s="20">
        <f t="shared" si="118"/>
        <v>6.2496320642539887E-13</v>
      </c>
      <c r="CC135" s="59">
        <f t="shared" si="119"/>
        <v>293.33333333333394</v>
      </c>
      <c r="CD135" s="59">
        <f ca="1">AVERAGE(OFFSET($CC$3,0,0,'Données projet'!$E$12+1,1))-AVERAGE(OFFSET($H$3,0,0,'Données projet'!$E$12+1,1))</f>
        <v>93.329407403816901</v>
      </c>
      <c r="CE135" s="59">
        <f t="shared" si="148"/>
        <v>90.925148357295313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6.2099273501507595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6.2099273501507595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-2.2737367544323206E-13</v>
      </c>
      <c r="CU135" s="17">
        <f>CT135*VLOOKUP('Données projet'!$B$13,Paramètres!$A$1:$I$89,3,0)*VLOOKUP('Données projet'!$B$13,Paramètres!$A$1:$I$89,5,0)</f>
        <v>-2.1636878955177963E-13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805.04572055352492</v>
      </c>
      <c r="CZ135" s="59">
        <f t="shared" si="150"/>
        <v>708.66645042414962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145.23461654635304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145.23461654635304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-1.1368683772161603E-13</v>
      </c>
      <c r="DP135" s="17">
        <f>DO135*VLOOKUP('Données projet'!$B$14,Paramètres!$A$1:$I$89,3,0)*VLOOKUP('Données projet'!$B$14,Paramètres!$A$1:$I$89,5,0)</f>
        <v>-7.626113074366004E-14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482.69499576870095</v>
      </c>
      <c r="DU135" s="59">
        <f t="shared" si="152"/>
        <v>384.28918352579575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89.84135881124277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89.84135881124277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1.7053025658242404E-13</v>
      </c>
      <c r="EK135" s="17">
        <f>EJ135*VLOOKUP('Données projet'!$B$15,Paramètres!$A$1:$I$89,3,0)*VLOOKUP('Données projet'!$B$15,Paramètres!$A$1:$I$89,5,0)</f>
        <v>1.250327841262333E-13</v>
      </c>
      <c r="EL135" s="13">
        <f t="shared" si="153"/>
        <v>1.8301318724634299E-12</v>
      </c>
      <c r="EM135" s="20">
        <f t="shared" si="127"/>
        <v>3.405245110226996E-12</v>
      </c>
      <c r="EN135" s="59">
        <f t="shared" si="128"/>
        <v>293.33333333333672</v>
      </c>
      <c r="EO135" s="59">
        <f ca="1">AVERAGE(OFFSET($EN$3,0,0,'Données projet'!$E$15+1,1))-AVERAGE(OFFSET($H$3,0,0,'Données projet'!$E$15+1,1))</f>
        <v>197.34725966440715</v>
      </c>
      <c r="EP135" s="59">
        <f t="shared" si="154"/>
        <v>240.16326570529532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8.6243563310796798</v>
      </c>
      <c r="EW135" s="21">
        <f>EXP(-LN(2)/25)*EW134+(1-EXP(-LN(2)/25))/(LN(2)/25)*Calculateur!ER135*Calculateur!ET135*VLOOKUP('Données projet'!$B$15,Paramètres!$A$1:$I$89,3,0)*0.475*44/12</f>
        <v>3.1707171730425503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11.795073504122231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2.2737367544323206E-13</v>
      </c>
      <c r="FF135" s="17">
        <f>FE135*VLOOKUP('Données projet'!$B$16,Paramètres!$A$1:$I$89,3,0)*VLOOKUP('Données projet'!$B$16,Paramètres!$A$1:$I$89,5,0)</f>
        <v>1.2710188457276673E-13</v>
      </c>
      <c r="FG135" s="13">
        <f t="shared" si="155"/>
        <v>1.856866851063998E-12</v>
      </c>
      <c r="FH135" s="20">
        <f t="shared" si="130"/>
        <v>3.4554122145673649E-12</v>
      </c>
      <c r="FI135" s="59">
        <f t="shared" si="131"/>
        <v>293.33333333333678</v>
      </c>
      <c r="FJ135" s="59">
        <f ca="1">AVERAGE(OFFSET($FI$3,0,0,'Données projet'!$E$16+1,1))-AVERAGE(OFFSET($H$3,0,0,'Données projet'!$E$16+1,1))</f>
        <v>346.42094266871379</v>
      </c>
      <c r="FK135" s="59">
        <f t="shared" si="156"/>
        <v>453.48153556975973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41.152995071446931</v>
      </c>
      <c r="FR135" s="21">
        <f>EXP(-LN(2)/25)*FR134+(1-EXP(-LN(2)/25))/(LN(2)/25)*Calculateur!FM135*Calculateur!FO135*VLOOKUP('Données projet'!$B$16,Paramètres!$A$1:$I$89,3,0)*0.475*44/12</f>
        <v>14.332050803921444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55.485045875368371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-1.1368683772161603E-13</v>
      </c>
      <c r="GA135" s="17">
        <f>FZ135*VLOOKUP('Données projet'!$B$17,Paramètres!$A$1:$I$89,3,0)*VLOOKUP('Données projet'!$B$17,Paramètres!$A$1:$I$89,5,0)</f>
        <v>-5.3205440053716299E-14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198.26255998041</v>
      </c>
      <c r="GF135" s="59">
        <f t="shared" si="158"/>
        <v>238.62101708181166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26.377804858424359</v>
      </c>
      <c r="GM135" s="21">
        <f>EXP(-LN(2)/25)*GM134+(1-EXP(-LN(2)/25))/(LN(2)/25)*Calculateur!GH135*Calculateur!GJ135*VLOOKUP('Données projet'!$B$17,Paramètres!$A$1:$I$89,3,0)*0.475*44/12</f>
        <v>8.4583776489138938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34.836182507338251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>
        <f>GU135*VLOOKUP('Données projet'!$B$18,Paramètres!$A$1:$I$89,3,0)*VLOOKUP('Données projet'!$B$18,Paramètres!$A$1:$I$89,5,0)</f>
        <v>0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604.0566904089452</v>
      </c>
      <c r="HA135" s="59">
        <f t="shared" si="160"/>
        <v>369.5187835902687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77.153923400879293</v>
      </c>
      <c r="HH135" s="21">
        <f>EXP(-LN(2)/25)*HH134+(1-EXP(-LN(2)/25))/(LN(2)/25)*Calculateur!HC135*Calculateur!HE135*VLOOKUP('Données projet'!$B$18,Paramètres!$A$1:$I$89,3,0)*0.475*44/12</f>
        <v>23.90127027555825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101.05519367643754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</v>
      </c>
      <c r="N136" s="13">
        <f>IF('Données projet'!$A$36&gt;35,N135+M136-V135,IF(A136&lt;'Données projet'!$A$36,$K$205^A136,IF(A136='Données projet'!$A$36,'Données projet'!$B$36,N135+M136-V135)))</f>
        <v>385.00000000000017</v>
      </c>
      <c r="O136" s="13">
        <f>N136*VLOOKUP('Données projet'!$B$9,Paramètres!$A$1:$I$89,3,0)*VLOOKUP('Données projet'!$B$9,Paramètres!$A$1:$I$89,5,0)</f>
        <v>348.34800000000018</v>
      </c>
      <c r="P136" s="13">
        <f t="shared" si="141"/>
        <v>81.222253672242701</v>
      </c>
      <c r="Q136" s="20">
        <f t="shared" si="108"/>
        <v>748.16819181248957</v>
      </c>
      <c r="R136" s="59">
        <f t="shared" si="109"/>
        <v>1041.5015251458228</v>
      </c>
      <c r="S136" s="59">
        <f ca="1">AVERAGE(OFFSET($R$3,0,0,'Données projet'!$E$9+1,1))-AVERAGE(OFFSET($H$3,0,0,'Données projet'!$E$9+1,1))</f>
        <v>528.20489749461376</v>
      </c>
      <c r="T136" s="59">
        <f t="shared" si="142"/>
        <v>276.26988364830532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56.979183646993299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56.979183646993299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2.2737367544323206E-13</v>
      </c>
      <c r="AJ136" s="13">
        <f>AI136*VLOOKUP('Données projet'!$B$10,Paramètres!$A$1:$I$89,3,0)*VLOOKUP('Données projet'!$B$10,Paramètres!$A$1:$I$89,5,0)</f>
        <v>2.0572770154103635E-13</v>
      </c>
      <c r="AK136" s="13">
        <f t="shared" si="143"/>
        <v>2.8416956338469711E-12</v>
      </c>
      <c r="AL136" s="20">
        <f t="shared" si="112"/>
        <v>5.3075956424674458E-12</v>
      </c>
      <c r="AM136" s="59">
        <f t="shared" si="113"/>
        <v>293.3333333333386</v>
      </c>
      <c r="AN136" s="59">
        <f ca="1">AVERAGE(OFFSET($AM$3,0,0,'Données projet'!$E$10+1,1))-AVERAGE(OFFSET($H$3,0,0,'Données projet'!$E$10+1,1))</f>
        <v>436.23918637269577</v>
      </c>
      <c r="AO136" s="59">
        <f t="shared" si="144"/>
        <v>611.43967996341894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12.781160295337058</v>
      </c>
      <c r="AV136" s="21">
        <f>EXP(-LN(2)/25)*AV135+(1-EXP(-LN(2)/25))/(LN(2)/25)*Calculateur!AQ136*Calculateur!AS136*VLOOKUP('Données projet'!$B$10,Paramètres!$A$1:$I$89,3,0)*0.475*44/12</f>
        <v>3.7733474933755478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16.554507788712606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4.4337866711430253E-14</v>
      </c>
      <c r="BF136" s="13">
        <f t="shared" si="145"/>
        <v>7.3222115536967035E-13</v>
      </c>
      <c r="BG136" s="20">
        <f t="shared" si="115"/>
        <v>1.3525069634579169E-12</v>
      </c>
      <c r="BH136" s="59">
        <f t="shared" si="116"/>
        <v>293.33333333333468</v>
      </c>
      <c r="BI136" s="59">
        <f ca="1">AVERAGE(OFFSET($BH$3,0,0,'Données projet'!$E$11+1,1))-AVERAGE(OFFSET($H$3,0,0,'Données projet'!$E$11+1,1))</f>
        <v>288.82868507674738</v>
      </c>
      <c r="BJ136" s="59">
        <f t="shared" si="146"/>
        <v>283.48738729114024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24.901242919781875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24.901242919781875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2.1316282072803006E-14</v>
      </c>
      <c r="BZ136" s="13">
        <f>BY136*VLOOKUP('Données projet'!$B$12,Paramètres!$A$1:$I$89,3,0)*VLOOKUP('Données projet'!$B$12,Paramètres!$A$1:$I$89,5,0)</f>
        <v>1.8621904018800709E-14</v>
      </c>
      <c r="CA136" s="13">
        <f t="shared" si="147"/>
        <v>3.40208645124969E-13</v>
      </c>
      <c r="CB136" s="20">
        <f t="shared" si="118"/>
        <v>6.2496320642539887E-13</v>
      </c>
      <c r="CC136" s="59">
        <f t="shared" si="119"/>
        <v>293.33333333333394</v>
      </c>
      <c r="CD136" s="59">
        <f ca="1">AVERAGE(OFFSET($CC$3,0,0,'Données projet'!$E$12+1,1))-AVERAGE(OFFSET($H$3,0,0,'Données projet'!$E$12+1,1))</f>
        <v>93.329407403816901</v>
      </c>
      <c r="CE136" s="59">
        <f t="shared" si="148"/>
        <v>90.925148357295313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6.088154462495984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6.088154462495984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-2.2737367544323206E-13</v>
      </c>
      <c r="CU136" s="17">
        <f>CT136*VLOOKUP('Données projet'!$B$13,Paramètres!$A$1:$I$89,3,0)*VLOOKUP('Données projet'!$B$13,Paramètres!$A$1:$I$89,5,0)</f>
        <v>-2.1636878955177963E-13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805.04572055352492</v>
      </c>
      <c r="CZ136" s="59">
        <f t="shared" si="150"/>
        <v>708.66645042414962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142.38665430024818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142.38665430024818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-1.1368683772161603E-13</v>
      </c>
      <c r="DP136" s="17">
        <f>DO136*VLOOKUP('Données projet'!$B$14,Paramètres!$A$1:$I$89,3,0)*VLOOKUP('Données projet'!$B$14,Paramètres!$A$1:$I$89,5,0)</f>
        <v>-7.626113074366004E-14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482.69499576870095</v>
      </c>
      <c r="DU136" s="59">
        <f t="shared" si="152"/>
        <v>384.28918352579575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88.079624562772338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88.079624562772338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1.7053025658242404E-13</v>
      </c>
      <c r="EK136" s="17">
        <f>EJ136*VLOOKUP('Données projet'!$B$15,Paramètres!$A$1:$I$89,3,0)*VLOOKUP('Données projet'!$B$15,Paramètres!$A$1:$I$89,5,0)</f>
        <v>1.250327841262333E-13</v>
      </c>
      <c r="EL136" s="13">
        <f t="shared" si="153"/>
        <v>1.8301318724634299E-12</v>
      </c>
      <c r="EM136" s="20">
        <f t="shared" si="127"/>
        <v>3.405245110226996E-12</v>
      </c>
      <c r="EN136" s="59">
        <f t="shared" si="128"/>
        <v>293.33333333333672</v>
      </c>
      <c r="EO136" s="59">
        <f ca="1">AVERAGE(OFFSET($EN$3,0,0,'Données projet'!$E$15+1,1))-AVERAGE(OFFSET($H$3,0,0,'Données projet'!$E$15+1,1))</f>
        <v>197.34725966440715</v>
      </c>
      <c r="EP136" s="59">
        <f t="shared" si="154"/>
        <v>240.16326570529532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8.4552379637651534</v>
      </c>
      <c r="EW136" s="21">
        <f>EXP(-LN(2)/25)*EW135+(1-EXP(-LN(2)/25))/(LN(2)/25)*Calculateur!ER136*Calculateur!ET136*VLOOKUP('Données projet'!$B$15,Paramètres!$A$1:$I$89,3,0)*0.475*44/12</f>
        <v>3.0840137452049325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11.539251708970086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2.2737367544323206E-13</v>
      </c>
      <c r="FF136" s="17">
        <f>FE136*VLOOKUP('Données projet'!$B$16,Paramètres!$A$1:$I$89,3,0)*VLOOKUP('Données projet'!$B$16,Paramètres!$A$1:$I$89,5,0)</f>
        <v>1.2710188457276673E-13</v>
      </c>
      <c r="FG136" s="13">
        <f t="shared" si="155"/>
        <v>1.856866851063998E-12</v>
      </c>
      <c r="FH136" s="20">
        <f t="shared" si="130"/>
        <v>3.4554122145673649E-12</v>
      </c>
      <c r="FI136" s="59">
        <f t="shared" si="131"/>
        <v>293.33333333333678</v>
      </c>
      <c r="FJ136" s="59">
        <f ca="1">AVERAGE(OFFSET($FI$3,0,0,'Données projet'!$E$16+1,1))-AVERAGE(OFFSET($H$3,0,0,'Données projet'!$E$16+1,1))</f>
        <v>346.42094266871379</v>
      </c>
      <c r="FK136" s="59">
        <f t="shared" si="156"/>
        <v>453.48153556975973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40.346009938944349</v>
      </c>
      <c r="FR136" s="21">
        <f>EXP(-LN(2)/25)*FR135+(1-EXP(-LN(2)/25))/(LN(2)/25)*Calculateur!FM136*Calculateur!FO136*VLOOKUP('Données projet'!$B$16,Paramètres!$A$1:$I$89,3,0)*0.475*44/12</f>
        <v>13.940140120998416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54.286150059942763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-1.1368683772161603E-13</v>
      </c>
      <c r="GA136" s="17">
        <f>FZ136*VLOOKUP('Données projet'!$B$17,Paramètres!$A$1:$I$89,3,0)*VLOOKUP('Données projet'!$B$17,Paramètres!$A$1:$I$89,5,0)</f>
        <v>-5.3205440053716299E-14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198.26255998041</v>
      </c>
      <c r="GF136" s="59">
        <f t="shared" si="158"/>
        <v>238.62101708181166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25.860552194022976</v>
      </c>
      <c r="GM136" s="21">
        <f>EXP(-LN(2)/25)*GM135+(1-EXP(-LN(2)/25))/(LN(2)/25)*Calculateur!GH136*Calculateur!GJ136*VLOOKUP('Données projet'!$B$17,Paramètres!$A$1:$I$89,3,0)*0.475*44/12</f>
        <v>8.2270828672975949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34.087635061320569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>
        <f>GU136*VLOOKUP('Données projet'!$B$18,Paramètres!$A$1:$I$89,3,0)*VLOOKUP('Données projet'!$B$18,Paramètres!$A$1:$I$89,5,0)</f>
        <v>0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604.0566904089452</v>
      </c>
      <c r="HA136" s="59">
        <f t="shared" si="160"/>
        <v>369.5187835902687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75.64098202223461</v>
      </c>
      <c r="HH136" s="21">
        <f>EXP(-LN(2)/25)*HH135+(1-EXP(-LN(2)/25))/(LN(2)/25)*Calculateur!HC136*Calculateur!HE136*VLOOKUP('Données projet'!$B$18,Paramètres!$A$1:$I$89,3,0)*0.475*44/12</f>
        <v>23.247688782959933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98.88867080519455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</v>
      </c>
      <c r="N137" s="13">
        <f>IF('Données projet'!$A$36&gt;35,N136+M137-V136,IF(A137&lt;'Données projet'!$A$36,$K$205^A137,IF(A137='Données projet'!$A$36,'Données projet'!$B$36,N136+M137-V136)))</f>
        <v>392.00000000000017</v>
      </c>
      <c r="O137" s="13">
        <f>N137*VLOOKUP('Données projet'!$B$9,Paramètres!$A$1:$I$89,3,0)*VLOOKUP('Données projet'!$B$9,Paramètres!$A$1:$I$89,5,0)</f>
        <v>354.68160000000012</v>
      </c>
      <c r="P137" s="13">
        <f t="shared" si="141"/>
        <v>82.525754558074013</v>
      </c>
      <c r="Q137" s="20">
        <f t="shared" si="108"/>
        <v>761.46947585531234</v>
      </c>
      <c r="R137" s="59">
        <f t="shared" si="109"/>
        <v>1054.8028091886456</v>
      </c>
      <c r="S137" s="59">
        <f ca="1">AVERAGE(OFFSET($R$3,0,0,'Données projet'!$E$9+1,1))-AVERAGE(OFFSET($H$3,0,0,'Données projet'!$E$9+1,1))</f>
        <v>528.20489749461376</v>
      </c>
      <c r="T137" s="59">
        <f t="shared" si="142"/>
        <v>276.26988364830532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55.861856609546123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55.861856609546123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2.2737367544323206E-13</v>
      </c>
      <c r="AJ137" s="13">
        <f>AI137*VLOOKUP('Données projet'!$B$10,Paramètres!$A$1:$I$89,3,0)*VLOOKUP('Données projet'!$B$10,Paramètres!$A$1:$I$89,5,0)</f>
        <v>2.0572770154103635E-13</v>
      </c>
      <c r="AK137" s="13">
        <f t="shared" si="143"/>
        <v>2.8416956338469711E-12</v>
      </c>
      <c r="AL137" s="20">
        <f t="shared" si="112"/>
        <v>5.3075956424674458E-12</v>
      </c>
      <c r="AM137" s="59">
        <f t="shared" si="113"/>
        <v>293.3333333333386</v>
      </c>
      <c r="AN137" s="59">
        <f ca="1">AVERAGE(OFFSET($AM$3,0,0,'Données projet'!$E$10+1,1))-AVERAGE(OFFSET($H$3,0,0,'Données projet'!$E$10+1,1))</f>
        <v>436.23918637269577</v>
      </c>
      <c r="AO137" s="59">
        <f t="shared" si="144"/>
        <v>611.43967996341894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12.530529537683513</v>
      </c>
      <c r="AV137" s="21">
        <f>EXP(-LN(2)/25)*AV136+(1-EXP(-LN(2)/25))/(LN(2)/25)*Calculateur!AQ137*Calculateur!AS137*VLOOKUP('Données projet'!$B$10,Paramètres!$A$1:$I$89,3,0)*0.475*44/12</f>
        <v>3.6701651077374726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16.200694645420985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4.4337866711430253E-14</v>
      </c>
      <c r="BF137" s="13">
        <f t="shared" si="145"/>
        <v>7.3222115536967035E-13</v>
      </c>
      <c r="BG137" s="20">
        <f t="shared" si="115"/>
        <v>1.3525069634579169E-12</v>
      </c>
      <c r="BH137" s="59">
        <f t="shared" si="116"/>
        <v>293.33333333333468</v>
      </c>
      <c r="BI137" s="59">
        <f ca="1">AVERAGE(OFFSET($BH$3,0,0,'Données projet'!$E$11+1,1))-AVERAGE(OFFSET($H$3,0,0,'Données projet'!$E$11+1,1))</f>
        <v>288.82868507674738</v>
      </c>
      <c r="BJ137" s="59">
        <f t="shared" si="146"/>
        <v>283.48738729114024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24.412944734383419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24.412944734383419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2.1316282072803006E-14</v>
      </c>
      <c r="BZ137" s="13">
        <f>BY137*VLOOKUP('Données projet'!$B$12,Paramètres!$A$1:$I$89,3,0)*VLOOKUP('Données projet'!$B$12,Paramètres!$A$1:$I$89,5,0)</f>
        <v>1.8621904018800709E-14</v>
      </c>
      <c r="CA137" s="13">
        <f t="shared" si="147"/>
        <v>3.40208645124969E-13</v>
      </c>
      <c r="CB137" s="20">
        <f t="shared" si="118"/>
        <v>6.2496320642539887E-13</v>
      </c>
      <c r="CC137" s="59">
        <f t="shared" si="119"/>
        <v>293.33333333333394</v>
      </c>
      <c r="CD137" s="59">
        <f ca="1">AVERAGE(OFFSET($CC$3,0,0,'Données projet'!$E$12+1,1))-AVERAGE(OFFSET($H$3,0,0,'Données projet'!$E$12+1,1))</f>
        <v>93.329407403816901</v>
      </c>
      <c r="CE137" s="59">
        <f t="shared" si="148"/>
        <v>90.925148357295313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5.968769466893991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5.968769466893991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-2.2737367544323206E-13</v>
      </c>
      <c r="CU137" s="17">
        <f>CT137*VLOOKUP('Données projet'!$B$13,Paramètres!$A$1:$I$89,3,0)*VLOOKUP('Données projet'!$B$13,Paramètres!$A$1:$I$89,5,0)</f>
        <v>-2.1636878955177963E-13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805.04572055352492</v>
      </c>
      <c r="CZ137" s="59">
        <f t="shared" si="150"/>
        <v>708.66645042414962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139.59453885670399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139.59453885670399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-1.1368683772161603E-13</v>
      </c>
      <c r="DP137" s="17">
        <f>DO137*VLOOKUP('Données projet'!$B$14,Paramètres!$A$1:$I$89,3,0)*VLOOKUP('Données projet'!$B$14,Paramètres!$A$1:$I$89,5,0)</f>
        <v>-7.626113074366004E-14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482.69499576870095</v>
      </c>
      <c r="DU137" s="59">
        <f t="shared" si="152"/>
        <v>384.28918352579575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86.352436848362629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86.352436848362629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1.7053025658242404E-13</v>
      </c>
      <c r="EK137" s="17">
        <f>EJ137*VLOOKUP('Données projet'!$B$15,Paramètres!$A$1:$I$89,3,0)*VLOOKUP('Données projet'!$B$15,Paramètres!$A$1:$I$89,5,0)</f>
        <v>1.250327841262333E-13</v>
      </c>
      <c r="EL137" s="13">
        <f t="shared" si="153"/>
        <v>1.8301318724634299E-12</v>
      </c>
      <c r="EM137" s="20">
        <f t="shared" si="127"/>
        <v>3.405245110226996E-12</v>
      </c>
      <c r="EN137" s="59">
        <f t="shared" si="128"/>
        <v>293.33333333333672</v>
      </c>
      <c r="EO137" s="59">
        <f ca="1">AVERAGE(OFFSET($EN$3,0,0,'Données projet'!$E$15+1,1))-AVERAGE(OFFSET($H$3,0,0,'Données projet'!$E$15+1,1))</f>
        <v>197.34725966440715</v>
      </c>
      <c r="EP137" s="59">
        <f t="shared" si="154"/>
        <v>240.16326570529532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8.2894359044816461</v>
      </c>
      <c r="EW137" s="21">
        <f>EXP(-LN(2)/25)*EW136+(1-EXP(-LN(2)/25))/(LN(2)/25)*Calculateur!ER137*Calculateur!ET137*VLOOKUP('Données projet'!$B$15,Paramètres!$A$1:$I$89,3,0)*0.475*44/12</f>
        <v>2.9996812271610693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11.289117131642715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2.2737367544323206E-13</v>
      </c>
      <c r="FF137" s="17">
        <f>FE137*VLOOKUP('Données projet'!$B$16,Paramètres!$A$1:$I$89,3,0)*VLOOKUP('Données projet'!$B$16,Paramètres!$A$1:$I$89,5,0)</f>
        <v>1.2710188457276673E-13</v>
      </c>
      <c r="FG137" s="13">
        <f t="shared" si="155"/>
        <v>1.856866851063998E-12</v>
      </c>
      <c r="FH137" s="20">
        <f t="shared" si="130"/>
        <v>3.4554122145673649E-12</v>
      </c>
      <c r="FI137" s="59">
        <f t="shared" si="131"/>
        <v>293.33333333333678</v>
      </c>
      <c r="FJ137" s="59">
        <f ca="1">AVERAGE(OFFSET($FI$3,0,0,'Données projet'!$E$16+1,1))-AVERAGE(OFFSET($H$3,0,0,'Données projet'!$E$16+1,1))</f>
        <v>346.42094266871379</v>
      </c>
      <c r="FK137" s="59">
        <f t="shared" si="156"/>
        <v>453.48153556975973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39.554849292677808</v>
      </c>
      <c r="FR137" s="21">
        <f>EXP(-LN(2)/25)*FR136+(1-EXP(-LN(2)/25))/(LN(2)/25)*Calculateur!FM137*Calculateur!FO137*VLOOKUP('Données projet'!$B$16,Paramètres!$A$1:$I$89,3,0)*0.475*44/12</f>
        <v>13.558946256309605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53.113795548987412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-1.1368683772161603E-13</v>
      </c>
      <c r="GA137" s="17">
        <f>FZ137*VLOOKUP('Données projet'!$B$17,Paramètres!$A$1:$I$89,3,0)*VLOOKUP('Données projet'!$B$17,Paramètres!$A$1:$I$89,5,0)</f>
        <v>-5.3205440053716299E-14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198.26255998041</v>
      </c>
      <c r="GF137" s="59">
        <f t="shared" si="158"/>
        <v>238.62101708181166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25.35344253887753</v>
      </c>
      <c r="GM137" s="21">
        <f>EXP(-LN(2)/25)*GM136+(1-EXP(-LN(2)/25))/(LN(2)/25)*Calculateur!GH137*Calculateur!GJ137*VLOOKUP('Données projet'!$B$17,Paramètres!$A$1:$I$89,3,0)*0.475*44/12</f>
        <v>8.0021128536478567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33.355555392525389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>
        <f>GU137*VLOOKUP('Données projet'!$B$18,Paramètres!$A$1:$I$89,3,0)*VLOOKUP('Données projet'!$B$18,Paramètres!$A$1:$I$89,5,0)</f>
        <v>0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604.0566904089452</v>
      </c>
      <c r="HA137" s="59">
        <f t="shared" si="160"/>
        <v>369.5187835902687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74.157708501222032</v>
      </c>
      <c r="HH137" s="21">
        <f>EXP(-LN(2)/25)*HH136+(1-EXP(-LN(2)/25))/(LN(2)/25)*Calculateur!HC137*Calculateur!HE137*VLOOKUP('Données projet'!$B$18,Paramètres!$A$1:$I$89,3,0)*0.475*44/12</f>
        <v>22.611979510647075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96.769688011869107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</v>
      </c>
      <c r="N138" s="13">
        <f>IF('Données projet'!$A$36&gt;35,N137+M138-V137,IF(A138&lt;'Données projet'!$A$36,$K$205^A138,IF(A138='Données projet'!$A$36,'Données projet'!$B$36,N137+M138-V137)))</f>
        <v>399.00000000000017</v>
      </c>
      <c r="O138" s="13">
        <f>N138*VLOOKUP('Données projet'!$B$9,Paramètres!$A$1:$I$89,3,0)*VLOOKUP('Données projet'!$B$9,Paramètres!$A$1:$I$89,5,0)</f>
        <v>361.01520000000011</v>
      </c>
      <c r="P138" s="13">
        <f t="shared" si="141"/>
        <v>83.826548686038095</v>
      </c>
      <c r="Q138" s="20">
        <f t="shared" si="108"/>
        <v>774.76604562818318</v>
      </c>
      <c r="R138" s="59">
        <f t="shared" si="109"/>
        <v>1068.0993789615165</v>
      </c>
      <c r="S138" s="59">
        <f ca="1">AVERAGE(OFFSET($R$3,0,0,'Données projet'!$E$9+1,1))-AVERAGE(OFFSET($H$3,0,0,'Données projet'!$E$9+1,1))</f>
        <v>528.20489749461376</v>
      </c>
      <c r="T138" s="59">
        <f t="shared" si="142"/>
        <v>276.26988364830532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54.766439673801088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54.766439673801088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2.2737367544323206E-13</v>
      </c>
      <c r="AJ138" s="13">
        <f>AI138*VLOOKUP('Données projet'!$B$10,Paramètres!$A$1:$I$89,3,0)*VLOOKUP('Données projet'!$B$10,Paramètres!$A$1:$I$89,5,0)</f>
        <v>2.0572770154103635E-13</v>
      </c>
      <c r="AK138" s="13">
        <f t="shared" si="143"/>
        <v>2.8416956338469711E-12</v>
      </c>
      <c r="AL138" s="20">
        <f t="shared" si="112"/>
        <v>5.3075956424674458E-12</v>
      </c>
      <c r="AM138" s="59">
        <f t="shared" si="113"/>
        <v>293.3333333333386</v>
      </c>
      <c r="AN138" s="59">
        <f ca="1">AVERAGE(OFFSET($AM$3,0,0,'Données projet'!$E$10+1,1))-AVERAGE(OFFSET($H$3,0,0,'Données projet'!$E$10+1,1))</f>
        <v>436.23918637269577</v>
      </c>
      <c r="AO138" s="59">
        <f t="shared" si="144"/>
        <v>611.43967996341894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12.284813496317888</v>
      </c>
      <c r="AV138" s="21">
        <f>EXP(-LN(2)/25)*AV137+(1-EXP(-LN(2)/25))/(LN(2)/25)*Calculateur!AQ138*Calculateur!AS138*VLOOKUP('Données projet'!$B$10,Paramètres!$A$1:$I$89,3,0)*0.475*44/12</f>
        <v>3.5698042498607965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15.854617746178684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4.4337866711430253E-14</v>
      </c>
      <c r="BF138" s="13">
        <f t="shared" si="145"/>
        <v>7.3222115536967035E-13</v>
      </c>
      <c r="BG138" s="20">
        <f t="shared" si="115"/>
        <v>1.3525069634579169E-12</v>
      </c>
      <c r="BH138" s="59">
        <f t="shared" si="116"/>
        <v>293.33333333333468</v>
      </c>
      <c r="BI138" s="59">
        <f ca="1">AVERAGE(OFFSET($BH$3,0,0,'Données projet'!$E$11+1,1))-AVERAGE(OFFSET($H$3,0,0,'Données projet'!$E$11+1,1))</f>
        <v>288.82868507674738</v>
      </c>
      <c r="BJ138" s="59">
        <f t="shared" si="146"/>
        <v>283.48738729114024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23.934221778568141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23.934221778568141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2.1316282072803006E-14</v>
      </c>
      <c r="BZ138" s="13">
        <f>BY138*VLOOKUP('Données projet'!$B$12,Paramètres!$A$1:$I$89,3,0)*VLOOKUP('Données projet'!$B$12,Paramètres!$A$1:$I$89,5,0)</f>
        <v>1.8621904018800709E-14</v>
      </c>
      <c r="CA138" s="13">
        <f t="shared" si="147"/>
        <v>3.40208645124969E-13</v>
      </c>
      <c r="CB138" s="20">
        <f t="shared" si="118"/>
        <v>6.2496320642539887E-13</v>
      </c>
      <c r="CC138" s="59">
        <f t="shared" si="119"/>
        <v>293.33333333333394</v>
      </c>
      <c r="CD138" s="59">
        <f ca="1">AVERAGE(OFFSET($CC$3,0,0,'Données projet'!$E$12+1,1))-AVERAGE(OFFSET($H$3,0,0,'Données projet'!$E$12+1,1))</f>
        <v>93.329407403816901</v>
      </c>
      <c r="CE138" s="59">
        <f t="shared" si="148"/>
        <v>90.925148357295313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5.8517255382380959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5.8517255382380959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-2.2737367544323206E-13</v>
      </c>
      <c r="CU138" s="17">
        <f>CT138*VLOOKUP('Données projet'!$B$13,Paramètres!$A$1:$I$89,3,0)*VLOOKUP('Données projet'!$B$13,Paramètres!$A$1:$I$89,5,0)</f>
        <v>-2.1636878955177963E-13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805.04572055352492</v>
      </c>
      <c r="CZ138" s="59">
        <f t="shared" si="150"/>
        <v>708.66645042414962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136.85717509398543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136.85717509398543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-1.1368683772161603E-13</v>
      </c>
      <c r="DP138" s="17">
        <f>DO138*VLOOKUP('Données projet'!$B$14,Paramètres!$A$1:$I$89,3,0)*VLOOKUP('Données projet'!$B$14,Paramètres!$A$1:$I$89,5,0)</f>
        <v>-7.626113074366004E-14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482.69499576870095</v>
      </c>
      <c r="DU138" s="59">
        <f t="shared" si="152"/>
        <v>384.28918352579575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84.659118231552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84.659118231552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1.7053025658242404E-13</v>
      </c>
      <c r="EK138" s="17">
        <f>EJ138*VLOOKUP('Données projet'!$B$15,Paramètres!$A$1:$I$89,3,0)*VLOOKUP('Données projet'!$B$15,Paramètres!$A$1:$I$89,5,0)</f>
        <v>1.250327841262333E-13</v>
      </c>
      <c r="EL138" s="13">
        <f t="shared" si="153"/>
        <v>1.8301318724634299E-12</v>
      </c>
      <c r="EM138" s="20">
        <f t="shared" si="127"/>
        <v>3.405245110226996E-12</v>
      </c>
      <c r="EN138" s="59">
        <f t="shared" si="128"/>
        <v>293.33333333333672</v>
      </c>
      <c r="EO138" s="59">
        <f ca="1">AVERAGE(OFFSET($EN$3,0,0,'Données projet'!$E$15+1,1))-AVERAGE(OFFSET($H$3,0,0,'Données projet'!$E$15+1,1))</f>
        <v>197.34725966440715</v>
      </c>
      <c r="EP138" s="59">
        <f t="shared" si="154"/>
        <v>240.16326570529532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8.1268851224514194</v>
      </c>
      <c r="EW138" s="21">
        <f>EXP(-LN(2)/25)*EW137+(1-EXP(-LN(2)/25))/(LN(2)/25)*Calculateur!ER138*Calculateur!ET138*VLOOKUP('Données projet'!$B$15,Paramètres!$A$1:$I$89,3,0)*0.475*44/12</f>
        <v>2.91765478625797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11.044539908709389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2.2737367544323206E-13</v>
      </c>
      <c r="FF138" s="17">
        <f>FE138*VLOOKUP('Données projet'!$B$16,Paramètres!$A$1:$I$89,3,0)*VLOOKUP('Données projet'!$B$16,Paramètres!$A$1:$I$89,5,0)</f>
        <v>1.2710188457276673E-13</v>
      </c>
      <c r="FG138" s="13">
        <f t="shared" si="155"/>
        <v>1.856866851063998E-12</v>
      </c>
      <c r="FH138" s="20">
        <f t="shared" si="130"/>
        <v>3.4554122145673649E-12</v>
      </c>
      <c r="FI138" s="59">
        <f t="shared" si="131"/>
        <v>293.33333333333678</v>
      </c>
      <c r="FJ138" s="59">
        <f ca="1">AVERAGE(OFFSET($FI$3,0,0,'Données projet'!$E$16+1,1))-AVERAGE(OFFSET($H$3,0,0,'Données projet'!$E$16+1,1))</f>
        <v>346.42094266871379</v>
      </c>
      <c r="FK138" s="59">
        <f t="shared" si="156"/>
        <v>453.48153556975973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38.779202824124212</v>
      </c>
      <c r="FR138" s="21">
        <f>EXP(-LN(2)/25)*FR137+(1-EXP(-LN(2)/25))/(LN(2)/25)*Calculateur!FM138*Calculateur!FO138*VLOOKUP('Données projet'!$B$16,Paramètres!$A$1:$I$89,3,0)*0.475*44/12</f>
        <v>13.188176157896825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51.967378982021039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-1.1368683772161603E-13</v>
      </c>
      <c r="GA138" s="17">
        <f>FZ138*VLOOKUP('Données projet'!$B$17,Paramètres!$A$1:$I$89,3,0)*VLOOKUP('Données projet'!$B$17,Paramètres!$A$1:$I$89,5,0)</f>
        <v>-5.3205440053716299E-14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198.26255998041</v>
      </c>
      <c r="GF138" s="59">
        <f t="shared" si="158"/>
        <v>238.62101708181166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24.856276994763139</v>
      </c>
      <c r="GM138" s="21">
        <f>EXP(-LN(2)/25)*GM137+(1-EXP(-LN(2)/25))/(LN(2)/25)*Calculateur!GH138*Calculateur!GJ138*VLOOKUP('Données projet'!$B$17,Paramètres!$A$1:$I$89,3,0)*0.475*44/12</f>
        <v>7.7832946568520303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32.639571651615171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>
        <f>GU138*VLOOKUP('Données projet'!$B$18,Paramètres!$A$1:$I$89,3,0)*VLOOKUP('Données projet'!$B$18,Paramètres!$A$1:$I$89,5,0)</f>
        <v>0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604.0566904089452</v>
      </c>
      <c r="HA138" s="59">
        <f t="shared" si="160"/>
        <v>369.5187835902687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72.703521069248993</v>
      </c>
      <c r="HH138" s="21">
        <f>EXP(-LN(2)/25)*HH137+(1-EXP(-LN(2)/25))/(LN(2)/25)*Calculateur!HC138*Calculateur!HE138*VLOOKUP('Données projet'!$B$18,Paramètres!$A$1:$I$89,3,0)*0.475*44/12</f>
        <v>21.993653741816107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94.697174811065096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</v>
      </c>
      <c r="N139" s="13">
        <f>IF('Données projet'!$A$36&gt;35,N138+M139-V138,IF(A139&lt;'Données projet'!$A$36,$K$205^A139,IF(A139='Données projet'!$A$36,'Données projet'!$B$36,N138+M139-V138)))</f>
        <v>406.00000000000017</v>
      </c>
      <c r="O139" s="13">
        <f>N139*VLOOKUP('Données projet'!$B$9,Paramètres!$A$1:$I$89,3,0)*VLOOKUP('Données projet'!$B$9,Paramètres!$A$1:$I$89,5,0)</f>
        <v>367.34880000000015</v>
      </c>
      <c r="P139" s="13">
        <f t="shared" si="141"/>
        <v>85.124689021983357</v>
      </c>
      <c r="Q139" s="20">
        <f t="shared" si="108"/>
        <v>788.0579933799545</v>
      </c>
      <c r="R139" s="59">
        <f t="shared" si="109"/>
        <v>1081.3913267132878</v>
      </c>
      <c r="S139" s="59">
        <f ca="1">AVERAGE(OFFSET($R$3,0,0,'Données projet'!$E$9+1,1))-AVERAGE(OFFSET($H$3,0,0,'Données projet'!$E$9+1,1))</f>
        <v>528.20489749461376</v>
      </c>
      <c r="T139" s="59">
        <f t="shared" si="142"/>
        <v>276.26988364830532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53.692503196027658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53.692503196027658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2.2737367544323206E-13</v>
      </c>
      <c r="AJ139" s="13">
        <f>AI139*VLOOKUP('Données projet'!$B$10,Paramètres!$A$1:$I$89,3,0)*VLOOKUP('Données projet'!$B$10,Paramètres!$A$1:$I$89,5,0)</f>
        <v>2.0572770154103635E-13</v>
      </c>
      <c r="AK139" s="13">
        <f t="shared" si="143"/>
        <v>2.8416956338469711E-12</v>
      </c>
      <c r="AL139" s="20">
        <f t="shared" si="112"/>
        <v>5.3075956424674458E-12</v>
      </c>
      <c r="AM139" s="59">
        <f t="shared" si="113"/>
        <v>293.3333333333386</v>
      </c>
      <c r="AN139" s="59">
        <f ca="1">AVERAGE(OFFSET($AM$3,0,0,'Données projet'!$E$10+1,1))-AVERAGE(OFFSET($H$3,0,0,'Données projet'!$E$10+1,1))</f>
        <v>436.23918637269577</v>
      </c>
      <c r="AO139" s="59">
        <f t="shared" si="144"/>
        <v>611.43967996341894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12.043915796651454</v>
      </c>
      <c r="AV139" s="21">
        <f>EXP(-LN(2)/25)*AV138+(1-EXP(-LN(2)/25))/(LN(2)/25)*Calculateur!AQ139*Calculateur!AS139*VLOOKUP('Données projet'!$B$10,Paramètres!$A$1:$I$89,3,0)*0.475*44/12</f>
        <v>3.4721877649205064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15.51610356157196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4.4337866711430253E-14</v>
      </c>
      <c r="BF139" s="13">
        <f t="shared" si="145"/>
        <v>7.3222115536967035E-13</v>
      </c>
      <c r="BG139" s="20">
        <f t="shared" si="115"/>
        <v>1.3525069634579169E-12</v>
      </c>
      <c r="BH139" s="59">
        <f t="shared" si="116"/>
        <v>293.33333333333468</v>
      </c>
      <c r="BI139" s="59">
        <f ca="1">AVERAGE(OFFSET($BH$3,0,0,'Données projet'!$E$11+1,1))-AVERAGE(OFFSET($H$3,0,0,'Données projet'!$E$11+1,1))</f>
        <v>288.82868507674738</v>
      </c>
      <c r="BJ139" s="59">
        <f t="shared" si="146"/>
        <v>283.48738729114024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23.46488628792423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23.46488628792423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2.1316282072803006E-14</v>
      </c>
      <c r="BZ139" s="13">
        <f>BY139*VLOOKUP('Données projet'!$B$12,Paramètres!$A$1:$I$89,3,0)*VLOOKUP('Données projet'!$B$12,Paramètres!$A$1:$I$89,5,0)</f>
        <v>1.8621904018800709E-14</v>
      </c>
      <c r="CA139" s="13">
        <f t="shared" si="147"/>
        <v>3.40208645124969E-13</v>
      </c>
      <c r="CB139" s="20">
        <f t="shared" si="118"/>
        <v>6.2496320642539887E-13</v>
      </c>
      <c r="CC139" s="59">
        <f t="shared" si="119"/>
        <v>293.33333333333394</v>
      </c>
      <c r="CD139" s="59">
        <f ca="1">AVERAGE(OFFSET($CC$3,0,0,'Données projet'!$E$12+1,1))-AVERAGE(OFFSET($H$3,0,0,'Données projet'!$E$12+1,1))</f>
        <v>93.329407403816901</v>
      </c>
      <c r="CE139" s="59">
        <f t="shared" si="148"/>
        <v>90.925148357295313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5.7369767696333955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5.7369767696333955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-2.2737367544323206E-13</v>
      </c>
      <c r="CU139" s="17">
        <f>CT139*VLOOKUP('Données projet'!$B$13,Paramètres!$A$1:$I$89,3,0)*VLOOKUP('Données projet'!$B$13,Paramètres!$A$1:$I$89,5,0)</f>
        <v>-2.1636878955177963E-13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805.04572055352492</v>
      </c>
      <c r="CZ139" s="59">
        <f t="shared" si="150"/>
        <v>708.66645042414962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134.17348936502674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134.17348936502674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-1.1368683772161603E-13</v>
      </c>
      <c r="DP139" s="17">
        <f>DO139*VLOOKUP('Données projet'!$B$14,Paramètres!$A$1:$I$89,3,0)*VLOOKUP('Données projet'!$B$14,Paramètres!$A$1:$I$89,5,0)</f>
        <v>-7.626113074366004E-14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482.69499576870095</v>
      </c>
      <c r="DU139" s="59">
        <f t="shared" si="152"/>
        <v>384.28918352579575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82.99900455999466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82.99900455999466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1.7053025658242404E-13</v>
      </c>
      <c r="EK139" s="17">
        <f>EJ139*VLOOKUP('Données projet'!$B$15,Paramètres!$A$1:$I$89,3,0)*VLOOKUP('Données projet'!$B$15,Paramètres!$A$1:$I$89,5,0)</f>
        <v>1.250327841262333E-13</v>
      </c>
      <c r="EL139" s="13">
        <f t="shared" si="153"/>
        <v>1.8301318724634299E-12</v>
      </c>
      <c r="EM139" s="20">
        <f t="shared" si="127"/>
        <v>3.405245110226996E-12</v>
      </c>
      <c r="EN139" s="59">
        <f t="shared" si="128"/>
        <v>293.33333333333672</v>
      </c>
      <c r="EO139" s="59">
        <f ca="1">AVERAGE(OFFSET($EN$3,0,0,'Données projet'!$E$15+1,1))-AVERAGE(OFFSET($H$3,0,0,'Données projet'!$E$15+1,1))</f>
        <v>197.34725966440715</v>
      </c>
      <c r="EP139" s="59">
        <f t="shared" si="154"/>
        <v>240.16326570529532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7.9675218621106172</v>
      </c>
      <c r="EW139" s="21">
        <f>EXP(-LN(2)/25)*EW138+(1-EXP(-LN(2)/25))/(LN(2)/25)*Calculateur!ER139*Calculateur!ET139*VLOOKUP('Données projet'!$B$15,Paramètres!$A$1:$I$89,3,0)*0.475*44/12</f>
        <v>2.837871362694949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10.805393224805567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2.2737367544323206E-13</v>
      </c>
      <c r="FF139" s="17">
        <f>FE139*VLOOKUP('Données projet'!$B$16,Paramètres!$A$1:$I$89,3,0)*VLOOKUP('Données projet'!$B$16,Paramètres!$A$1:$I$89,5,0)</f>
        <v>1.2710188457276673E-13</v>
      </c>
      <c r="FG139" s="13">
        <f t="shared" si="155"/>
        <v>1.856866851063998E-12</v>
      </c>
      <c r="FH139" s="20">
        <f t="shared" si="130"/>
        <v>3.4554122145673649E-12</v>
      </c>
      <c r="FI139" s="59">
        <f t="shared" si="131"/>
        <v>293.33333333333678</v>
      </c>
      <c r="FJ139" s="59">
        <f ca="1">AVERAGE(OFFSET($FI$3,0,0,'Données projet'!$E$16+1,1))-AVERAGE(OFFSET($H$3,0,0,'Données projet'!$E$16+1,1))</f>
        <v>346.42094266871379</v>
      </c>
      <c r="FK139" s="59">
        <f t="shared" si="156"/>
        <v>453.48153556975973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38.018766309721322</v>
      </c>
      <c r="FR139" s="21">
        <f>EXP(-LN(2)/25)*FR138+(1-EXP(-LN(2)/25))/(LN(2)/25)*Calculateur!FM139*Calculateur!FO139*VLOOKUP('Données projet'!$B$16,Paramètres!$A$1:$I$89,3,0)*0.475*44/12</f>
        <v>12.827544787323093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50.846311097044413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-1.1368683772161603E-13</v>
      </c>
      <c r="GA139" s="17">
        <f>FZ139*VLOOKUP('Données projet'!$B$17,Paramètres!$A$1:$I$89,3,0)*VLOOKUP('Données projet'!$B$17,Paramètres!$A$1:$I$89,5,0)</f>
        <v>-5.3205440053716299E-14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198.26255998041</v>
      </c>
      <c r="GF139" s="59">
        <f t="shared" si="158"/>
        <v>238.62101708181166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24.368860563727793</v>
      </c>
      <c r="GM139" s="21">
        <f>EXP(-LN(2)/25)*GM138+(1-EXP(-LN(2)/25))/(LN(2)/25)*Calculateur!GH139*Calculateur!GJ139*VLOOKUP('Données projet'!$B$17,Paramètres!$A$1:$I$89,3,0)*0.475*44/12</f>
        <v>7.5704600551547347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31.939320618882526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>
        <f>GU139*VLOOKUP('Données projet'!$B$18,Paramètres!$A$1:$I$89,3,0)*VLOOKUP('Données projet'!$B$18,Paramètres!$A$1:$I$89,5,0)</f>
        <v>0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604.0566904089452</v>
      </c>
      <c r="HA139" s="59">
        <f t="shared" si="160"/>
        <v>369.5187835902687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71.277849365850187</v>
      </c>
      <c r="HH139" s="21">
        <f>EXP(-LN(2)/25)*HH138+(1-EXP(-LN(2)/25))/(LN(2)/25)*Calculateur!HC139*Calculateur!HE139*VLOOKUP('Données projet'!$B$18,Paramètres!$A$1:$I$89,3,0)*0.475*44/12</f>
        <v>21.392236123650164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92.670085489500352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</v>
      </c>
      <c r="N140" s="13">
        <f>IF('Données projet'!$A$36&gt;35,N139+M140-V139,IF(A140&lt;'Données projet'!$A$36,$K$205^A140,IF(A140='Données projet'!$A$36,'Données projet'!$B$36,N139+M140-V139)))</f>
        <v>413.00000000000017</v>
      </c>
      <c r="O140" s="13">
        <f>N140*VLOOKUP('Données projet'!$B$9,Paramètres!$A$1:$I$89,3,0)*VLOOKUP('Données projet'!$B$9,Paramètres!$A$1:$I$89,5,0)</f>
        <v>373.68240000000014</v>
      </c>
      <c r="P140" s="13">
        <f t="shared" si="141"/>
        <v>86.420226600704254</v>
      </c>
      <c r="Q140" s="20">
        <f t="shared" si="108"/>
        <v>801.34540799622675</v>
      </c>
      <c r="R140" s="59">
        <f t="shared" si="109"/>
        <v>1094.6787413295601</v>
      </c>
      <c r="S140" s="59">
        <f ca="1">AVERAGE(OFFSET($R$3,0,0,'Données projet'!$E$9+1,1))-AVERAGE(OFFSET($H$3,0,0,'Données projet'!$E$9+1,1))</f>
        <v>528.20489749461376</v>
      </c>
      <c r="T140" s="59">
        <f t="shared" si="142"/>
        <v>276.26988364830532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52.639625957546791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52.639625957546791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2.2737367544323206E-13</v>
      </c>
      <c r="AJ140" s="13">
        <f>AI140*VLOOKUP('Données projet'!$B$10,Paramètres!$A$1:$I$89,3,0)*VLOOKUP('Données projet'!$B$10,Paramètres!$A$1:$I$89,5,0)</f>
        <v>2.0572770154103635E-13</v>
      </c>
      <c r="AK140" s="13">
        <f t="shared" si="143"/>
        <v>2.8416956338469711E-12</v>
      </c>
      <c r="AL140" s="20">
        <f t="shared" si="112"/>
        <v>5.3075956424674458E-12</v>
      </c>
      <c r="AM140" s="59">
        <f t="shared" si="113"/>
        <v>293.3333333333386</v>
      </c>
      <c r="AN140" s="59">
        <f ca="1">AVERAGE(OFFSET($AM$3,0,0,'Données projet'!$E$10+1,1))-AVERAGE(OFFSET($H$3,0,0,'Données projet'!$E$10+1,1))</f>
        <v>436.23918637269577</v>
      </c>
      <c r="AO140" s="59">
        <f t="shared" si="144"/>
        <v>611.43967996341894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11.807741953942392</v>
      </c>
      <c r="AV140" s="21">
        <f>EXP(-LN(2)/25)*AV139+(1-EXP(-LN(2)/25))/(LN(2)/25)*Calculateur!AQ140*Calculateur!AS140*VLOOKUP('Données projet'!$B$10,Paramètres!$A$1:$I$89,3,0)*0.475*44/12</f>
        <v>3.3772406078943362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15.184982561836728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4.4337866711430253E-14</v>
      </c>
      <c r="BF140" s="13">
        <f t="shared" si="145"/>
        <v>7.3222115536967035E-13</v>
      </c>
      <c r="BG140" s="20">
        <f t="shared" si="115"/>
        <v>1.3525069634579169E-12</v>
      </c>
      <c r="BH140" s="59">
        <f t="shared" si="116"/>
        <v>293.33333333333468</v>
      </c>
      <c r="BI140" s="59">
        <f ca="1">AVERAGE(OFFSET($BH$3,0,0,'Données projet'!$E$11+1,1))-AVERAGE(OFFSET($H$3,0,0,'Données projet'!$E$11+1,1))</f>
        <v>288.82868507674738</v>
      </c>
      <c r="BJ140" s="59">
        <f t="shared" si="146"/>
        <v>283.48738729114024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23.004754179985461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23.004754179985461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2.1316282072803006E-14</v>
      </c>
      <c r="BZ140" s="13">
        <f>BY140*VLOOKUP('Données projet'!$B$12,Paramètres!$A$1:$I$89,3,0)*VLOOKUP('Données projet'!$B$12,Paramètres!$A$1:$I$89,5,0)</f>
        <v>1.8621904018800709E-14</v>
      </c>
      <c r="CA140" s="13">
        <f t="shared" si="147"/>
        <v>3.40208645124969E-13</v>
      </c>
      <c r="CB140" s="20">
        <f t="shared" si="118"/>
        <v>6.2496320642539887E-13</v>
      </c>
      <c r="CC140" s="59">
        <f t="shared" si="119"/>
        <v>293.33333333333394</v>
      </c>
      <c r="CD140" s="59">
        <f ca="1">AVERAGE(OFFSET($CC$3,0,0,'Données projet'!$E$12+1,1))-AVERAGE(OFFSET($H$3,0,0,'Données projet'!$E$12+1,1))</f>
        <v>93.329407403816901</v>
      </c>
      <c r="CE140" s="59">
        <f t="shared" si="148"/>
        <v>90.925148357295313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5.6244781543911957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5.6244781543911957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-2.2737367544323206E-13</v>
      </c>
      <c r="CU140" s="17">
        <f>CT140*VLOOKUP('Données projet'!$B$13,Paramètres!$A$1:$I$89,3,0)*VLOOKUP('Données projet'!$B$13,Paramètres!$A$1:$I$89,5,0)</f>
        <v>-2.1636878955177963E-13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805.04572055352492</v>
      </c>
      <c r="CZ140" s="59">
        <f t="shared" si="150"/>
        <v>708.66645042414962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131.54242907632627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131.54242907632627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-1.1368683772161603E-13</v>
      </c>
      <c r="DP140" s="17">
        <f>DO140*VLOOKUP('Données projet'!$B$14,Paramètres!$A$1:$I$89,3,0)*VLOOKUP('Données projet'!$B$14,Paramètres!$A$1:$I$89,5,0)</f>
        <v>-7.626113074366004E-14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482.69499576870095</v>
      </c>
      <c r="DU140" s="59">
        <f t="shared" si="152"/>
        <v>384.28918352579575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81.371444704967203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81.371444704967203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1.7053025658242404E-13</v>
      </c>
      <c r="EK140" s="17">
        <f>EJ140*VLOOKUP('Données projet'!$B$15,Paramètres!$A$1:$I$89,3,0)*VLOOKUP('Données projet'!$B$15,Paramètres!$A$1:$I$89,5,0)</f>
        <v>1.250327841262333E-13</v>
      </c>
      <c r="EL140" s="13">
        <f t="shared" si="153"/>
        <v>1.8301318724634299E-12</v>
      </c>
      <c r="EM140" s="20">
        <f t="shared" si="127"/>
        <v>3.405245110226996E-12</v>
      </c>
      <c r="EN140" s="59">
        <f t="shared" si="128"/>
        <v>293.33333333333672</v>
      </c>
      <c r="EO140" s="59">
        <f ca="1">AVERAGE(OFFSET($EN$3,0,0,'Données projet'!$E$15+1,1))-AVERAGE(OFFSET($H$3,0,0,'Données projet'!$E$15+1,1))</f>
        <v>197.34725966440715</v>
      </c>
      <c r="EP140" s="59">
        <f t="shared" si="154"/>
        <v>240.16326570529532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7.8112836181031078</v>
      </c>
      <c r="EW140" s="21">
        <f>EXP(-LN(2)/25)*EW139+(1-EXP(-LN(2)/25))/(LN(2)/25)*Calculateur!ER140*Calculateur!ET140*VLOOKUP('Données projet'!$B$15,Paramètres!$A$1:$I$89,3,0)*0.475*44/12</f>
        <v>2.7602696210448867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10.571553239147995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2.2737367544323206E-13</v>
      </c>
      <c r="FF140" s="17">
        <f>FE140*VLOOKUP('Données projet'!$B$16,Paramètres!$A$1:$I$89,3,0)*VLOOKUP('Données projet'!$B$16,Paramètres!$A$1:$I$89,5,0)</f>
        <v>1.2710188457276673E-13</v>
      </c>
      <c r="FG140" s="13">
        <f t="shared" si="155"/>
        <v>1.856866851063998E-12</v>
      </c>
      <c r="FH140" s="20">
        <f t="shared" si="130"/>
        <v>3.4554122145673649E-12</v>
      </c>
      <c r="FI140" s="59">
        <f t="shared" si="131"/>
        <v>293.33333333333678</v>
      </c>
      <c r="FJ140" s="59">
        <f ca="1">AVERAGE(OFFSET($FI$3,0,0,'Données projet'!$E$16+1,1))-AVERAGE(OFFSET($H$3,0,0,'Données projet'!$E$16+1,1))</f>
        <v>346.42094266871379</v>
      </c>
      <c r="FK140" s="59">
        <f t="shared" si="156"/>
        <v>453.48153556975973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37.273241491545399</v>
      </c>
      <c r="FR140" s="21">
        <f>EXP(-LN(2)/25)*FR139+(1-EXP(-LN(2)/25))/(LN(2)/25)*Calculateur!FM140*Calculateur!FO140*VLOOKUP('Données projet'!$B$16,Paramètres!$A$1:$I$89,3,0)*0.475*44/12</f>
        <v>12.47677490054248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49.750016392087879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-1.1368683772161603E-13</v>
      </c>
      <c r="GA140" s="17">
        <f>FZ140*VLOOKUP('Données projet'!$B$17,Paramètres!$A$1:$I$89,3,0)*VLOOKUP('Données projet'!$B$17,Paramètres!$A$1:$I$89,5,0)</f>
        <v>-5.3205440053716299E-14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198.26255998041</v>
      </c>
      <c r="GF140" s="59">
        <f t="shared" si="158"/>
        <v>238.62101708181166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23.891002071610384</v>
      </c>
      <c r="GM140" s="21">
        <f>EXP(-LN(2)/25)*GM139+(1-EXP(-LN(2)/25))/(LN(2)/25)*Calculateur!GH140*Calculateur!GJ140*VLOOKUP('Données projet'!$B$17,Paramètres!$A$1:$I$89,3,0)*0.475*44/12</f>
        <v>7.3634454268333371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31.254447498443721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>
        <f>GU140*VLOOKUP('Données projet'!$B$18,Paramètres!$A$1:$I$89,3,0)*VLOOKUP('Données projet'!$B$18,Paramètres!$A$1:$I$89,5,0)</f>
        <v>0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604.0566904089452</v>
      </c>
      <c r="HA140" s="59">
        <f t="shared" si="160"/>
        <v>369.5187835902687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69.880134214981155</v>
      </c>
      <c r="HH140" s="21">
        <f>EXP(-LN(2)/25)*HH139+(1-EXP(-LN(2)/25))/(LN(2)/25)*Calculateur!HC140*Calculateur!HE140*VLOOKUP('Données projet'!$B$18,Paramètres!$A$1:$I$89,3,0)*0.475*44/12</f>
        <v>20.807264301880146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90.687398516861293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</v>
      </c>
      <c r="N141" s="13">
        <f>IF('Données projet'!$A$36&gt;35,N140+M141-V140,IF(A141&lt;'Données projet'!$A$36,$K$205^A141,IF(A141='Données projet'!$A$36,'Données projet'!$B$36,N140+M141-V140)))</f>
        <v>420.00000000000017</v>
      </c>
      <c r="O141" s="13">
        <f>N141*VLOOKUP('Données projet'!$B$9,Paramètres!$A$1:$I$89,3,0)*VLOOKUP('Données projet'!$B$9,Paramètres!$A$1:$I$89,5,0)</f>
        <v>380.01600000000013</v>
      </c>
      <c r="P141" s="13">
        <f t="shared" si="141"/>
        <v>87.71321062785961</v>
      </c>
      <c r="Q141" s="20">
        <f t="shared" si="108"/>
        <v>814.62837517685568</v>
      </c>
      <c r="R141" s="59">
        <f t="shared" si="109"/>
        <v>1107.9617085101891</v>
      </c>
      <c r="S141" s="59">
        <f ca="1">AVERAGE(OFFSET($R$3,0,0,'Données projet'!$E$9+1,1))-AVERAGE(OFFSET($H$3,0,0,'Données projet'!$E$9+1,1))</f>
        <v>528.20489749461376</v>
      </c>
      <c r="T141" s="59">
        <f t="shared" si="142"/>
        <v>276.26988364830532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51.607394999520828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51.607394999520828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2.2737367544323206E-13</v>
      </c>
      <c r="AJ141" s="13">
        <f>AI141*VLOOKUP('Données projet'!$B$10,Paramètres!$A$1:$I$89,3,0)*VLOOKUP('Données projet'!$B$10,Paramètres!$A$1:$I$89,5,0)</f>
        <v>2.0572770154103635E-13</v>
      </c>
      <c r="AK141" s="13">
        <f t="shared" si="143"/>
        <v>2.8416956338469711E-12</v>
      </c>
      <c r="AL141" s="20">
        <f t="shared" si="112"/>
        <v>5.3075956424674458E-12</v>
      </c>
      <c r="AM141" s="59">
        <f t="shared" si="113"/>
        <v>293.3333333333386</v>
      </c>
      <c r="AN141" s="59">
        <f ca="1">AVERAGE(OFFSET($AM$3,0,0,'Données projet'!$E$10+1,1))-AVERAGE(OFFSET($H$3,0,0,'Données projet'!$E$10+1,1))</f>
        <v>436.23918637269577</v>
      </c>
      <c r="AO141" s="59">
        <f t="shared" si="144"/>
        <v>611.43967996341894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11.576199336237034</v>
      </c>
      <c r="AV141" s="21">
        <f>EXP(-LN(2)/25)*AV140+(1-EXP(-LN(2)/25))/(LN(2)/25)*Calculateur!AQ141*Calculateur!AS141*VLOOKUP('Données projet'!$B$10,Paramètres!$A$1:$I$89,3,0)*0.475*44/12</f>
        <v>3.2848897858701007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14.861089122107135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4.4337866711430253E-14</v>
      </c>
      <c r="BF141" s="13">
        <f t="shared" si="145"/>
        <v>7.3222115536967035E-13</v>
      </c>
      <c r="BG141" s="20">
        <f t="shared" si="115"/>
        <v>1.3525069634579169E-12</v>
      </c>
      <c r="BH141" s="59">
        <f t="shared" si="116"/>
        <v>293.33333333333468</v>
      </c>
      <c r="BI141" s="59">
        <f ca="1">AVERAGE(OFFSET($BH$3,0,0,'Données projet'!$E$11+1,1))-AVERAGE(OFFSET($H$3,0,0,'Données projet'!$E$11+1,1))</f>
        <v>288.82868507674738</v>
      </c>
      <c r="BJ141" s="59">
        <f t="shared" si="146"/>
        <v>283.48738729114024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22.553644982030498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22.553644982030498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2.1316282072803006E-14</v>
      </c>
      <c r="BZ141" s="13">
        <f>BY141*VLOOKUP('Données projet'!$B$12,Paramètres!$A$1:$I$89,3,0)*VLOOKUP('Données projet'!$B$12,Paramètres!$A$1:$I$89,5,0)</f>
        <v>1.8621904018800709E-14</v>
      </c>
      <c r="CA141" s="13">
        <f t="shared" si="147"/>
        <v>3.40208645124969E-13</v>
      </c>
      <c r="CB141" s="20">
        <f t="shared" si="118"/>
        <v>6.2496320642539887E-13</v>
      </c>
      <c r="CC141" s="59">
        <f t="shared" si="119"/>
        <v>293.33333333333394</v>
      </c>
      <c r="CD141" s="59">
        <f ca="1">AVERAGE(OFFSET($CC$3,0,0,'Données projet'!$E$12+1,1))-AVERAGE(OFFSET($H$3,0,0,'Données projet'!$E$12+1,1))</f>
        <v>93.329407403816901</v>
      </c>
      <c r="CE141" s="59">
        <f t="shared" si="148"/>
        <v>90.925148357295313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5.514185568376516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5.514185568376516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-2.2737367544323206E-13</v>
      </c>
      <c r="CU141" s="17">
        <f>CT141*VLOOKUP('Données projet'!$B$13,Paramètres!$A$1:$I$89,3,0)*VLOOKUP('Données projet'!$B$13,Paramètres!$A$1:$I$89,5,0)</f>
        <v>-2.1636878955177963E-13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805.04572055352492</v>
      </c>
      <c r="CZ141" s="59">
        <f t="shared" si="150"/>
        <v>708.66645042414962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128.9629622750989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128.9629622750989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-1.1368683772161603E-13</v>
      </c>
      <c r="DP141" s="17">
        <f>DO141*VLOOKUP('Données projet'!$B$14,Paramètres!$A$1:$I$89,3,0)*VLOOKUP('Données projet'!$B$14,Paramètres!$A$1:$I$89,5,0)</f>
        <v>-7.626113074366004E-14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482.69499576870095</v>
      </c>
      <c r="DU141" s="59">
        <f t="shared" si="152"/>
        <v>384.28918352579575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79.775800305983338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79.775800305983338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1.7053025658242404E-13</v>
      </c>
      <c r="EK141" s="17">
        <f>EJ141*VLOOKUP('Données projet'!$B$15,Paramètres!$A$1:$I$89,3,0)*VLOOKUP('Données projet'!$B$15,Paramètres!$A$1:$I$89,5,0)</f>
        <v>1.250327841262333E-13</v>
      </c>
      <c r="EL141" s="13">
        <f t="shared" si="153"/>
        <v>1.8301318724634299E-12</v>
      </c>
      <c r="EM141" s="20">
        <f t="shared" si="127"/>
        <v>3.405245110226996E-12</v>
      </c>
      <c r="EN141" s="59">
        <f t="shared" si="128"/>
        <v>293.33333333333672</v>
      </c>
      <c r="EO141" s="59">
        <f ca="1">AVERAGE(OFFSET($EN$3,0,0,'Données projet'!$E$15+1,1))-AVERAGE(OFFSET($H$3,0,0,'Données projet'!$E$15+1,1))</f>
        <v>197.34725966440715</v>
      </c>
      <c r="EP141" s="59">
        <f t="shared" si="154"/>
        <v>240.16326570529532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7.6581091107646664</v>
      </c>
      <c r="EW141" s="21">
        <f>EXP(-LN(2)/25)*EW140+(1-EXP(-LN(2)/25))/(LN(2)/25)*Calculateur!ER141*Calculateur!ET141*VLOOKUP('Données projet'!$B$15,Paramètres!$A$1:$I$89,3,0)*0.475*44/12</f>
        <v>2.6847899031011435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10.342899013865811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2.2737367544323206E-13</v>
      </c>
      <c r="FF141" s="17">
        <f>FE141*VLOOKUP('Données projet'!$B$16,Paramètres!$A$1:$I$89,3,0)*VLOOKUP('Données projet'!$B$16,Paramètres!$A$1:$I$89,5,0)</f>
        <v>1.2710188457276673E-13</v>
      </c>
      <c r="FG141" s="13">
        <f t="shared" si="155"/>
        <v>1.856866851063998E-12</v>
      </c>
      <c r="FH141" s="20">
        <f t="shared" si="130"/>
        <v>3.4554122145673649E-12</v>
      </c>
      <c r="FI141" s="59">
        <f t="shared" si="131"/>
        <v>293.33333333333678</v>
      </c>
      <c r="FJ141" s="59">
        <f ca="1">AVERAGE(OFFSET($FI$3,0,0,'Données projet'!$E$16+1,1))-AVERAGE(OFFSET($H$3,0,0,'Données projet'!$E$16+1,1))</f>
        <v>346.42094266871379</v>
      </c>
      <c r="FK141" s="59">
        <f t="shared" si="156"/>
        <v>453.48153556975973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36.542335960328664</v>
      </c>
      <c r="FR141" s="21">
        <f>EXP(-LN(2)/25)*FR140+(1-EXP(-LN(2)/25))/(LN(2)/25)*Calculateur!FM141*Calculateur!FO141*VLOOKUP('Données projet'!$B$16,Paramètres!$A$1:$I$89,3,0)*0.475*44/12</f>
        <v>12.135596834762071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48.677932795090733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-1.1368683772161603E-13</v>
      </c>
      <c r="GA141" s="17">
        <f>FZ141*VLOOKUP('Données projet'!$B$17,Paramètres!$A$1:$I$89,3,0)*VLOOKUP('Données projet'!$B$17,Paramètres!$A$1:$I$89,5,0)</f>
        <v>-5.3205440053716299E-14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198.26255998041</v>
      </c>
      <c r="GF141" s="59">
        <f t="shared" si="158"/>
        <v>238.62101708181166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23.422514093058496</v>
      </c>
      <c r="GM141" s="21">
        <f>EXP(-LN(2)/25)*GM140+(1-EXP(-LN(2)/25))/(LN(2)/25)*Calculateur!GH141*Calculateur!GJ141*VLOOKUP('Données projet'!$B$17,Paramètres!$A$1:$I$89,3,0)*0.475*44/12</f>
        <v>7.1620916244098138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30.58460571746831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>
        <f>GU141*VLOOKUP('Données projet'!$B$18,Paramètres!$A$1:$I$89,3,0)*VLOOKUP('Données projet'!$B$18,Paramètres!$A$1:$I$89,5,0)</f>
        <v>0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604.0566904089452</v>
      </c>
      <c r="HA141" s="59">
        <f t="shared" si="160"/>
        <v>369.5187835902687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68.509827405698601</v>
      </c>
      <c r="HH141" s="21">
        <f>EXP(-LN(2)/25)*HH140+(1-EXP(-LN(2)/25))/(LN(2)/25)*Calculateur!HC141*Calculateur!HE141*VLOOKUP('Données projet'!$B$18,Paramètres!$A$1:$I$89,3,0)*0.475*44/12</f>
        <v>20.23828856533876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88.748115971037365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</v>
      </c>
      <c r="N142" s="13">
        <f>IF('Données projet'!$A$36&gt;35,N141+M142-V141,IF(A142&lt;'Données projet'!$A$36,$K$205^A142,IF(A142='Données projet'!$A$36,'Données projet'!$B$36,N141+M142-V141)))</f>
        <v>427.00000000000017</v>
      </c>
      <c r="O142" s="13">
        <f>N142*VLOOKUP('Données projet'!$B$9,Paramètres!$A$1:$I$89,3,0)*VLOOKUP('Données projet'!$B$9,Paramètres!$A$1:$I$89,5,0)</f>
        <v>386.34960000000012</v>
      </c>
      <c r="P142" s="13">
        <f t="shared" si="141"/>
        <v>89.003688574902966</v>
      </c>
      <c r="Q142" s="20">
        <f t="shared" si="108"/>
        <v>827.90697760128967</v>
      </c>
      <c r="R142" s="59">
        <f t="shared" si="109"/>
        <v>1121.240310934623</v>
      </c>
      <c r="S142" s="59">
        <f ca="1">AVERAGE(OFFSET($R$3,0,0,'Données projet'!$E$9+1,1))-AVERAGE(OFFSET($H$3,0,0,'Données projet'!$E$9+1,1))</f>
        <v>528.20489749461376</v>
      </c>
      <c r="T142" s="59">
        <f t="shared" si="142"/>
        <v>276.26988364830532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50.595405460983038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50.595405460983038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2.2737367544323206E-13</v>
      </c>
      <c r="AJ142" s="13">
        <f>AI142*VLOOKUP('Données projet'!$B$10,Paramètres!$A$1:$I$89,3,0)*VLOOKUP('Données projet'!$B$10,Paramètres!$A$1:$I$89,5,0)</f>
        <v>2.0572770154103635E-13</v>
      </c>
      <c r="AK142" s="13">
        <f t="shared" si="143"/>
        <v>2.8416956338469711E-12</v>
      </c>
      <c r="AL142" s="20">
        <f t="shared" si="112"/>
        <v>5.3075956424674458E-12</v>
      </c>
      <c r="AM142" s="59">
        <f t="shared" si="113"/>
        <v>293.3333333333386</v>
      </c>
      <c r="AN142" s="59">
        <f ca="1">AVERAGE(OFFSET($AM$3,0,0,'Données projet'!$E$10+1,1))-AVERAGE(OFFSET($H$3,0,0,'Données projet'!$E$10+1,1))</f>
        <v>436.23918637269577</v>
      </c>
      <c r="AO142" s="59">
        <f t="shared" si="144"/>
        <v>611.43967996341894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11.349197128037826</v>
      </c>
      <c r="AV142" s="21">
        <f>EXP(-LN(2)/25)*AV141+(1-EXP(-LN(2)/25))/(LN(2)/25)*Calculateur!AQ142*Calculateur!AS142*VLOOKUP('Données projet'!$B$10,Paramètres!$A$1:$I$89,3,0)*0.475*44/12</f>
        <v>3.1950643019306368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14.544261429968463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4.4337866711430253E-14</v>
      </c>
      <c r="BF142" s="13">
        <f t="shared" si="145"/>
        <v>7.3222115536967035E-13</v>
      </c>
      <c r="BG142" s="20">
        <f t="shared" si="115"/>
        <v>1.3525069634579169E-12</v>
      </c>
      <c r="BH142" s="59">
        <f t="shared" si="116"/>
        <v>293.33333333333468</v>
      </c>
      <c r="BI142" s="59">
        <f ca="1">AVERAGE(OFFSET($BH$3,0,0,'Données projet'!$E$11+1,1))-AVERAGE(OFFSET($H$3,0,0,'Données projet'!$E$11+1,1))</f>
        <v>288.82868507674738</v>
      </c>
      <c r="BJ142" s="59">
        <f t="shared" si="146"/>
        <v>283.48738729114024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22.111381760297991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22.111381760297991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2.1316282072803006E-14</v>
      </c>
      <c r="BZ142" s="13">
        <f>BY142*VLOOKUP('Données projet'!$B$12,Paramètres!$A$1:$I$89,3,0)*VLOOKUP('Données projet'!$B$12,Paramètres!$A$1:$I$89,5,0)</f>
        <v>1.8621904018800709E-14</v>
      </c>
      <c r="CA142" s="13">
        <f t="shared" si="147"/>
        <v>3.40208645124969E-13</v>
      </c>
      <c r="CB142" s="20">
        <f t="shared" si="118"/>
        <v>6.2496320642539887E-13</v>
      </c>
      <c r="CC142" s="59">
        <f t="shared" si="119"/>
        <v>293.33333333333394</v>
      </c>
      <c r="CD142" s="59">
        <f ca="1">AVERAGE(OFFSET($CC$3,0,0,'Données projet'!$E$12+1,1))-AVERAGE(OFFSET($H$3,0,0,'Données projet'!$E$12+1,1))</f>
        <v>93.329407403816901</v>
      </c>
      <c r="CE142" s="59">
        <f t="shared" si="148"/>
        <v>90.925148357295313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5.4060557527017492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5.4060557527017492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-2.2737367544323206E-13</v>
      </c>
      <c r="CU142" s="17">
        <f>CT142*VLOOKUP('Données projet'!$B$13,Paramètres!$A$1:$I$89,3,0)*VLOOKUP('Données projet'!$B$13,Paramètres!$A$1:$I$89,5,0)</f>
        <v>-2.1636878955177963E-13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805.04572055352492</v>
      </c>
      <c r="CZ142" s="59">
        <f t="shared" si="150"/>
        <v>708.66645042414962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126.4340772445242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126.4340772445242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-1.1368683772161603E-13</v>
      </c>
      <c r="DP142" s="17">
        <f>DO142*VLOOKUP('Données projet'!$B$14,Paramètres!$A$1:$I$89,3,0)*VLOOKUP('Données projet'!$B$14,Paramètres!$A$1:$I$89,5,0)</f>
        <v>-7.626113074366004E-14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482.69499576870095</v>
      </c>
      <c r="DU142" s="59">
        <f t="shared" si="152"/>
        <v>384.28918352579575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78.211445520416575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78.211445520416575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1.7053025658242404E-13</v>
      </c>
      <c r="EK142" s="17">
        <f>EJ142*VLOOKUP('Données projet'!$B$15,Paramètres!$A$1:$I$89,3,0)*VLOOKUP('Données projet'!$B$15,Paramètres!$A$1:$I$89,5,0)</f>
        <v>1.250327841262333E-13</v>
      </c>
      <c r="EL142" s="13">
        <f t="shared" si="153"/>
        <v>1.8301318724634299E-12</v>
      </c>
      <c r="EM142" s="20">
        <f t="shared" si="127"/>
        <v>3.405245110226996E-12</v>
      </c>
      <c r="EN142" s="59">
        <f t="shared" si="128"/>
        <v>293.33333333333672</v>
      </c>
      <c r="EO142" s="59">
        <f ca="1">AVERAGE(OFFSET($EN$3,0,0,'Données projet'!$E$15+1,1))-AVERAGE(OFFSET($H$3,0,0,'Données projet'!$E$15+1,1))</f>
        <v>197.34725966440715</v>
      </c>
      <c r="EP142" s="59">
        <f t="shared" si="154"/>
        <v>240.16326570529532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7.5079382620879072</v>
      </c>
      <c r="EW142" s="21">
        <f>EXP(-LN(2)/25)*EW141+(1-EXP(-LN(2)/25))/(LN(2)/25)*Calculateur!ER142*Calculateur!ET142*VLOOKUP('Données projet'!$B$15,Paramètres!$A$1:$I$89,3,0)*0.475*44/12</f>
        <v>2.6113741820138778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10.119312444101785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2.2737367544323206E-13</v>
      </c>
      <c r="FF142" s="17">
        <f>FE142*VLOOKUP('Données projet'!$B$16,Paramètres!$A$1:$I$89,3,0)*VLOOKUP('Données projet'!$B$16,Paramètres!$A$1:$I$89,5,0)</f>
        <v>1.2710188457276673E-13</v>
      </c>
      <c r="FG142" s="13">
        <f t="shared" si="155"/>
        <v>1.856866851063998E-12</v>
      </c>
      <c r="FH142" s="20">
        <f t="shared" si="130"/>
        <v>3.4554122145673649E-12</v>
      </c>
      <c r="FI142" s="59">
        <f t="shared" si="131"/>
        <v>293.33333333333678</v>
      </c>
      <c r="FJ142" s="59">
        <f ca="1">AVERAGE(OFFSET($FI$3,0,0,'Données projet'!$E$16+1,1))-AVERAGE(OFFSET($H$3,0,0,'Données projet'!$E$16+1,1))</f>
        <v>346.42094266871379</v>
      </c>
      <c r="FK142" s="59">
        <f t="shared" si="156"/>
        <v>453.48153556975973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35.825763040770738</v>
      </c>
      <c r="FR142" s="21">
        <f>EXP(-LN(2)/25)*FR141+(1-EXP(-LN(2)/25))/(LN(2)/25)*Calculateur!FM142*Calculateur!FO142*VLOOKUP('Données projet'!$B$16,Paramètres!$A$1:$I$89,3,0)*0.475*44/12</f>
        <v>11.803748301132201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47.629511341902941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-1.1368683772161603E-13</v>
      </c>
      <c r="GA142" s="17">
        <f>FZ142*VLOOKUP('Données projet'!$B$17,Paramètres!$A$1:$I$89,3,0)*VLOOKUP('Données projet'!$B$17,Paramètres!$A$1:$I$89,5,0)</f>
        <v>-5.3205440053716299E-14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198.26255998041</v>
      </c>
      <c r="GF142" s="59">
        <f t="shared" si="158"/>
        <v>238.62101708181166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22.963212878016559</v>
      </c>
      <c r="GM142" s="21">
        <f>EXP(-LN(2)/25)*GM141+(1-EXP(-LN(2)/25))/(LN(2)/25)*Calculateur!GH142*Calculateur!GJ142*VLOOKUP('Données projet'!$B$17,Paramètres!$A$1:$I$89,3,0)*0.475*44/12</f>
        <v>6.9662438523022985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29.929456730318858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>
        <f>GU142*VLOOKUP('Données projet'!$B$18,Paramètres!$A$1:$I$89,3,0)*VLOOKUP('Données projet'!$B$18,Paramètres!$A$1:$I$89,5,0)</f>
        <v>0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604.0566904089452</v>
      </c>
      <c r="HA142" s="59">
        <f t="shared" si="160"/>
        <v>369.5187835902687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67.16639147714146</v>
      </c>
      <c r="HH142" s="21">
        <f>EXP(-LN(2)/25)*HH141+(1-EXP(-LN(2)/25))/(LN(2)/25)*Calculateur!HC142*Calculateur!HE142*VLOOKUP('Données projet'!$B$18,Paramètres!$A$1:$I$89,3,0)*0.475*44/12</f>
        <v>19.68487150023423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86.851262977375683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7</v>
      </c>
      <c r="N143" s="13">
        <f>IF('Données projet'!$A$36&gt;35,N142+M143-V142,IF(A143&lt;'Données projet'!$A$36,$K$205^A143,IF(A143='Données projet'!$A$36,'Données projet'!$B$36,N142+M143-V142)))</f>
        <v>434.00000000000017</v>
      </c>
      <c r="O143" s="13">
        <f>N143*VLOOKUP('Données projet'!$B$9,Paramètres!$A$1:$I$89,3,0)*VLOOKUP('Données projet'!$B$9,Paramètres!$A$1:$I$89,5,0)</f>
        <v>392.68320000000017</v>
      </c>
      <c r="P143" s="13">
        <f t="shared" si="141"/>
        <v>90.291706267612213</v>
      </c>
      <c r="Q143" s="20">
        <f t="shared" si="108"/>
        <v>841.18129508275808</v>
      </c>
      <c r="R143" s="59">
        <f t="shared" si="109"/>
        <v>1134.5146284160915</v>
      </c>
      <c r="S143" s="59">
        <f ca="1">AVERAGE(OFFSET($R$3,0,0,'Données projet'!$E$9+1,1))-AVERAGE(OFFSET($H$3,0,0,'Données projet'!$E$9+1,1))</f>
        <v>528.20489749461376</v>
      </c>
      <c r="T143" s="59">
        <f t="shared" si="142"/>
        <v>276.26988364830532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49.603260420043306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49.603260420043306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2.2737367544323206E-13</v>
      </c>
      <c r="AJ143" s="13">
        <f>AI143*VLOOKUP('Données projet'!$B$10,Paramètres!$A$1:$I$89,3,0)*VLOOKUP('Données projet'!$B$10,Paramètres!$A$1:$I$89,5,0)</f>
        <v>2.0572770154103635E-13</v>
      </c>
      <c r="AK143" s="13">
        <f t="shared" si="143"/>
        <v>2.8416956338469711E-12</v>
      </c>
      <c r="AL143" s="20">
        <f t="shared" si="112"/>
        <v>5.3075956424674458E-12</v>
      </c>
      <c r="AM143" s="59">
        <f t="shared" si="113"/>
        <v>293.3333333333386</v>
      </c>
      <c r="AN143" s="59">
        <f ca="1">AVERAGE(OFFSET($AM$3,0,0,'Données projet'!$E$10+1,1))-AVERAGE(OFFSET($H$3,0,0,'Données projet'!$E$10+1,1))</f>
        <v>436.23918637269577</v>
      </c>
      <c r="AO143" s="59">
        <f t="shared" si="144"/>
        <v>611.43967996341894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11.126646294683729</v>
      </c>
      <c r="AV143" s="21">
        <f>EXP(-LN(2)/25)*AV142+(1-EXP(-LN(2)/25))/(LN(2)/25)*Calculateur!AQ143*Calculateur!AS143*VLOOKUP('Données projet'!$B$10,Paramètres!$A$1:$I$89,3,0)*0.475*44/12</f>
        <v>3.1076951005732143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14.234341395256944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4.4337866711430253E-14</v>
      </c>
      <c r="BF143" s="13">
        <f t="shared" si="145"/>
        <v>7.3222115536967035E-13</v>
      </c>
      <c r="BG143" s="20">
        <f t="shared" si="115"/>
        <v>1.3525069634579169E-12</v>
      </c>
      <c r="BH143" s="59">
        <f t="shared" si="116"/>
        <v>293.33333333333468</v>
      </c>
      <c r="BI143" s="59">
        <f ca="1">AVERAGE(OFFSET($BH$3,0,0,'Données projet'!$E$11+1,1))-AVERAGE(OFFSET($H$3,0,0,'Données projet'!$E$11+1,1))</f>
        <v>288.82868507674738</v>
      </c>
      <c r="BJ143" s="59">
        <f t="shared" si="146"/>
        <v>283.48738729114024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21.677791050589729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21.677791050589729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2.1316282072803006E-14</v>
      </c>
      <c r="BZ143" s="13">
        <f>BY143*VLOOKUP('Données projet'!$B$12,Paramètres!$A$1:$I$89,3,0)*VLOOKUP('Données projet'!$B$12,Paramètres!$A$1:$I$89,5,0)</f>
        <v>1.8621904018800709E-14</v>
      </c>
      <c r="CA143" s="13">
        <f t="shared" si="147"/>
        <v>3.40208645124969E-13</v>
      </c>
      <c r="CB143" s="20">
        <f t="shared" si="118"/>
        <v>6.2496320642539887E-13</v>
      </c>
      <c r="CC143" s="59">
        <f t="shared" si="119"/>
        <v>293.33333333333394</v>
      </c>
      <c r="CD143" s="59">
        <f ca="1">AVERAGE(OFFSET($CC$3,0,0,'Données projet'!$E$12+1,1))-AVERAGE(OFFSET($H$3,0,0,'Données projet'!$E$12+1,1))</f>
        <v>93.329407403816901</v>
      </c>
      <c r="CE143" s="59">
        <f t="shared" si="148"/>
        <v>90.925148357295313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5.3000462967596889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5.3000462967596889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-2.2737367544323206E-13</v>
      </c>
      <c r="CU143" s="17">
        <f>CT143*VLOOKUP('Données projet'!$B$13,Paramètres!$A$1:$I$89,3,0)*VLOOKUP('Données projet'!$B$13,Paramètres!$A$1:$I$89,5,0)</f>
        <v>-2.1636878955177963E-13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805.04572055352492</v>
      </c>
      <c r="CZ143" s="59">
        <f t="shared" si="150"/>
        <v>708.66645042414962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123.95478210693152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123.95478210693152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-1.1368683772161603E-13</v>
      </c>
      <c r="DP143" s="17">
        <f>DO143*VLOOKUP('Données projet'!$B$14,Paramètres!$A$1:$I$89,3,0)*VLOOKUP('Données projet'!$B$14,Paramètres!$A$1:$I$89,5,0)</f>
        <v>-7.626113074366004E-14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482.69499576870095</v>
      </c>
      <c r="DU143" s="59">
        <f t="shared" si="152"/>
        <v>384.28918352579575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76.677766778032563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76.677766778032563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1.7053025658242404E-13</v>
      </c>
      <c r="EK143" s="17">
        <f>EJ143*VLOOKUP('Données projet'!$B$15,Paramètres!$A$1:$I$89,3,0)*VLOOKUP('Données projet'!$B$15,Paramètres!$A$1:$I$89,5,0)</f>
        <v>1.250327841262333E-13</v>
      </c>
      <c r="EL143" s="13">
        <f t="shared" si="153"/>
        <v>1.8301318724634299E-12</v>
      </c>
      <c r="EM143" s="20">
        <f t="shared" si="127"/>
        <v>3.405245110226996E-12</v>
      </c>
      <c r="EN143" s="59">
        <f t="shared" si="128"/>
        <v>293.33333333333672</v>
      </c>
      <c r="EO143" s="59">
        <f ca="1">AVERAGE(OFFSET($EN$3,0,0,'Données projet'!$E$15+1,1))-AVERAGE(OFFSET($H$3,0,0,'Données projet'!$E$15+1,1))</f>
        <v>197.34725966440715</v>
      </c>
      <c r="EP143" s="59">
        <f t="shared" si="154"/>
        <v>240.16326570529532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7.360712172158526</v>
      </c>
      <c r="EW143" s="21">
        <f>EXP(-LN(2)/25)*EW142+(1-EXP(-LN(2)/25))/(LN(2)/25)*Calculateur!ER143*Calculateur!ET143*VLOOKUP('Données projet'!$B$15,Paramètres!$A$1:$I$89,3,0)*0.475*44/12</f>
        <v>2.5399660176805083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9.9006781898390344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2.2737367544323206E-13</v>
      </c>
      <c r="FF143" s="17">
        <f>FE143*VLOOKUP('Données projet'!$B$16,Paramètres!$A$1:$I$89,3,0)*VLOOKUP('Données projet'!$B$16,Paramètres!$A$1:$I$89,5,0)</f>
        <v>1.2710188457276673E-13</v>
      </c>
      <c r="FG143" s="13">
        <f t="shared" si="155"/>
        <v>1.856866851063998E-12</v>
      </c>
      <c r="FH143" s="20">
        <f t="shared" si="130"/>
        <v>3.4554122145673649E-12</v>
      </c>
      <c r="FI143" s="59">
        <f t="shared" si="131"/>
        <v>293.33333333333678</v>
      </c>
      <c r="FJ143" s="59">
        <f ca="1">AVERAGE(OFFSET($FI$3,0,0,'Données projet'!$E$16+1,1))-AVERAGE(OFFSET($H$3,0,0,'Données projet'!$E$16+1,1))</f>
        <v>346.42094266871379</v>
      </c>
      <c r="FK143" s="59">
        <f t="shared" si="156"/>
        <v>453.48153556975973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35.123241679099017</v>
      </c>
      <c r="FR143" s="21">
        <f>EXP(-LN(2)/25)*FR142+(1-EXP(-LN(2)/25))/(LN(2)/25)*Calculateur!FM143*Calculateur!FO143*VLOOKUP('Données projet'!$B$16,Paramètres!$A$1:$I$89,3,0)*0.475*44/12</f>
        <v>11.480974183105594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46.604215862204612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-1.1368683772161603E-13</v>
      </c>
      <c r="GA143" s="17">
        <f>FZ143*VLOOKUP('Données projet'!$B$17,Paramètres!$A$1:$I$89,3,0)*VLOOKUP('Données projet'!$B$17,Paramètres!$A$1:$I$89,5,0)</f>
        <v>-5.3205440053716299E-14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198.26255998041</v>
      </c>
      <c r="GF143" s="59">
        <f t="shared" si="158"/>
        <v>238.62101708181166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22.512918279655516</v>
      </c>
      <c r="GM143" s="21">
        <f>EXP(-LN(2)/25)*GM142+(1-EXP(-LN(2)/25))/(LN(2)/25)*Calculateur!GH143*Calculateur!GJ143*VLOOKUP('Données projet'!$B$17,Paramètres!$A$1:$I$89,3,0)*0.475*44/12</f>
        <v>6.7757515478222494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29.288669827477765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>
        <f>GU143*VLOOKUP('Données projet'!$B$18,Paramètres!$A$1:$I$89,3,0)*VLOOKUP('Données projet'!$B$18,Paramètres!$A$1:$I$89,5,0)</f>
        <v>0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604.0566904089452</v>
      </c>
      <c r="HA143" s="59">
        <f t="shared" si="160"/>
        <v>369.5187835902687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65.849299507728318</v>
      </c>
      <c r="HH143" s="21">
        <f>EXP(-LN(2)/25)*HH142+(1-EXP(-LN(2)/25))/(LN(2)/25)*Calculateur!HC143*Calculateur!HE143*VLOOKUP('Données projet'!$B$18,Paramètres!$A$1:$I$89,3,0)*0.475*44/12</f>
        <v>19.146587653877923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84.995887161606248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>
        <f>VLOOKUP(A144,'Données projet'!$A$35:$I$55,2,0)</f>
        <v>441</v>
      </c>
      <c r="L144" s="12">
        <f>VLOOKUP(A144,'Données projet'!$A$35:$I$55,9,0)</f>
        <v>7</v>
      </c>
      <c r="M144" s="12">
        <f t="array" ref="M144">INDEX(L:L,MIN(IF(ISNUMBER(L144:L340),ROW(L144:L340),"")))</f>
        <v>7</v>
      </c>
      <c r="N144" s="13">
        <f>IF('Données projet'!$A$36&gt;35,N143+M144-V143,IF(A144&lt;'Données projet'!$A$36,$K$205^A144,IF(A144='Données projet'!$A$36,'Données projet'!$B$36,N143+M144-V143)))</f>
        <v>441.00000000000017</v>
      </c>
      <c r="O144" s="13">
        <f>N144*VLOOKUP('Données projet'!$B$9,Paramètres!$A$1:$I$89,3,0)*VLOOKUP('Données projet'!$B$9,Paramètres!$A$1:$I$89,5,0)</f>
        <v>399.01680000000016</v>
      </c>
      <c r="P144" s="13">
        <f t="shared" si="141"/>
        <v>91.577307968745046</v>
      </c>
      <c r="Q144" s="20">
        <f t="shared" si="108"/>
        <v>854.45140471223124</v>
      </c>
      <c r="R144" s="59">
        <f t="shared" si="109"/>
        <v>1147.7847380455646</v>
      </c>
      <c r="S144" s="59">
        <f ca="1">AVERAGE(OFFSET($R$3,0,0,'Données projet'!$E$9+1,1))-AVERAGE(OFFSET($H$3,0,0,'Données projet'!$E$9+1,1))</f>
        <v>528.20489749461376</v>
      </c>
      <c r="T144" s="59">
        <f t="shared" si="142"/>
        <v>276.26988364830532</v>
      </c>
      <c r="U144" s="15">
        <f>IF(ISNA(VLOOKUP(A144,'Données projet'!$A$35:$I$55,3,0)),0,VLOOKUP(A144,'Données projet'!$A$35:$I$55,3,0))</f>
        <v>13</v>
      </c>
      <c r="V144" s="15">
        <f>IF(ISNA(VLOOKUP(A144,'Données projet'!$A$35:$I$55,4,0)),0,VLOOKUP(A144,'Données projet'!$A$35:$I$55,4,0))</f>
        <v>45</v>
      </c>
      <c r="W144" s="16">
        <f>IF(ISNA(VLOOKUP(A144,'Données projet'!$A$35:$I$55,5,0)),0%,VLOOKUP(A144,'Données projet'!$A$35:$I$55,5,0)*VLOOKUP('Données projet'!$B$9,Paramètres!$A$1:$I$89,7,0))</f>
        <v>0.25800000000000001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60.243236387258086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60.243236387258086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2.2737367544323206E-13</v>
      </c>
      <c r="AJ144" s="13">
        <f>AI144*VLOOKUP('Données projet'!$B$10,Paramètres!$A$1:$I$89,3,0)*VLOOKUP('Données projet'!$B$10,Paramètres!$A$1:$I$89,5,0)</f>
        <v>2.0572770154103635E-13</v>
      </c>
      <c r="AK144" s="13">
        <f t="shared" si="143"/>
        <v>2.8416956338469711E-12</v>
      </c>
      <c r="AL144" s="20">
        <f t="shared" si="112"/>
        <v>5.3075956424674458E-12</v>
      </c>
      <c r="AM144" s="59">
        <f t="shared" si="113"/>
        <v>293.3333333333386</v>
      </c>
      <c r="AN144" s="59">
        <f ca="1">AVERAGE(OFFSET($AM$3,0,0,'Données projet'!$E$10+1,1))-AVERAGE(OFFSET($H$3,0,0,'Données projet'!$E$10+1,1))</f>
        <v>436.23918637269577</v>
      </c>
      <c r="AO144" s="59">
        <f t="shared" si="144"/>
        <v>611.43967996341894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10.908459547429102</v>
      </c>
      <c r="AV144" s="21">
        <f>EXP(-LN(2)/25)*AV143+(1-EXP(-LN(2)/25))/(LN(2)/25)*Calculateur!AQ144*Calculateur!AS144*VLOOKUP('Données projet'!$B$10,Paramètres!$A$1:$I$89,3,0)*0.475*44/12</f>
        <v>3.0227150146214572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13.931174562050559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4.4337866711430253E-14</v>
      </c>
      <c r="BF144" s="13">
        <f t="shared" si="145"/>
        <v>7.3222115536967035E-13</v>
      </c>
      <c r="BG144" s="20">
        <f t="shared" si="115"/>
        <v>1.3525069634579169E-12</v>
      </c>
      <c r="BH144" s="59">
        <f t="shared" si="116"/>
        <v>293.33333333333468</v>
      </c>
      <c r="BI144" s="59">
        <f ca="1">AVERAGE(OFFSET($BH$3,0,0,'Données projet'!$E$11+1,1))-AVERAGE(OFFSET($H$3,0,0,'Données projet'!$E$11+1,1))</f>
        <v>288.82868507674738</v>
      </c>
      <c r="BJ144" s="59">
        <f t="shared" si="146"/>
        <v>283.48738729114024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21.252702790234625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21.252702790234625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2.1316282072803006E-14</v>
      </c>
      <c r="BZ144" s="13">
        <f>BY144*VLOOKUP('Données projet'!$B$12,Paramètres!$A$1:$I$89,3,0)*VLOOKUP('Données projet'!$B$12,Paramètres!$A$1:$I$89,5,0)</f>
        <v>1.8621904018800709E-14</v>
      </c>
      <c r="CA144" s="13">
        <f t="shared" si="147"/>
        <v>3.40208645124969E-13</v>
      </c>
      <c r="CB144" s="20">
        <f t="shared" si="118"/>
        <v>6.2496320642539887E-13</v>
      </c>
      <c r="CC144" s="59">
        <f t="shared" si="119"/>
        <v>293.33333333333394</v>
      </c>
      <c r="CD144" s="59">
        <f ca="1">AVERAGE(OFFSET($CC$3,0,0,'Données projet'!$E$12+1,1))-AVERAGE(OFFSET($H$3,0,0,'Données projet'!$E$12+1,1))</f>
        <v>93.329407403816901</v>
      </c>
      <c r="CE144" s="59">
        <f t="shared" si="148"/>
        <v>90.925148357295313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5.1961156215892688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5.1961156215892688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-2.2737367544323206E-13</v>
      </c>
      <c r="CU144" s="17">
        <f>CT144*VLOOKUP('Données projet'!$B$13,Paramètres!$A$1:$I$89,3,0)*VLOOKUP('Données projet'!$B$13,Paramètres!$A$1:$I$89,5,0)</f>
        <v>-2.1636878955177963E-13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805.04572055352492</v>
      </c>
      <c r="CZ144" s="59">
        <f t="shared" si="150"/>
        <v>708.66645042414962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121.5241044347663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121.5241044347663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-1.1368683772161603E-13</v>
      </c>
      <c r="DP144" s="17">
        <f>DO144*VLOOKUP('Données projet'!$B$14,Paramètres!$A$1:$I$89,3,0)*VLOOKUP('Données projet'!$B$14,Paramètres!$A$1:$I$89,5,0)</f>
        <v>-7.626113074366004E-14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482.69499576870095</v>
      </c>
      <c r="DU144" s="59">
        <f t="shared" si="152"/>
        <v>384.28918352579575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75.174162540335047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75.174162540335047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1.7053025658242404E-13</v>
      </c>
      <c r="EK144" s="17">
        <f>EJ144*VLOOKUP('Données projet'!$B$15,Paramètres!$A$1:$I$89,3,0)*VLOOKUP('Données projet'!$B$15,Paramètres!$A$1:$I$89,5,0)</f>
        <v>1.250327841262333E-13</v>
      </c>
      <c r="EL144" s="13">
        <f t="shared" si="153"/>
        <v>1.8301318724634299E-12</v>
      </c>
      <c r="EM144" s="20">
        <f t="shared" si="127"/>
        <v>3.405245110226996E-12</v>
      </c>
      <c r="EN144" s="59">
        <f t="shared" si="128"/>
        <v>293.33333333333672</v>
      </c>
      <c r="EO144" s="59">
        <f ca="1">AVERAGE(OFFSET($EN$3,0,0,'Données projet'!$E$15+1,1))-AVERAGE(OFFSET($H$3,0,0,'Données projet'!$E$15+1,1))</f>
        <v>197.34725966440715</v>
      </c>
      <c r="EP144" s="59">
        <f t="shared" si="154"/>
        <v>240.16326570529532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7.2163730960536121</v>
      </c>
      <c r="EW144" s="21">
        <f>EXP(-LN(2)/25)*EW143+(1-EXP(-LN(2)/25))/(LN(2)/25)*Calculateur!ER144*Calculateur!ET144*VLOOKUP('Données projet'!$B$15,Paramètres!$A$1:$I$89,3,0)*0.475*44/12</f>
        <v>2.470510513356027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9.6868836094096391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2.2737367544323206E-13</v>
      </c>
      <c r="FF144" s="17">
        <f>FE144*VLOOKUP('Données projet'!$B$16,Paramètres!$A$1:$I$89,3,0)*VLOOKUP('Données projet'!$B$16,Paramètres!$A$1:$I$89,5,0)</f>
        <v>1.2710188457276673E-13</v>
      </c>
      <c r="FG144" s="13">
        <f t="shared" si="155"/>
        <v>1.856866851063998E-12</v>
      </c>
      <c r="FH144" s="20">
        <f t="shared" si="130"/>
        <v>3.4554122145673649E-12</v>
      </c>
      <c r="FI144" s="59">
        <f t="shared" si="131"/>
        <v>293.33333333333678</v>
      </c>
      <c r="FJ144" s="59">
        <f ca="1">AVERAGE(OFFSET($FI$3,0,0,'Données projet'!$E$16+1,1))-AVERAGE(OFFSET($H$3,0,0,'Données projet'!$E$16+1,1))</f>
        <v>346.42094266871379</v>
      </c>
      <c r="FK144" s="59">
        <f t="shared" si="156"/>
        <v>453.48153556975973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34.434496332833959</v>
      </c>
      <c r="FR144" s="21">
        <f>EXP(-LN(2)/25)*FR143+(1-EXP(-LN(2)/25))/(LN(2)/25)*Calculateur!FM144*Calculateur!FO144*VLOOKUP('Données projet'!$B$16,Paramètres!$A$1:$I$89,3,0)*0.475*44/12</f>
        <v>11.167026340310381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45.601522673144338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-1.1368683772161603E-13</v>
      </c>
      <c r="GA144" s="17">
        <f>FZ144*VLOOKUP('Données projet'!$B$17,Paramètres!$A$1:$I$89,3,0)*VLOOKUP('Données projet'!$B$17,Paramètres!$A$1:$I$89,5,0)</f>
        <v>-5.3205440053716299E-14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198.26255998041</v>
      </c>
      <c r="GF144" s="59">
        <f t="shared" si="158"/>
        <v>238.62101708181166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22.071453683715745</v>
      </c>
      <c r="GM144" s="21">
        <f>EXP(-LN(2)/25)*GM143+(1-EXP(-LN(2)/25))/(LN(2)/25)*Calculateur!GH144*Calculateur!GJ144*VLOOKUP('Données projet'!$B$17,Paramètres!$A$1:$I$89,3,0)*0.475*44/12</f>
        <v>6.5904682654257627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28.661921949141508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>
        <f>GU144*VLOOKUP('Données projet'!$B$18,Paramètres!$A$1:$I$89,3,0)*VLOOKUP('Données projet'!$B$18,Paramètres!$A$1:$I$89,5,0)</f>
        <v>0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604.0566904089452</v>
      </c>
      <c r="HA144" s="59">
        <f t="shared" si="160"/>
        <v>369.5187835902687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64.558034908488594</v>
      </c>
      <c r="HH144" s="21">
        <f>EXP(-LN(2)/25)*HH143+(1-EXP(-LN(2)/25))/(LN(2)/25)*Calculateur!HC144*Calculateur!HE144*VLOOKUP('Données projet'!$B$18,Paramètres!$A$1:$I$89,3,0)*0.475*44/12</f>
        <v>18.623023207607346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83.18105811609594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7.083333333333333</v>
      </c>
      <c r="N145" s="13">
        <f>IF('Données projet'!$A$36&gt;35,N144+M145-V144,IF(A145&lt;'Données projet'!$A$36,$K$205^A145,IF(A145='Données projet'!$A$36,'Données projet'!$B$36,N144+M145-V144)))</f>
        <v>403.08333333333348</v>
      </c>
      <c r="O145" s="13">
        <f>N145*VLOOKUP('Données projet'!$B$9,Paramètres!$A$1:$I$89,3,0)*VLOOKUP('Données projet'!$B$9,Paramètres!$A$1:$I$89,5,0)</f>
        <v>364.70980000000014</v>
      </c>
      <c r="P145" s="13">
        <f t="shared" si="141"/>
        <v>84.58411640879639</v>
      </c>
      <c r="Q145" s="20">
        <f t="shared" si="108"/>
        <v>782.52023774532063</v>
      </c>
      <c r="R145" s="59">
        <f t="shared" si="109"/>
        <v>1075.8535710786539</v>
      </c>
      <c r="S145" s="59">
        <f ca="1">AVERAGE(OFFSET($R$3,0,0,'Données projet'!$E$9+1,1))-AVERAGE(OFFSET($H$3,0,0,'Données projet'!$E$9+1,1))</f>
        <v>528.20489749461376</v>
      </c>
      <c r="T145" s="59">
        <f t="shared" si="142"/>
        <v>276.26988364830532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59.06190326644991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59.06190326644991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2.2737367544323206E-13</v>
      </c>
      <c r="AJ145" s="13">
        <f>AI145*VLOOKUP('Données projet'!$B$10,Paramètres!$A$1:$I$89,3,0)*VLOOKUP('Données projet'!$B$10,Paramètres!$A$1:$I$89,5,0)</f>
        <v>2.0572770154103635E-13</v>
      </c>
      <c r="AK145" s="13">
        <f t="shared" si="143"/>
        <v>2.8416956338469711E-12</v>
      </c>
      <c r="AL145" s="20">
        <f t="shared" si="112"/>
        <v>5.3075956424674458E-12</v>
      </c>
      <c r="AM145" s="59">
        <f t="shared" si="113"/>
        <v>293.3333333333386</v>
      </c>
      <c r="AN145" s="59">
        <f ca="1">AVERAGE(OFFSET($AM$3,0,0,'Données projet'!$E$10+1,1))-AVERAGE(OFFSET($H$3,0,0,'Données projet'!$E$10+1,1))</f>
        <v>436.23918637269577</v>
      </c>
      <c r="AO145" s="59">
        <f t="shared" si="144"/>
        <v>611.43967996341894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10.694551309207363</v>
      </c>
      <c r="AV145" s="21">
        <f>EXP(-LN(2)/25)*AV144+(1-EXP(-LN(2)/25))/(LN(2)/25)*Calculateur!AQ145*Calculateur!AS145*VLOOKUP('Données projet'!$B$10,Paramètres!$A$1:$I$89,3,0)*0.475*44/12</f>
        <v>2.9400587135889595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13.634610022796322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4.4337866711430253E-14</v>
      </c>
      <c r="BF145" s="13">
        <f t="shared" si="145"/>
        <v>7.3222115536967035E-13</v>
      </c>
      <c r="BG145" s="20">
        <f t="shared" si="115"/>
        <v>1.3525069634579169E-12</v>
      </c>
      <c r="BH145" s="59">
        <f t="shared" si="116"/>
        <v>293.33333333333468</v>
      </c>
      <c r="BI145" s="59">
        <f ca="1">AVERAGE(OFFSET($BH$3,0,0,'Données projet'!$E$11+1,1))-AVERAGE(OFFSET($H$3,0,0,'Données projet'!$E$11+1,1))</f>
        <v>288.82868507674738</v>
      </c>
      <c r="BJ145" s="59">
        <f t="shared" si="146"/>
        <v>283.48738729114024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20.835950251386851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20.835950251386851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2.1316282072803006E-14</v>
      </c>
      <c r="BZ145" s="13">
        <f>BY145*VLOOKUP('Données projet'!$B$12,Paramètres!$A$1:$I$89,3,0)*VLOOKUP('Données projet'!$B$12,Paramètres!$A$1:$I$89,5,0)</f>
        <v>1.8621904018800709E-14</v>
      </c>
      <c r="CA145" s="13">
        <f t="shared" si="147"/>
        <v>3.40208645124969E-13</v>
      </c>
      <c r="CB145" s="20">
        <f t="shared" si="118"/>
        <v>6.2496320642539887E-13</v>
      </c>
      <c r="CC145" s="59">
        <f t="shared" si="119"/>
        <v>293.33333333333394</v>
      </c>
      <c r="CD145" s="59">
        <f ca="1">AVERAGE(OFFSET($CC$3,0,0,'Données projet'!$E$12+1,1))-AVERAGE(OFFSET($H$3,0,0,'Données projet'!$E$12+1,1))</f>
        <v>93.329407403816901</v>
      </c>
      <c r="CE145" s="59">
        <f t="shared" si="148"/>
        <v>90.925148357295313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5.0942229635674883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5.0942229635674883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-2.2737367544323206E-13</v>
      </c>
      <c r="CU145" s="17">
        <f>CT145*VLOOKUP('Données projet'!$B$13,Paramètres!$A$1:$I$89,3,0)*VLOOKUP('Données projet'!$B$13,Paramètres!$A$1:$I$89,5,0)</f>
        <v>-2.1636878955177963E-13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805.04572055352492</v>
      </c>
      <c r="CZ145" s="59">
        <f t="shared" si="150"/>
        <v>708.66645042414962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119.14109086918526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119.14109086918526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-1.1368683772161603E-13</v>
      </c>
      <c r="DP145" s="17">
        <f>DO145*VLOOKUP('Données projet'!$B$14,Paramètres!$A$1:$I$89,3,0)*VLOOKUP('Données projet'!$B$14,Paramètres!$A$1:$I$89,5,0)</f>
        <v>-7.626113074366004E-14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482.69499576870095</v>
      </c>
      <c r="DU145" s="59">
        <f t="shared" si="152"/>
        <v>384.28918352579575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73.700043064630748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73.700043064630748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1.7053025658242404E-13</v>
      </c>
      <c r="EK145" s="17">
        <f>EJ145*VLOOKUP('Données projet'!$B$15,Paramètres!$A$1:$I$89,3,0)*VLOOKUP('Données projet'!$B$15,Paramètres!$A$1:$I$89,5,0)</f>
        <v>1.250327841262333E-13</v>
      </c>
      <c r="EL145" s="13">
        <f t="shared" si="153"/>
        <v>1.8301318724634299E-12</v>
      </c>
      <c r="EM145" s="20">
        <f t="shared" si="127"/>
        <v>3.405245110226996E-12</v>
      </c>
      <c r="EN145" s="59">
        <f t="shared" si="128"/>
        <v>293.33333333333672</v>
      </c>
      <c r="EO145" s="59">
        <f ca="1">AVERAGE(OFFSET($EN$3,0,0,'Données projet'!$E$15+1,1))-AVERAGE(OFFSET($H$3,0,0,'Données projet'!$E$15+1,1))</f>
        <v>197.34725966440715</v>
      </c>
      <c r="EP145" s="59">
        <f t="shared" si="154"/>
        <v>240.16326570529532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7.0748644211929719</v>
      </c>
      <c r="EW145" s="21">
        <f>EXP(-LN(2)/25)*EW144+(1-EXP(-LN(2)/25))/(LN(2)/25)*Calculateur!ER145*Calculateur!ET145*VLOOKUP('Données projet'!$B$15,Paramètres!$A$1:$I$89,3,0)*0.475*44/12</f>
        <v>2.4029542734498048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9.4778186946427763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2.2737367544323206E-13</v>
      </c>
      <c r="FF145" s="17">
        <f>FE145*VLOOKUP('Données projet'!$B$16,Paramètres!$A$1:$I$89,3,0)*VLOOKUP('Données projet'!$B$16,Paramètres!$A$1:$I$89,5,0)</f>
        <v>1.2710188457276673E-13</v>
      </c>
      <c r="FG145" s="13">
        <f t="shared" si="155"/>
        <v>1.856866851063998E-12</v>
      </c>
      <c r="FH145" s="20">
        <f t="shared" si="130"/>
        <v>3.4554122145673649E-12</v>
      </c>
      <c r="FI145" s="59">
        <f t="shared" si="131"/>
        <v>293.33333333333678</v>
      </c>
      <c r="FJ145" s="59">
        <f ca="1">AVERAGE(OFFSET($FI$3,0,0,'Données projet'!$E$16+1,1))-AVERAGE(OFFSET($H$3,0,0,'Données projet'!$E$16+1,1))</f>
        <v>346.42094266871379</v>
      </c>
      <c r="FK145" s="59">
        <f t="shared" si="156"/>
        <v>453.48153556975973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33.759256862715979</v>
      </c>
      <c r="FR145" s="21">
        <f>EXP(-LN(2)/25)*FR144+(1-EXP(-LN(2)/25))/(LN(2)/25)*Calculateur!FM145*Calculateur!FO145*VLOOKUP('Données projet'!$B$16,Paramètres!$A$1:$I$89,3,0)*0.475*44/12</f>
        <v>10.8616634177862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44.620920280502176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-1.1368683772161603E-13</v>
      </c>
      <c r="GA145" s="17">
        <f>FZ145*VLOOKUP('Données projet'!$B$17,Paramètres!$A$1:$I$89,3,0)*VLOOKUP('Données projet'!$B$17,Paramètres!$A$1:$I$89,5,0)</f>
        <v>-5.3205440053716299E-14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198.26255998041</v>
      </c>
      <c r="GF145" s="59">
        <f t="shared" si="158"/>
        <v>238.62101708181166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21.638645939235538</v>
      </c>
      <c r="GM145" s="21">
        <f>EXP(-LN(2)/25)*GM144+(1-EXP(-LN(2)/25))/(LN(2)/25)*Calculateur!GH145*Calculateur!GJ145*VLOOKUP('Données projet'!$B$17,Paramètres!$A$1:$I$89,3,0)*0.475*44/12</f>
        <v>6.4102515641300322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28.04889750336557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>
        <f>GU145*VLOOKUP('Données projet'!$B$18,Paramètres!$A$1:$I$89,3,0)*VLOOKUP('Données projet'!$B$18,Paramètres!$A$1:$I$89,5,0)</f>
        <v>0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604.0566904089452</v>
      </c>
      <c r="HA145" s="59">
        <f t="shared" si="160"/>
        <v>369.5187835902687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63.292091220446316</v>
      </c>
      <c r="HH145" s="21">
        <f>EXP(-LN(2)/25)*HH144+(1-EXP(-LN(2)/25))/(LN(2)/25)*Calculateur!HC145*Calculateur!HE145*VLOOKUP('Données projet'!$B$18,Paramètres!$A$1:$I$89,3,0)*0.475*44/12</f>
        <v>18.113775658653097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81.40586687909942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7.083333333333333</v>
      </c>
      <c r="N146" s="13">
        <f>IF('Données projet'!$A$36&gt;35,N145+M146-V145,IF(A146&lt;'Données projet'!$A$36,$K$205^A146,IF(A146='Données projet'!$A$36,'Données projet'!$B$36,N145+M146-V145)))</f>
        <v>410.1666666666668</v>
      </c>
      <c r="O146" s="13">
        <f>N146*VLOOKUP('Données projet'!$B$9,Paramètres!$A$1:$I$89,3,0)*VLOOKUP('Données projet'!$B$9,Paramètres!$A$1:$I$89,5,0)</f>
        <v>371.11880000000014</v>
      </c>
      <c r="P146" s="13">
        <f t="shared" si="141"/>
        <v>85.896152691454745</v>
      </c>
      <c r="Q146" s="20">
        <f t="shared" si="108"/>
        <v>795.96770927095042</v>
      </c>
      <c r="R146" s="59">
        <f t="shared" si="109"/>
        <v>1089.3010426042838</v>
      </c>
      <c r="S146" s="59">
        <f ca="1">AVERAGE(OFFSET($R$3,0,0,'Données projet'!$E$9+1,1))-AVERAGE(OFFSET($H$3,0,0,'Données projet'!$E$9+1,1))</f>
        <v>528.20489749461376</v>
      </c>
      <c r="T146" s="59">
        <f t="shared" si="142"/>
        <v>276.26988364830532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57.903735367598728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57.903735367598728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2.2737367544323206E-13</v>
      </c>
      <c r="AJ146" s="13">
        <f>AI146*VLOOKUP('Données projet'!$B$10,Paramètres!$A$1:$I$89,3,0)*VLOOKUP('Données projet'!$B$10,Paramètres!$A$1:$I$89,5,0)</f>
        <v>2.0572770154103635E-13</v>
      </c>
      <c r="AK146" s="13">
        <f t="shared" si="143"/>
        <v>2.8416956338469711E-12</v>
      </c>
      <c r="AL146" s="20">
        <f t="shared" si="112"/>
        <v>5.3075956424674458E-12</v>
      </c>
      <c r="AM146" s="59">
        <f t="shared" si="113"/>
        <v>293.3333333333386</v>
      </c>
      <c r="AN146" s="59">
        <f ca="1">AVERAGE(OFFSET($AM$3,0,0,'Données projet'!$E$10+1,1))-AVERAGE(OFFSET($H$3,0,0,'Données projet'!$E$10+1,1))</f>
        <v>436.23918637269577</v>
      </c>
      <c r="AO146" s="59">
        <f t="shared" si="144"/>
        <v>611.43967996341894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10.48483768106601</v>
      </c>
      <c r="AV146" s="21">
        <f>EXP(-LN(2)/25)*AV145+(1-EXP(-LN(2)/25))/(LN(2)/25)*Calculateur!AQ146*Calculateur!AS146*VLOOKUP('Données projet'!$B$10,Paramètres!$A$1:$I$89,3,0)*0.475*44/12</f>
        <v>2.8596626534549014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13.344500334520911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4.4337866711430253E-14</v>
      </c>
      <c r="BF146" s="13">
        <f t="shared" si="145"/>
        <v>7.3222115536967035E-13</v>
      </c>
      <c r="BG146" s="20">
        <f t="shared" si="115"/>
        <v>1.3525069634579169E-12</v>
      </c>
      <c r="BH146" s="59">
        <f t="shared" si="116"/>
        <v>293.33333333333468</v>
      </c>
      <c r="BI146" s="59">
        <f ca="1">AVERAGE(OFFSET($BH$3,0,0,'Données projet'!$E$11+1,1))-AVERAGE(OFFSET($H$3,0,0,'Données projet'!$E$11+1,1))</f>
        <v>288.82868507674738</v>
      </c>
      <c r="BJ146" s="59">
        <f t="shared" si="146"/>
        <v>283.48738729114024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20.42736997563193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20.42736997563193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2.1316282072803006E-14</v>
      </c>
      <c r="BZ146" s="13">
        <f>BY146*VLOOKUP('Données projet'!$B$12,Paramètres!$A$1:$I$89,3,0)*VLOOKUP('Données projet'!$B$12,Paramètres!$A$1:$I$89,5,0)</f>
        <v>1.8621904018800709E-14</v>
      </c>
      <c r="CA146" s="13">
        <f t="shared" si="147"/>
        <v>3.40208645124969E-13</v>
      </c>
      <c r="CB146" s="20">
        <f t="shared" si="118"/>
        <v>6.2496320642539887E-13</v>
      </c>
      <c r="CC146" s="59">
        <f t="shared" si="119"/>
        <v>293.33333333333394</v>
      </c>
      <c r="CD146" s="59">
        <f ca="1">AVERAGE(OFFSET($CC$3,0,0,'Données projet'!$E$12+1,1))-AVERAGE(OFFSET($H$3,0,0,'Données projet'!$E$12+1,1))</f>
        <v>93.329407403816901</v>
      </c>
      <c r="CE146" s="59">
        <f t="shared" si="148"/>
        <v>90.925148357295313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4.9943283584211304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4.9943283584211304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-2.2737367544323206E-13</v>
      </c>
      <c r="CU146" s="17">
        <f>CT146*VLOOKUP('Données projet'!$B$13,Paramètres!$A$1:$I$89,3,0)*VLOOKUP('Données projet'!$B$13,Paramètres!$A$1:$I$89,5,0)</f>
        <v>-2.1636878955177963E-13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805.04572055352492</v>
      </c>
      <c r="CZ146" s="59">
        <f t="shared" si="150"/>
        <v>708.66645042414962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116.80480674613051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116.80480674613051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-1.1368683772161603E-13</v>
      </c>
      <c r="DP146" s="17">
        <f>DO146*VLOOKUP('Données projet'!$B$14,Paramètres!$A$1:$I$89,3,0)*VLOOKUP('Données projet'!$B$14,Paramètres!$A$1:$I$89,5,0)</f>
        <v>-7.626113074366004E-14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482.69499576870095</v>
      </c>
      <c r="DU146" s="59">
        <f t="shared" si="152"/>
        <v>384.28918352579575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72.254830172720915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72.254830172720915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1.7053025658242404E-13</v>
      </c>
      <c r="EK146" s="17">
        <f>EJ146*VLOOKUP('Données projet'!$B$15,Paramètres!$A$1:$I$89,3,0)*VLOOKUP('Données projet'!$B$15,Paramètres!$A$1:$I$89,5,0)</f>
        <v>1.250327841262333E-13</v>
      </c>
      <c r="EL146" s="13">
        <f t="shared" si="153"/>
        <v>1.8301318724634299E-12</v>
      </c>
      <c r="EM146" s="20">
        <f t="shared" si="127"/>
        <v>3.405245110226996E-12</v>
      </c>
      <c r="EN146" s="59">
        <f t="shared" si="128"/>
        <v>293.33333333333672</v>
      </c>
      <c r="EO146" s="59">
        <f ca="1">AVERAGE(OFFSET($EN$3,0,0,'Données projet'!$E$15+1,1))-AVERAGE(OFFSET($H$3,0,0,'Données projet'!$E$15+1,1))</f>
        <v>197.34725966440715</v>
      </c>
      <c r="EP146" s="59">
        <f t="shared" si="154"/>
        <v>240.16326570529532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6.9361306451345799</v>
      </c>
      <c r="EW146" s="21">
        <f>EXP(-LN(2)/25)*EW145+(1-EXP(-LN(2)/25))/(LN(2)/25)*Calculateur!ER146*Calculateur!ET146*VLOOKUP('Données projet'!$B$15,Paramètres!$A$1:$I$89,3,0)*0.475*44/12</f>
        <v>2.3372453624764469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9.2733760076110272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2.2737367544323206E-13</v>
      </c>
      <c r="FF146" s="17">
        <f>FE146*VLOOKUP('Données projet'!$B$16,Paramètres!$A$1:$I$89,3,0)*VLOOKUP('Données projet'!$B$16,Paramètres!$A$1:$I$89,5,0)</f>
        <v>1.2710188457276673E-13</v>
      </c>
      <c r="FG146" s="13">
        <f t="shared" si="155"/>
        <v>1.856866851063998E-12</v>
      </c>
      <c r="FH146" s="20">
        <f t="shared" si="130"/>
        <v>3.4554122145673649E-12</v>
      </c>
      <c r="FI146" s="59">
        <f t="shared" si="131"/>
        <v>293.33333333333678</v>
      </c>
      <c r="FJ146" s="59">
        <f ca="1">AVERAGE(OFFSET($FI$3,0,0,'Données projet'!$E$16+1,1))-AVERAGE(OFFSET($H$3,0,0,'Données projet'!$E$16+1,1))</f>
        <v>346.42094266871379</v>
      </c>
      <c r="FK146" s="59">
        <f t="shared" si="156"/>
        <v>453.48153556975973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33.097258426751601</v>
      </c>
      <c r="FR146" s="21">
        <f>EXP(-LN(2)/25)*FR145+(1-EXP(-LN(2)/25))/(LN(2)/25)*Calculateur!FM146*Calculateur!FO146*VLOOKUP('Données projet'!$B$16,Paramètres!$A$1:$I$89,3,0)*0.475*44/12</f>
        <v>10.564650660436783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43.661909087188384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-1.1368683772161603E-13</v>
      </c>
      <c r="GA146" s="17">
        <f>FZ146*VLOOKUP('Données projet'!$B$17,Paramètres!$A$1:$I$89,3,0)*VLOOKUP('Données projet'!$B$17,Paramètres!$A$1:$I$89,5,0)</f>
        <v>-5.3205440053716299E-14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198.26255998041</v>
      </c>
      <c r="GF146" s="59">
        <f t="shared" si="158"/>
        <v>238.62101708181166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21.21432529063793</v>
      </c>
      <c r="GM146" s="21">
        <f>EXP(-LN(2)/25)*GM145+(1-EXP(-LN(2)/25))/(LN(2)/25)*Calculateur!GH146*Calculateur!GJ146*VLOOKUP('Données projet'!$B$17,Paramètres!$A$1:$I$89,3,0)*0.475*44/12</f>
        <v>6.2349628980084173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27.449288188646349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>
        <f>GU146*VLOOKUP('Données projet'!$B$18,Paramètres!$A$1:$I$89,3,0)*VLOOKUP('Données projet'!$B$18,Paramètres!$A$1:$I$89,5,0)</f>
        <v>0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604.0566904089452</v>
      </c>
      <c r="HA146" s="59">
        <f t="shared" si="160"/>
        <v>369.5187835902687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62.050971915977144</v>
      </c>
      <c r="HH146" s="21">
        <f>EXP(-LN(2)/25)*HH145+(1-EXP(-LN(2)/25))/(LN(2)/25)*Calculateur!HC146*Calculateur!HE146*VLOOKUP('Données projet'!$B$18,Paramètres!$A$1:$I$89,3,0)*0.475*44/12</f>
        <v>17.618453510705166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79.669425426682309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7.083333333333333</v>
      </c>
      <c r="N147" s="13">
        <f>IF('Données projet'!$A$36&gt;35,N146+M147-V146,IF(A147&lt;'Données projet'!$A$36,$K$205^A147,IF(A147='Données projet'!$A$36,'Données projet'!$B$36,N146+M147-V146)))</f>
        <v>417.25000000000011</v>
      </c>
      <c r="O147" s="13">
        <f>N147*VLOOKUP('Données projet'!$B$9,Paramètres!$A$1:$I$89,3,0)*VLOOKUP('Données projet'!$B$9,Paramètres!$A$1:$I$89,5,0)</f>
        <v>377.52780000000007</v>
      </c>
      <c r="P147" s="13">
        <f t="shared" si="141"/>
        <v>87.205554083823884</v>
      </c>
      <c r="Q147" s="20">
        <f t="shared" si="108"/>
        <v>809.41059169599328</v>
      </c>
      <c r="R147" s="59">
        <f t="shared" si="109"/>
        <v>1102.7439250293266</v>
      </c>
      <c r="S147" s="59">
        <f ca="1">AVERAGE(OFFSET($R$3,0,0,'Données projet'!$E$9+1,1))-AVERAGE(OFFSET($H$3,0,0,'Données projet'!$E$9+1,1))</f>
        <v>528.20489749461376</v>
      </c>
      <c r="T147" s="59">
        <f t="shared" si="142"/>
        <v>276.26988364830532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56.768278434831352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56.768278434831352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2.2737367544323206E-13</v>
      </c>
      <c r="AJ147" s="13">
        <f>AI147*VLOOKUP('Données projet'!$B$10,Paramètres!$A$1:$I$89,3,0)*VLOOKUP('Données projet'!$B$10,Paramètres!$A$1:$I$89,5,0)</f>
        <v>2.0572770154103635E-13</v>
      </c>
      <c r="AK147" s="13">
        <f t="shared" si="143"/>
        <v>2.8416956338469711E-12</v>
      </c>
      <c r="AL147" s="20">
        <f t="shared" si="112"/>
        <v>5.3075956424674458E-12</v>
      </c>
      <c r="AM147" s="59">
        <f t="shared" si="113"/>
        <v>293.3333333333386</v>
      </c>
      <c r="AN147" s="59">
        <f ca="1">AVERAGE(OFFSET($AM$3,0,0,'Données projet'!$E$10+1,1))-AVERAGE(OFFSET($H$3,0,0,'Données projet'!$E$10+1,1))</f>
        <v>436.23918637269577</v>
      </c>
      <c r="AO147" s="59">
        <f t="shared" si="144"/>
        <v>611.43967996341894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10.279236409259825</v>
      </c>
      <c r="AV147" s="21">
        <f>EXP(-LN(2)/25)*AV146+(1-EXP(-LN(2)/25))/(LN(2)/25)*Calculateur!AQ147*Calculateur!AS147*VLOOKUP('Données projet'!$B$10,Paramètres!$A$1:$I$89,3,0)*0.475*44/12</f>
        <v>2.7814650278130539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13.060701437072879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4.4337866711430253E-14</v>
      </c>
      <c r="BF147" s="13">
        <f t="shared" si="145"/>
        <v>7.3222115536967035E-13</v>
      </c>
      <c r="BG147" s="20">
        <f t="shared" si="115"/>
        <v>1.3525069634579169E-12</v>
      </c>
      <c r="BH147" s="59">
        <f t="shared" si="116"/>
        <v>293.33333333333468</v>
      </c>
      <c r="BI147" s="59">
        <f ca="1">AVERAGE(OFFSET($BH$3,0,0,'Données projet'!$E$11+1,1))-AVERAGE(OFFSET($H$3,0,0,'Données projet'!$E$11+1,1))</f>
        <v>288.82868507674738</v>
      </c>
      <c r="BJ147" s="59">
        <f t="shared" si="146"/>
        <v>283.48738729114024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20.026801709875201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20.026801709875201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2.1316282072803006E-14</v>
      </c>
      <c r="BZ147" s="13">
        <f>BY147*VLOOKUP('Données projet'!$B$12,Paramètres!$A$1:$I$89,3,0)*VLOOKUP('Données projet'!$B$12,Paramètres!$A$1:$I$89,5,0)</f>
        <v>1.8621904018800709E-14</v>
      </c>
      <c r="CA147" s="13">
        <f t="shared" si="147"/>
        <v>3.40208645124969E-13</v>
      </c>
      <c r="CB147" s="20">
        <f t="shared" si="118"/>
        <v>6.2496320642539887E-13</v>
      </c>
      <c r="CC147" s="59">
        <f t="shared" si="119"/>
        <v>293.33333333333394</v>
      </c>
      <c r="CD147" s="59">
        <f ca="1">AVERAGE(OFFSET($CC$3,0,0,'Données projet'!$E$12+1,1))-AVERAGE(OFFSET($H$3,0,0,'Données projet'!$E$12+1,1))</f>
        <v>93.329407403816901</v>
      </c>
      <c r="CE147" s="59">
        <f t="shared" si="148"/>
        <v>90.925148357295313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4.8963926255519992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4.8963926255519992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-2.2737367544323206E-13</v>
      </c>
      <c r="CU147" s="17">
        <f>CT147*VLOOKUP('Données projet'!$B$13,Paramètres!$A$1:$I$89,3,0)*VLOOKUP('Données projet'!$B$13,Paramètres!$A$1:$I$89,5,0)</f>
        <v>-2.1636878955177963E-13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805.04572055352492</v>
      </c>
      <c r="CZ147" s="59">
        <f t="shared" si="150"/>
        <v>708.66645042414962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114.51433572973626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114.51433572973626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-1.1368683772161603E-13</v>
      </c>
      <c r="DP147" s="17">
        <f>DO147*VLOOKUP('Données projet'!$B$14,Paramètres!$A$1:$I$89,3,0)*VLOOKUP('Données projet'!$B$14,Paramètres!$A$1:$I$89,5,0)</f>
        <v>-7.626113074366004E-14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482.69499576870095</v>
      </c>
      <c r="DU147" s="59">
        <f t="shared" si="152"/>
        <v>384.28918352579575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70.837957024128599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70.837957024128599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1.7053025658242404E-13</v>
      </c>
      <c r="EK147" s="17">
        <f>EJ147*VLOOKUP('Données projet'!$B$15,Paramètres!$A$1:$I$89,3,0)*VLOOKUP('Données projet'!$B$15,Paramètres!$A$1:$I$89,5,0)</f>
        <v>1.250327841262333E-13</v>
      </c>
      <c r="EL147" s="13">
        <f t="shared" si="153"/>
        <v>1.8301318724634299E-12</v>
      </c>
      <c r="EM147" s="20">
        <f t="shared" si="127"/>
        <v>3.405245110226996E-12</v>
      </c>
      <c r="EN147" s="59">
        <f t="shared" si="128"/>
        <v>293.33333333333672</v>
      </c>
      <c r="EO147" s="59">
        <f ca="1">AVERAGE(OFFSET($EN$3,0,0,'Données projet'!$E$15+1,1))-AVERAGE(OFFSET($H$3,0,0,'Données projet'!$E$15+1,1))</f>
        <v>197.34725966440715</v>
      </c>
      <c r="EP147" s="59">
        <f t="shared" si="154"/>
        <v>240.16326570529532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6.8001173538054447</v>
      </c>
      <c r="EW147" s="21">
        <f>EXP(-LN(2)/25)*EW146+(1-EXP(-LN(2)/25))/(LN(2)/25)*Calculateur!ER147*Calculateur!ET147*VLOOKUP('Données projet'!$B$15,Paramètres!$A$1:$I$89,3,0)*0.475*44/12</f>
        <v>2.2733332651291365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9.0734506189345812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2.2737367544323206E-13</v>
      </c>
      <c r="FF147" s="17">
        <f>FE147*VLOOKUP('Données projet'!$B$16,Paramètres!$A$1:$I$89,3,0)*VLOOKUP('Données projet'!$B$16,Paramètres!$A$1:$I$89,5,0)</f>
        <v>1.2710188457276673E-13</v>
      </c>
      <c r="FG147" s="13">
        <f t="shared" si="155"/>
        <v>1.856866851063998E-12</v>
      </c>
      <c r="FH147" s="20">
        <f t="shared" si="130"/>
        <v>3.4554122145673649E-12</v>
      </c>
      <c r="FI147" s="59">
        <f t="shared" si="131"/>
        <v>293.33333333333678</v>
      </c>
      <c r="FJ147" s="59">
        <f ca="1">AVERAGE(OFFSET($FI$3,0,0,'Données projet'!$E$16+1,1))-AVERAGE(OFFSET($H$3,0,0,'Données projet'!$E$16+1,1))</f>
        <v>346.42094266871379</v>
      </c>
      <c r="FK147" s="59">
        <f t="shared" si="156"/>
        <v>453.48153556975973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32.448241376337307</v>
      </c>
      <c r="FR147" s="21">
        <f>EXP(-LN(2)/25)*FR146+(1-EXP(-LN(2)/25))/(LN(2)/25)*Calculateur!FM147*Calculateur!FO147*VLOOKUP('Données projet'!$B$16,Paramètres!$A$1:$I$89,3,0)*0.475*44/12</f>
        <v>10.275759732556306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42.724001108893617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-1.1368683772161603E-13</v>
      </c>
      <c r="GA147" s="17">
        <f>FZ147*VLOOKUP('Données projet'!$B$17,Paramètres!$A$1:$I$89,3,0)*VLOOKUP('Données projet'!$B$17,Paramètres!$A$1:$I$89,5,0)</f>
        <v>-5.3205440053716299E-14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198.26255998041</v>
      </c>
      <c r="GF147" s="59">
        <f t="shared" si="158"/>
        <v>238.62101708181166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20.798325311149281</v>
      </c>
      <c r="GM147" s="21">
        <f>EXP(-LN(2)/25)*GM146+(1-EXP(-LN(2)/25))/(LN(2)/25)*Calculateur!GH147*Calculateur!GJ147*VLOOKUP('Données projet'!$B$17,Paramètres!$A$1:$I$89,3,0)*0.475*44/12</f>
        <v>6.0644675096799281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26.86279282082921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>
        <f>GU147*VLOOKUP('Données projet'!$B$18,Paramètres!$A$1:$I$89,3,0)*VLOOKUP('Données projet'!$B$18,Paramètres!$A$1:$I$89,5,0)</f>
        <v>0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604.0566904089452</v>
      </c>
      <c r="HA147" s="59">
        <f t="shared" si="160"/>
        <v>369.5187835902687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60.834190204060583</v>
      </c>
      <c r="HH147" s="21">
        <f>EXP(-LN(2)/25)*HH146+(1-EXP(-LN(2)/25))/(LN(2)/25)*Calculateur!HC147*Calculateur!HE147*VLOOKUP('Données projet'!$B$18,Paramètres!$A$1:$I$89,3,0)*0.475*44/12</f>
        <v>17.136675972940729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77.970866177001312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7.083333333333333</v>
      </c>
      <c r="N148" s="13">
        <f>IF('Données projet'!$A$36&gt;35,N147+M148-V147,IF(A148&lt;'Données projet'!$A$36,$K$205^A148,IF(A148='Données projet'!$A$36,'Données projet'!$B$36,N147+M148-V147)))</f>
        <v>424.33333333333343</v>
      </c>
      <c r="O148" s="13">
        <f>N148*VLOOKUP('Données projet'!$B$9,Paramètres!$A$1:$I$89,3,0)*VLOOKUP('Données projet'!$B$9,Paramètres!$A$1:$I$89,5,0)</f>
        <v>383.93680000000006</v>
      </c>
      <c r="P148" s="13">
        <f t="shared" si="141"/>
        <v>88.512370478571228</v>
      </c>
      <c r="Q148" s="20">
        <f t="shared" si="108"/>
        <v>822.84897191684502</v>
      </c>
      <c r="R148" s="59">
        <f t="shared" si="109"/>
        <v>1116.1823052501784</v>
      </c>
      <c r="S148" s="59">
        <f ca="1">AVERAGE(OFFSET($R$3,0,0,'Données projet'!$E$9+1,1))-AVERAGE(OFFSET($H$3,0,0,'Données projet'!$E$9+1,1))</f>
        <v>528.20489749461376</v>
      </c>
      <c r="T148" s="59">
        <f t="shared" si="142"/>
        <v>276.26988364830532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55.655087119955198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55.655087119955198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2.2737367544323206E-13</v>
      </c>
      <c r="AJ148" s="13">
        <f>AI148*VLOOKUP('Données projet'!$B$10,Paramètres!$A$1:$I$89,3,0)*VLOOKUP('Données projet'!$B$10,Paramètres!$A$1:$I$89,5,0)</f>
        <v>2.0572770154103635E-13</v>
      </c>
      <c r="AK148" s="13">
        <f t="shared" si="143"/>
        <v>2.8416956338469711E-12</v>
      </c>
      <c r="AL148" s="20">
        <f t="shared" si="112"/>
        <v>5.3075956424674458E-12</v>
      </c>
      <c r="AM148" s="59">
        <f t="shared" si="113"/>
        <v>293.3333333333386</v>
      </c>
      <c r="AN148" s="59">
        <f ca="1">AVERAGE(OFFSET($AM$3,0,0,'Données projet'!$E$10+1,1))-AVERAGE(OFFSET($H$3,0,0,'Données projet'!$E$10+1,1))</f>
        <v>436.23918637269577</v>
      </c>
      <c r="AO148" s="59">
        <f t="shared" si="144"/>
        <v>611.43967996341894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10.077666852989367</v>
      </c>
      <c r="AV148" s="21">
        <f>EXP(-LN(2)/25)*AV147+(1-EXP(-LN(2)/25))/(LN(2)/25)*Calculateur!AQ148*Calculateur!AS148*VLOOKUP('Données projet'!$B$10,Paramètres!$A$1:$I$89,3,0)*0.475*44/12</f>
        <v>2.7054057203566173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12.783072573345985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4.4337866711430253E-14</v>
      </c>
      <c r="BF148" s="13">
        <f t="shared" si="145"/>
        <v>7.3222115536967035E-13</v>
      </c>
      <c r="BG148" s="20">
        <f t="shared" si="115"/>
        <v>1.3525069634579169E-12</v>
      </c>
      <c r="BH148" s="59">
        <f t="shared" si="116"/>
        <v>293.33333333333468</v>
      </c>
      <c r="BI148" s="59">
        <f ca="1">AVERAGE(OFFSET($BH$3,0,0,'Données projet'!$E$11+1,1))-AVERAGE(OFFSET($H$3,0,0,'Données projet'!$E$11+1,1))</f>
        <v>288.82868507674738</v>
      </c>
      <c r="BJ148" s="59">
        <f t="shared" si="146"/>
        <v>283.48738729114024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19.634088343487445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19.634088343487445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2.1316282072803006E-14</v>
      </c>
      <c r="BZ148" s="13">
        <f>BY148*VLOOKUP('Données projet'!$B$12,Paramètres!$A$1:$I$89,3,0)*VLOOKUP('Données projet'!$B$12,Paramètres!$A$1:$I$89,5,0)</f>
        <v>1.8621904018800709E-14</v>
      </c>
      <c r="CA148" s="13">
        <f t="shared" si="147"/>
        <v>3.40208645124969E-13</v>
      </c>
      <c r="CB148" s="20">
        <f t="shared" si="118"/>
        <v>6.2496320642539887E-13</v>
      </c>
      <c r="CC148" s="59">
        <f t="shared" si="119"/>
        <v>293.33333333333394</v>
      </c>
      <c r="CD148" s="59">
        <f ca="1">AVERAGE(OFFSET($CC$3,0,0,'Données projet'!$E$12+1,1))-AVERAGE(OFFSET($H$3,0,0,'Données projet'!$E$12+1,1))</f>
        <v>93.329407403816901</v>
      </c>
      <c r="CE148" s="59">
        <f t="shared" si="148"/>
        <v>90.925148357295313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4.8003773526695328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4.8003773526695328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-2.2737367544323206E-13</v>
      </c>
      <c r="CU148" s="17">
        <f>CT148*VLOOKUP('Données projet'!$B$13,Paramètres!$A$1:$I$89,3,0)*VLOOKUP('Données projet'!$B$13,Paramètres!$A$1:$I$89,5,0)</f>
        <v>-2.1636878955177963E-13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805.04572055352492</v>
      </c>
      <c r="CZ148" s="59">
        <f t="shared" si="150"/>
        <v>708.66645042414962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112.26877945292412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112.26877945292412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-1.1368683772161603E-13</v>
      </c>
      <c r="DP148" s="17">
        <f>DO148*VLOOKUP('Données projet'!$B$14,Paramètres!$A$1:$I$89,3,0)*VLOOKUP('Données projet'!$B$14,Paramètres!$A$1:$I$89,5,0)</f>
        <v>-7.626113074366004E-14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482.69499576870095</v>
      </c>
      <c r="DU148" s="59">
        <f t="shared" si="152"/>
        <v>384.28918352579575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69.448867893772899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69.448867893772899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1.7053025658242404E-13</v>
      </c>
      <c r="EK148" s="17">
        <f>EJ148*VLOOKUP('Données projet'!$B$15,Paramètres!$A$1:$I$89,3,0)*VLOOKUP('Données projet'!$B$15,Paramètres!$A$1:$I$89,5,0)</f>
        <v>1.250327841262333E-13</v>
      </c>
      <c r="EL148" s="13">
        <f t="shared" si="153"/>
        <v>1.8301318724634299E-12</v>
      </c>
      <c r="EM148" s="20">
        <f t="shared" si="127"/>
        <v>3.405245110226996E-12</v>
      </c>
      <c r="EN148" s="59">
        <f t="shared" si="128"/>
        <v>293.33333333333672</v>
      </c>
      <c r="EO148" s="59">
        <f ca="1">AVERAGE(OFFSET($EN$3,0,0,'Données projet'!$E$15+1,1))-AVERAGE(OFFSET($H$3,0,0,'Données projet'!$E$15+1,1))</f>
        <v>197.34725966440715</v>
      </c>
      <c r="EP148" s="59">
        <f t="shared" si="154"/>
        <v>240.16326570529532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6.6667712001593582</v>
      </c>
      <c r="EW148" s="21">
        <f>EXP(-LN(2)/25)*EW147+(1-EXP(-LN(2)/25))/(LN(2)/25)*Calculateur!ER148*Calculateur!ET148*VLOOKUP('Données projet'!$B$15,Paramètres!$A$1:$I$89,3,0)*0.475*44/12</f>
        <v>2.2111688474447795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8.8779400476041381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2.2737367544323206E-13</v>
      </c>
      <c r="FF148" s="17">
        <f>FE148*VLOOKUP('Données projet'!$B$16,Paramètres!$A$1:$I$89,3,0)*VLOOKUP('Données projet'!$B$16,Paramètres!$A$1:$I$89,5,0)</f>
        <v>1.2710188457276673E-13</v>
      </c>
      <c r="FG148" s="13">
        <f t="shared" si="155"/>
        <v>1.856866851063998E-12</v>
      </c>
      <c r="FH148" s="20">
        <f t="shared" si="130"/>
        <v>3.4554122145673649E-12</v>
      </c>
      <c r="FI148" s="59">
        <f t="shared" si="131"/>
        <v>293.33333333333678</v>
      </c>
      <c r="FJ148" s="59">
        <f ca="1">AVERAGE(OFFSET($FI$3,0,0,'Données projet'!$E$16+1,1))-AVERAGE(OFFSET($H$3,0,0,'Données projet'!$E$16+1,1))</f>
        <v>346.42094266871379</v>
      </c>
      <c r="FK148" s="59">
        <f t="shared" si="156"/>
        <v>453.48153556975973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31.811951154420328</v>
      </c>
      <c r="FR148" s="21">
        <f>EXP(-LN(2)/25)*FR147+(1-EXP(-LN(2)/25))/(LN(2)/25)*Calculateur!FM148*Calculateur!FO148*VLOOKUP('Données projet'!$B$16,Paramètres!$A$1:$I$89,3,0)*0.475*44/12</f>
        <v>9.994768542290835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41.806719696711163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-1.1368683772161603E-13</v>
      </c>
      <c r="GA148" s="17">
        <f>FZ148*VLOOKUP('Données projet'!$B$17,Paramètres!$A$1:$I$89,3,0)*VLOOKUP('Données projet'!$B$17,Paramètres!$A$1:$I$89,5,0)</f>
        <v>-5.3205440053716299E-14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198.26255998041</v>
      </c>
      <c r="GF148" s="59">
        <f t="shared" si="158"/>
        <v>238.62101708181166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20.390482837523471</v>
      </c>
      <c r="GM148" s="21">
        <f>EXP(-LN(2)/25)*GM147+(1-EXP(-LN(2)/25))/(LN(2)/25)*Calculateur!GH148*Calculateur!GJ148*VLOOKUP('Données projet'!$B$17,Paramètres!$A$1:$I$89,3,0)*0.475*44/12</f>
        <v>5.8986343267112442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26.289117164234717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>
        <f>GU148*VLOOKUP('Données projet'!$B$18,Paramètres!$A$1:$I$89,3,0)*VLOOKUP('Données projet'!$B$18,Paramètres!$A$1:$I$89,5,0)</f>
        <v>0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604.0566904089452</v>
      </c>
      <c r="HA148" s="59">
        <f t="shared" si="160"/>
        <v>369.5187835902687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59.641268839351149</v>
      </c>
      <c r="HH148" s="21">
        <f>EXP(-LN(2)/25)*HH147+(1-EXP(-LN(2)/25))/(LN(2)/25)*Calculateur!HC148*Calculateur!HE148*VLOOKUP('Données projet'!$B$18,Paramètres!$A$1:$I$89,3,0)*0.475*44/12</f>
        <v>16.668072667282043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76.309341506633189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7.083333333333333</v>
      </c>
      <c r="N149" s="13">
        <f>IF('Données projet'!$A$36&gt;35,N148+M149-V148,IF(A149&lt;'Données projet'!$A$36,$K$205^A149,IF(A149='Données projet'!$A$36,'Données projet'!$B$36,N148+M149-V148)))</f>
        <v>431.41666666666674</v>
      </c>
      <c r="O149" s="13">
        <f>N149*VLOOKUP('Données projet'!$B$9,Paramètres!$A$1:$I$89,3,0)*VLOOKUP('Données projet'!$B$9,Paramètres!$A$1:$I$89,5,0)</f>
        <v>390.34580000000005</v>
      </c>
      <c r="P149" s="13">
        <f t="shared" si="141"/>
        <v>89.816650007185359</v>
      </c>
      <c r="Q149" s="20">
        <f t="shared" si="108"/>
        <v>836.28293376251452</v>
      </c>
      <c r="R149" s="59">
        <f t="shared" si="109"/>
        <v>1129.6162670958479</v>
      </c>
      <c r="S149" s="59">
        <f ca="1">AVERAGE(OFFSET($R$3,0,0,'Données projet'!$E$9+1,1))-AVERAGE(OFFSET($H$3,0,0,'Données projet'!$E$9+1,1))</f>
        <v>528.20489749461376</v>
      </c>
      <c r="T149" s="59">
        <f t="shared" si="142"/>
        <v>276.26988364830532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54.563724807784105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54.563724807784105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2.2737367544323206E-13</v>
      </c>
      <c r="AJ149" s="13">
        <f>AI149*VLOOKUP('Données projet'!$B$10,Paramètres!$A$1:$I$89,3,0)*VLOOKUP('Données projet'!$B$10,Paramètres!$A$1:$I$89,5,0)</f>
        <v>2.0572770154103635E-13</v>
      </c>
      <c r="AK149" s="13">
        <f t="shared" si="143"/>
        <v>2.8416956338469711E-12</v>
      </c>
      <c r="AL149" s="20">
        <f t="shared" si="112"/>
        <v>5.3075956424674458E-12</v>
      </c>
      <c r="AM149" s="59">
        <f t="shared" si="113"/>
        <v>293.3333333333386</v>
      </c>
      <c r="AN149" s="59">
        <f ca="1">AVERAGE(OFFSET($AM$3,0,0,'Données projet'!$E$10+1,1))-AVERAGE(OFFSET($H$3,0,0,'Données projet'!$E$10+1,1))</f>
        <v>436.23918637269577</v>
      </c>
      <c r="AO149" s="59">
        <f t="shared" si="144"/>
        <v>611.43967996341894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9.8800499527720831</v>
      </c>
      <c r="AV149" s="21">
        <f>EXP(-LN(2)/25)*AV148+(1-EXP(-LN(2)/25))/(LN(2)/25)*Calculateur!AQ149*Calculateur!AS149*VLOOKUP('Données projet'!$B$10,Paramètres!$A$1:$I$89,3,0)*0.475*44/12</f>
        <v>2.631426258662362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12.511476211434445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4.4337866711430253E-14</v>
      </c>
      <c r="BF149" s="13">
        <f t="shared" si="145"/>
        <v>7.3222115536967035E-13</v>
      </c>
      <c r="BG149" s="20">
        <f t="shared" si="115"/>
        <v>1.3525069634579169E-12</v>
      </c>
      <c r="BH149" s="59">
        <f t="shared" si="116"/>
        <v>293.33333333333468</v>
      </c>
      <c r="BI149" s="59">
        <f ca="1">AVERAGE(OFFSET($BH$3,0,0,'Données projet'!$E$11+1,1))-AVERAGE(OFFSET($H$3,0,0,'Données projet'!$E$11+1,1))</f>
        <v>288.82868507674738</v>
      </c>
      <c r="BJ149" s="59">
        <f t="shared" si="146"/>
        <v>283.48738729114024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19.249075846683052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19.249075846683052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2.1316282072803006E-14</v>
      </c>
      <c r="BZ149" s="13">
        <f>BY149*VLOOKUP('Données projet'!$B$12,Paramètres!$A$1:$I$89,3,0)*VLOOKUP('Données projet'!$B$12,Paramètres!$A$1:$I$89,5,0)</f>
        <v>1.8621904018800709E-14</v>
      </c>
      <c r="CA149" s="13">
        <f t="shared" si="147"/>
        <v>3.40208645124969E-13</v>
      </c>
      <c r="CB149" s="20">
        <f t="shared" si="118"/>
        <v>6.2496320642539887E-13</v>
      </c>
      <c r="CC149" s="59">
        <f t="shared" si="119"/>
        <v>293.33333333333394</v>
      </c>
      <c r="CD149" s="59">
        <f ca="1">AVERAGE(OFFSET($CC$3,0,0,'Données projet'!$E$12+1,1))-AVERAGE(OFFSET($H$3,0,0,'Données projet'!$E$12+1,1))</f>
        <v>93.329407403816901</v>
      </c>
      <c r="CE149" s="59">
        <f t="shared" si="148"/>
        <v>90.925148357295313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4.7062448807247579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4.7062448807247579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-2.2737367544323206E-13</v>
      </c>
      <c r="CU149" s="17">
        <f>CT149*VLOOKUP('Données projet'!$B$13,Paramètres!$A$1:$I$89,3,0)*VLOOKUP('Données projet'!$B$13,Paramètres!$A$1:$I$89,5,0)</f>
        <v>-2.1636878955177963E-13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805.04572055352492</v>
      </c>
      <c r="CZ149" s="59">
        <f t="shared" si="150"/>
        <v>708.66645042414962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110.06725716504619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110.06725716504619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-1.1368683772161603E-13</v>
      </c>
      <c r="DP149" s="17">
        <f>DO149*VLOOKUP('Données projet'!$B$14,Paramètres!$A$1:$I$89,3,0)*VLOOKUP('Données projet'!$B$14,Paramètres!$A$1:$I$89,5,0)</f>
        <v>-7.626113074366004E-14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482.69499576870095</v>
      </c>
      <c r="DU149" s="59">
        <f t="shared" si="152"/>
        <v>384.28918352579575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68.087017954002761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68.087017954002761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1.7053025658242404E-13</v>
      </c>
      <c r="EK149" s="17">
        <f>EJ149*VLOOKUP('Données projet'!$B$15,Paramètres!$A$1:$I$89,3,0)*VLOOKUP('Données projet'!$B$15,Paramètres!$A$1:$I$89,5,0)</f>
        <v>1.250327841262333E-13</v>
      </c>
      <c r="EL149" s="13">
        <f t="shared" si="153"/>
        <v>1.8301318724634299E-12</v>
      </c>
      <c r="EM149" s="20">
        <f t="shared" si="127"/>
        <v>3.405245110226996E-12</v>
      </c>
      <c r="EN149" s="59">
        <f t="shared" si="128"/>
        <v>293.33333333333672</v>
      </c>
      <c r="EO149" s="59">
        <f ca="1">AVERAGE(OFFSET($EN$3,0,0,'Données projet'!$E$15+1,1))-AVERAGE(OFFSET($H$3,0,0,'Données projet'!$E$15+1,1))</f>
        <v>197.34725966440715</v>
      </c>
      <c r="EP149" s="59">
        <f t="shared" si="154"/>
        <v>240.16326570529532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6.5360398832531486</v>
      </c>
      <c r="EW149" s="21">
        <f>EXP(-LN(2)/25)*EW148+(1-EXP(-LN(2)/25))/(LN(2)/25)*Calculateur!ER149*Calculateur!ET149*VLOOKUP('Données projet'!$B$15,Paramètres!$A$1:$I$89,3,0)*0.475*44/12</f>
        <v>2.1507043190310862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8.6867442022842347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2.2737367544323206E-13</v>
      </c>
      <c r="FF149" s="17">
        <f>FE149*VLOOKUP('Données projet'!$B$16,Paramètres!$A$1:$I$89,3,0)*VLOOKUP('Données projet'!$B$16,Paramètres!$A$1:$I$89,5,0)</f>
        <v>1.2710188457276673E-13</v>
      </c>
      <c r="FG149" s="13">
        <f t="shared" si="155"/>
        <v>1.856866851063998E-12</v>
      </c>
      <c r="FH149" s="20">
        <f t="shared" si="130"/>
        <v>3.4554122145673649E-12</v>
      </c>
      <c r="FI149" s="59">
        <f t="shared" si="131"/>
        <v>293.33333333333678</v>
      </c>
      <c r="FJ149" s="59">
        <f ca="1">AVERAGE(OFFSET($FI$3,0,0,'Données projet'!$E$16+1,1))-AVERAGE(OFFSET($H$3,0,0,'Données projet'!$E$16+1,1))</f>
        <v>346.42094266871379</v>
      </c>
      <c r="FK149" s="59">
        <f t="shared" si="156"/>
        <v>453.48153556975973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31.188138195656425</v>
      </c>
      <c r="FR149" s="21">
        <f>EXP(-LN(2)/25)*FR148+(1-EXP(-LN(2)/25))/(LN(2)/25)*Calculateur!FM149*Calculateur!FO149*VLOOKUP('Données projet'!$B$16,Paramètres!$A$1:$I$89,3,0)*0.475*44/12</f>
        <v>9.7214610708998581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40.909599266556285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-1.1368683772161603E-13</v>
      </c>
      <c r="GA149" s="17">
        <f>FZ149*VLOOKUP('Données projet'!$B$17,Paramètres!$A$1:$I$89,3,0)*VLOOKUP('Données projet'!$B$17,Paramètres!$A$1:$I$89,5,0)</f>
        <v>-5.3205440053716299E-14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198.26255998041</v>
      </c>
      <c r="GF149" s="59">
        <f t="shared" si="158"/>
        <v>238.62101708181166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19.990637906046118</v>
      </c>
      <c r="GM149" s="21">
        <f>EXP(-LN(2)/25)*GM148+(1-EXP(-LN(2)/25))/(LN(2)/25)*Calculateur!GH149*Calculateur!GJ149*VLOOKUP('Données projet'!$B$17,Paramètres!$A$1:$I$89,3,0)*0.475*44/12</f>
        <v>5.7373358608516272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25.727973766897744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>
        <f>GU149*VLOOKUP('Données projet'!$B$18,Paramètres!$A$1:$I$89,3,0)*VLOOKUP('Données projet'!$B$18,Paramètres!$A$1:$I$89,5,0)</f>
        <v>0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604.0566904089452</v>
      </c>
      <c r="HA149" s="59">
        <f t="shared" si="160"/>
        <v>369.5187835902687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58.471739934993479</v>
      </c>
      <c r="HH149" s="21">
        <f>EXP(-LN(2)/25)*HH148+(1-EXP(-LN(2)/25))/(LN(2)/25)*Calculateur!HC149*Calculateur!HE149*VLOOKUP('Données projet'!$B$18,Paramètres!$A$1:$I$89,3,0)*0.475*44/12</f>
        <v>16.212283343659369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74.684023278652845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7.083333333333333</v>
      </c>
      <c r="N150" s="13">
        <f>IF('Données projet'!$A$36&gt;35,N149+M150-V149,IF(A150&lt;'Données projet'!$A$36,$K$205^A150,IF(A150='Données projet'!$A$36,'Données projet'!$B$36,N149+M150-V149)))</f>
        <v>438.50000000000006</v>
      </c>
      <c r="O150" s="13">
        <f>N150*VLOOKUP('Données projet'!$B$9,Paramètres!$A$1:$I$89,3,0)*VLOOKUP('Données projet'!$B$9,Paramètres!$A$1:$I$89,5,0)</f>
        <v>396.75480000000005</v>
      </c>
      <c r="P150" s="13">
        <f t="shared" si="141"/>
        <v>91.11843913002123</v>
      </c>
      <c r="Q150" s="20">
        <f t="shared" si="108"/>
        <v>849.71255815145366</v>
      </c>
      <c r="R150" s="59">
        <f t="shared" si="109"/>
        <v>1143.045891484787</v>
      </c>
      <c r="S150" s="59">
        <f ca="1">AVERAGE(OFFSET($R$3,0,0,'Données projet'!$E$9+1,1))-AVERAGE(OFFSET($H$3,0,0,'Données projet'!$E$9+1,1))</f>
        <v>528.20489749461376</v>
      </c>
      <c r="T150" s="59">
        <f t="shared" si="142"/>
        <v>276.26988364830532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53.493763444889403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53.493763444889403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2.2737367544323206E-13</v>
      </c>
      <c r="AJ150" s="13">
        <f>AI150*VLOOKUP('Données projet'!$B$10,Paramètres!$A$1:$I$89,3,0)*VLOOKUP('Données projet'!$B$10,Paramètres!$A$1:$I$89,5,0)</f>
        <v>2.0572770154103635E-13</v>
      </c>
      <c r="AK150" s="13">
        <f t="shared" si="143"/>
        <v>2.8416956338469711E-12</v>
      </c>
      <c r="AL150" s="20">
        <f t="shared" si="112"/>
        <v>5.3075956424674458E-12</v>
      </c>
      <c r="AM150" s="59">
        <f t="shared" si="113"/>
        <v>293.3333333333386</v>
      </c>
      <c r="AN150" s="59">
        <f ca="1">AVERAGE(OFFSET($AM$3,0,0,'Données projet'!$E$10+1,1))-AVERAGE(OFFSET($H$3,0,0,'Données projet'!$E$10+1,1))</f>
        <v>436.23918637269577</v>
      </c>
      <c r="AO150" s="59">
        <f t="shared" si="144"/>
        <v>611.43967996341894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9.6863081994336522</v>
      </c>
      <c r="AV150" s="21">
        <f>EXP(-LN(2)/25)*AV149+(1-EXP(-LN(2)/25))/(LN(2)/25)*Calculateur!AQ150*Calculateur!AS150*VLOOKUP('Données projet'!$B$10,Paramètres!$A$1:$I$89,3,0)*0.475*44/12</f>
        <v>2.5594697692385471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12.245777968672199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4.4337866711430253E-14</v>
      </c>
      <c r="BF150" s="13">
        <f t="shared" si="145"/>
        <v>7.3222115536967035E-13</v>
      </c>
      <c r="BG150" s="20">
        <f t="shared" si="115"/>
        <v>1.3525069634579169E-12</v>
      </c>
      <c r="BH150" s="59">
        <f t="shared" si="116"/>
        <v>293.33333333333468</v>
      </c>
      <c r="BI150" s="59">
        <f ca="1">AVERAGE(OFFSET($BH$3,0,0,'Données projet'!$E$11+1,1))-AVERAGE(OFFSET($H$3,0,0,'Données projet'!$E$11+1,1))</f>
        <v>288.82868507674738</v>
      </c>
      <c r="BJ150" s="59">
        <f t="shared" si="146"/>
        <v>283.48738729114024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18.87161321010656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18.87161321010656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2.1316282072803006E-14</v>
      </c>
      <c r="BZ150" s="13">
        <f>BY150*VLOOKUP('Données projet'!$B$12,Paramètres!$A$1:$I$89,3,0)*VLOOKUP('Données projet'!$B$12,Paramètres!$A$1:$I$89,5,0)</f>
        <v>1.8621904018800709E-14</v>
      </c>
      <c r="CA150" s="13">
        <f t="shared" si="147"/>
        <v>3.40208645124969E-13</v>
      </c>
      <c r="CB150" s="20">
        <f t="shared" si="118"/>
        <v>6.2496320642539887E-13</v>
      </c>
      <c r="CC150" s="59">
        <f t="shared" si="119"/>
        <v>293.33333333333394</v>
      </c>
      <c r="CD150" s="59">
        <f ca="1">AVERAGE(OFFSET($CC$3,0,0,'Données projet'!$E$12+1,1))-AVERAGE(OFFSET($H$3,0,0,'Données projet'!$E$12+1,1))</f>
        <v>93.329407403816901</v>
      </c>
      <c r="CE150" s="59">
        <f t="shared" si="148"/>
        <v>90.925148357295313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4.6139582891396813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4.6139582891396813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-2.2737367544323206E-13</v>
      </c>
      <c r="CU150" s="17">
        <f>CT150*VLOOKUP('Données projet'!$B$13,Paramètres!$A$1:$I$89,3,0)*VLOOKUP('Données projet'!$B$13,Paramètres!$A$1:$I$89,5,0)</f>
        <v>-2.1636878955177963E-13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805.04572055352492</v>
      </c>
      <c r="CZ150" s="59">
        <f t="shared" si="150"/>
        <v>708.66645042414962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107.90890538643752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107.90890538643752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-1.1368683772161603E-13</v>
      </c>
      <c r="DP150" s="17">
        <f>DO150*VLOOKUP('Données projet'!$B$14,Paramètres!$A$1:$I$89,3,0)*VLOOKUP('Données projet'!$B$14,Paramètres!$A$1:$I$89,5,0)</f>
        <v>-7.626113074366004E-14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482.69499576870095</v>
      </c>
      <c r="DU150" s="59">
        <f t="shared" si="152"/>
        <v>384.28918352579575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66.751873060905069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66.751873060905069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1.7053025658242404E-13</v>
      </c>
      <c r="EK150" s="17">
        <f>EJ150*VLOOKUP('Données projet'!$B$15,Paramètres!$A$1:$I$89,3,0)*VLOOKUP('Données projet'!$B$15,Paramètres!$A$1:$I$89,5,0)</f>
        <v>1.250327841262333E-13</v>
      </c>
      <c r="EL150" s="13">
        <f t="shared" si="153"/>
        <v>1.8301318724634299E-12</v>
      </c>
      <c r="EM150" s="20">
        <f t="shared" si="127"/>
        <v>3.405245110226996E-12</v>
      </c>
      <c r="EN150" s="59">
        <f t="shared" si="128"/>
        <v>293.33333333333672</v>
      </c>
      <c r="EO150" s="59">
        <f ca="1">AVERAGE(OFFSET($EN$3,0,0,'Données projet'!$E$15+1,1))-AVERAGE(OFFSET($H$3,0,0,'Données projet'!$E$15+1,1))</f>
        <v>197.34725966440715</v>
      </c>
      <c r="EP150" s="59">
        <f t="shared" si="154"/>
        <v>240.16326570529532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6.4078721277332402</v>
      </c>
      <c r="EW150" s="21">
        <f>EXP(-LN(2)/25)*EW149+(1-EXP(-LN(2)/25))/(LN(2)/25)*Calculateur!ER150*Calculateur!ET150*VLOOKUP('Données projet'!$B$15,Paramètres!$A$1:$I$89,3,0)*0.475*44/12</f>
        <v>2.0918931963265566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8.4997653240597977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2.2737367544323206E-13</v>
      </c>
      <c r="FF150" s="17">
        <f>FE150*VLOOKUP('Données projet'!$B$16,Paramètres!$A$1:$I$89,3,0)*VLOOKUP('Données projet'!$B$16,Paramètres!$A$1:$I$89,5,0)</f>
        <v>1.2710188457276673E-13</v>
      </c>
      <c r="FG150" s="13">
        <f t="shared" si="155"/>
        <v>1.856866851063998E-12</v>
      </c>
      <c r="FH150" s="20">
        <f t="shared" si="130"/>
        <v>3.4554122145673649E-12</v>
      </c>
      <c r="FI150" s="59">
        <f t="shared" si="131"/>
        <v>293.33333333333678</v>
      </c>
      <c r="FJ150" s="59">
        <f ca="1">AVERAGE(OFFSET($FI$3,0,0,'Données projet'!$E$16+1,1))-AVERAGE(OFFSET($H$3,0,0,'Données projet'!$E$16+1,1))</f>
        <v>346.42094266871379</v>
      </c>
      <c r="FK150" s="59">
        <f t="shared" si="156"/>
        <v>453.48153556975973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30.576557828525548</v>
      </c>
      <c r="FR150" s="21">
        <f>EXP(-LN(2)/25)*FR149+(1-EXP(-LN(2)/25))/(LN(2)/25)*Calculateur!FM150*Calculateur!FO150*VLOOKUP('Données projet'!$B$16,Paramètres!$A$1:$I$89,3,0)*0.475*44/12</f>
        <v>9.4556272066866818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40.03218503521223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-1.1368683772161603E-13</v>
      </c>
      <c r="GA150" s="17">
        <f>FZ150*VLOOKUP('Données projet'!$B$17,Paramètres!$A$1:$I$89,3,0)*VLOOKUP('Données projet'!$B$17,Paramètres!$A$1:$I$89,5,0)</f>
        <v>-5.3205440053716299E-14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198.26255998041</v>
      </c>
      <c r="GF150" s="59">
        <f t="shared" si="158"/>
        <v>238.62101708181166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19.598633689793708</v>
      </c>
      <c r="GM150" s="21">
        <f>EXP(-LN(2)/25)*GM149+(1-EXP(-LN(2)/25))/(LN(2)/25)*Calculateur!GH150*Calculateur!GJ150*VLOOKUP('Données projet'!$B$17,Paramètres!$A$1:$I$89,3,0)*0.475*44/12</f>
        <v>5.5804481100232595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25.179081799816966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>
        <f>GU150*VLOOKUP('Données projet'!$B$18,Paramètres!$A$1:$I$89,3,0)*VLOOKUP('Données projet'!$B$18,Paramètres!$A$1:$I$89,5,0)</f>
        <v>0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604.0566904089452</v>
      </c>
      <c r="HA150" s="59">
        <f t="shared" si="160"/>
        <v>369.5187835902687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57.325144779108065</v>
      </c>
      <c r="HH150" s="21">
        <f>EXP(-LN(2)/25)*HH149+(1-EXP(-LN(2)/25))/(LN(2)/25)*Calculateur!HC150*Calculateur!HE150*VLOOKUP('Données projet'!$B$18,Paramètres!$A$1:$I$89,3,0)*0.475*44/12</f>
        <v>15.768957603060075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73.094102382168145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7.083333333333333</v>
      </c>
      <c r="N151" s="13">
        <f>IF('Données projet'!$A$36&gt;35,N150+M151-V150,IF(A151&lt;'Données projet'!$A$36,$K$205^A151,IF(A151='Données projet'!$A$36,'Données projet'!$B$36,N150+M151-V150)))</f>
        <v>445.58333333333337</v>
      </c>
      <c r="O151" s="13">
        <f>N151*VLOOKUP('Données projet'!$B$9,Paramètres!$A$1:$I$89,3,0)*VLOOKUP('Données projet'!$B$9,Paramètres!$A$1:$I$89,5,0)</f>
        <v>403.16380000000004</v>
      </c>
      <c r="P151" s="13">
        <f t="shared" si="141"/>
        <v>92.417782720361856</v>
      </c>
      <c r="Q151" s="20">
        <f t="shared" si="108"/>
        <v>863.13792323796361</v>
      </c>
      <c r="R151" s="59">
        <f t="shared" si="109"/>
        <v>1156.4712565712969</v>
      </c>
      <c r="S151" s="59">
        <f ca="1">AVERAGE(OFFSET($R$3,0,0,'Données projet'!$E$9+1,1))-AVERAGE(OFFSET($H$3,0,0,'Données projet'!$E$9+1,1))</f>
        <v>528.20489749461376</v>
      </c>
      <c r="T151" s="59">
        <f t="shared" si="142"/>
        <v>276.26988364830532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52.444783371709079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52.444783371709079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2.2737367544323206E-13</v>
      </c>
      <c r="AJ151" s="13">
        <f>AI151*VLOOKUP('Données projet'!$B$10,Paramètres!$A$1:$I$89,3,0)*VLOOKUP('Données projet'!$B$10,Paramètres!$A$1:$I$89,5,0)</f>
        <v>2.0572770154103635E-13</v>
      </c>
      <c r="AK151" s="13">
        <f t="shared" si="143"/>
        <v>2.8416956338469711E-12</v>
      </c>
      <c r="AL151" s="20">
        <f t="shared" si="112"/>
        <v>5.3075956424674458E-12</v>
      </c>
      <c r="AM151" s="59">
        <f t="shared" si="113"/>
        <v>293.3333333333386</v>
      </c>
      <c r="AN151" s="59">
        <f ca="1">AVERAGE(OFFSET($AM$3,0,0,'Données projet'!$E$10+1,1))-AVERAGE(OFFSET($H$3,0,0,'Données projet'!$E$10+1,1))</f>
        <v>436.23918637269577</v>
      </c>
      <c r="AO151" s="59">
        <f t="shared" si="144"/>
        <v>611.43967996341894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9.4963656037073871</v>
      </c>
      <c r="AV151" s="21">
        <f>EXP(-LN(2)/25)*AV150+(1-EXP(-LN(2)/25))/(LN(2)/25)*Calculateur!AQ151*Calculateur!AS151*VLOOKUP('Données projet'!$B$10,Paramètres!$A$1:$I$89,3,0)*0.475*44/12</f>
        <v>2.4894809338020534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11.98584653750944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4.4337866711430253E-14</v>
      </c>
      <c r="BF151" s="13">
        <f t="shared" si="145"/>
        <v>7.3222115536967035E-13</v>
      </c>
      <c r="BG151" s="20">
        <f t="shared" si="115"/>
        <v>1.3525069634579169E-12</v>
      </c>
      <c r="BH151" s="59">
        <f t="shared" si="116"/>
        <v>293.33333333333468</v>
      </c>
      <c r="BI151" s="59">
        <f ca="1">AVERAGE(OFFSET($BH$3,0,0,'Données projet'!$E$11+1,1))-AVERAGE(OFFSET($H$3,0,0,'Données projet'!$E$11+1,1))</f>
        <v>288.82868507674738</v>
      </c>
      <c r="BJ151" s="59">
        <f t="shared" si="146"/>
        <v>283.48738729114024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18.501552385603855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18.501552385603855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2.1316282072803006E-14</v>
      </c>
      <c r="BZ151" s="13">
        <f>BY151*VLOOKUP('Données projet'!$B$12,Paramètres!$A$1:$I$89,3,0)*VLOOKUP('Données projet'!$B$12,Paramètres!$A$1:$I$89,5,0)</f>
        <v>1.8621904018800709E-14</v>
      </c>
      <c r="CA151" s="13">
        <f t="shared" si="147"/>
        <v>3.40208645124969E-13</v>
      </c>
      <c r="CB151" s="20">
        <f t="shared" si="118"/>
        <v>6.2496320642539887E-13</v>
      </c>
      <c r="CC151" s="59">
        <f t="shared" si="119"/>
        <v>293.33333333333394</v>
      </c>
      <c r="CD151" s="59">
        <f ca="1">AVERAGE(OFFSET($CC$3,0,0,'Données projet'!$E$12+1,1))-AVERAGE(OFFSET($H$3,0,0,'Données projet'!$E$12+1,1))</f>
        <v>93.329407403816901</v>
      </c>
      <c r="CE151" s="59">
        <f t="shared" si="148"/>
        <v>90.925148357295313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4.5234813813263255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4.5234813813263255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-2.2737367544323206E-13</v>
      </c>
      <c r="CU151" s="17">
        <f>CT151*VLOOKUP('Données projet'!$B$13,Paramètres!$A$1:$I$89,3,0)*VLOOKUP('Données projet'!$B$13,Paramètres!$A$1:$I$89,5,0)</f>
        <v>-2.1636878955177963E-13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805.04572055352492</v>
      </c>
      <c r="CZ151" s="59">
        <f t="shared" si="150"/>
        <v>708.66645042414962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105.79287756974279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105.79287756974279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-1.1368683772161603E-13</v>
      </c>
      <c r="DP151" s="17">
        <f>DO151*VLOOKUP('Données projet'!$B$14,Paramètres!$A$1:$I$89,3,0)*VLOOKUP('Données projet'!$B$14,Paramètres!$A$1:$I$89,5,0)</f>
        <v>-7.626113074366004E-14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482.69499576870095</v>
      </c>
      <c r="DU151" s="59">
        <f t="shared" si="152"/>
        <v>384.28918352579575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65.442909544803058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65.442909544803058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1.7053025658242404E-13</v>
      </c>
      <c r="EK151" s="17">
        <f>EJ151*VLOOKUP('Données projet'!$B$15,Paramètres!$A$1:$I$89,3,0)*VLOOKUP('Données projet'!$B$15,Paramètres!$A$1:$I$89,5,0)</f>
        <v>1.250327841262333E-13</v>
      </c>
      <c r="EL151" s="13">
        <f t="shared" si="153"/>
        <v>1.8301318724634299E-12</v>
      </c>
      <c r="EM151" s="20">
        <f t="shared" si="127"/>
        <v>3.405245110226996E-12</v>
      </c>
      <c r="EN151" s="59">
        <f t="shared" si="128"/>
        <v>293.33333333333672</v>
      </c>
      <c r="EO151" s="59">
        <f ca="1">AVERAGE(OFFSET($EN$3,0,0,'Données projet'!$E$15+1,1))-AVERAGE(OFFSET($H$3,0,0,'Données projet'!$E$15+1,1))</f>
        <v>197.34725966440715</v>
      </c>
      <c r="EP151" s="59">
        <f t="shared" si="154"/>
        <v>240.16326570529532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6.2822176637244649</v>
      </c>
      <c r="EW151" s="21">
        <f>EXP(-LN(2)/25)*EW150+(1-EXP(-LN(2)/25))/(LN(2)/25)*Calculateur!ER151*Calculateur!ET151*VLOOKUP('Données projet'!$B$15,Paramètres!$A$1:$I$89,3,0)*0.475*44/12</f>
        <v>2.0346902668651246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8.3169079305895899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2.2737367544323206E-13</v>
      </c>
      <c r="FF151" s="17">
        <f>FE151*VLOOKUP('Données projet'!$B$16,Paramètres!$A$1:$I$89,3,0)*VLOOKUP('Données projet'!$B$16,Paramètres!$A$1:$I$89,5,0)</f>
        <v>1.2710188457276673E-13</v>
      </c>
      <c r="FG151" s="13">
        <f t="shared" si="155"/>
        <v>1.856866851063998E-12</v>
      </c>
      <c r="FH151" s="20">
        <f t="shared" si="130"/>
        <v>3.4554122145673649E-12</v>
      </c>
      <c r="FI151" s="59">
        <f t="shared" si="131"/>
        <v>293.33333333333678</v>
      </c>
      <c r="FJ151" s="59">
        <f ca="1">AVERAGE(OFFSET($FI$3,0,0,'Données projet'!$E$16+1,1))-AVERAGE(OFFSET($H$3,0,0,'Données projet'!$E$16+1,1))</f>
        <v>346.42094266871379</v>
      </c>
      <c r="FK151" s="59">
        <f t="shared" si="156"/>
        <v>453.48153556975973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29.976970179366916</v>
      </c>
      <c r="FR151" s="21">
        <f>EXP(-LN(2)/25)*FR150+(1-EXP(-LN(2)/25))/(LN(2)/25)*Calculateur!FM151*Calculateur!FO151*VLOOKUP('Données projet'!$B$16,Paramètres!$A$1:$I$89,3,0)*0.475*44/12</f>
        <v>9.1970625834700108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39.17403276283693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-1.1368683772161603E-13</v>
      </c>
      <c r="GA151" s="17">
        <f>FZ151*VLOOKUP('Données projet'!$B$17,Paramètres!$A$1:$I$89,3,0)*VLOOKUP('Données projet'!$B$17,Paramètres!$A$1:$I$89,5,0)</f>
        <v>-5.3205440053716299E-14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198.26255998041</v>
      </c>
      <c r="GF151" s="59">
        <f t="shared" si="158"/>
        <v>238.62101708181166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19.214316437123045</v>
      </c>
      <c r="GM151" s="21">
        <f>EXP(-LN(2)/25)*GM150+(1-EXP(-LN(2)/25))/(LN(2)/25)*Calculateur!GH151*Calculateur!GJ151*VLOOKUP('Données projet'!$B$17,Paramètres!$A$1:$I$89,3,0)*0.475*44/12</f>
        <v>5.4278504629916613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24.642166900114706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>
        <f>GU151*VLOOKUP('Données projet'!$B$18,Paramètres!$A$1:$I$89,3,0)*VLOOKUP('Données projet'!$B$18,Paramètres!$A$1:$I$89,5,0)</f>
        <v>0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604.0566904089452</v>
      </c>
      <c r="HA151" s="59">
        <f t="shared" si="160"/>
        <v>369.5187835902687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56.201033654875573</v>
      </c>
      <c r="HH151" s="21">
        <f>EXP(-LN(2)/25)*HH150+(1-EXP(-LN(2)/25))/(LN(2)/25)*Calculateur!HC151*Calculateur!HE151*VLOOKUP('Données projet'!$B$18,Paramètres!$A$1:$I$89,3,0)*0.475*44/12</f>
        <v>15.337754628150957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71.538788283026534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7.083333333333333</v>
      </c>
      <c r="N152" s="13">
        <f>IF('Données projet'!$A$36&gt;35,N151+M152-V151,IF(A152&lt;'Données projet'!$A$36,$K$205^A152,IF(A152='Données projet'!$A$36,'Données projet'!$B$36,N151+M152-V151)))</f>
        <v>452.66666666666669</v>
      </c>
      <c r="O152" s="13">
        <f>N152*VLOOKUP('Données projet'!$B$9,Paramètres!$A$1:$I$89,3,0)*VLOOKUP('Données projet'!$B$9,Paramètres!$A$1:$I$89,5,0)</f>
        <v>409.57280000000003</v>
      </c>
      <c r="P152" s="13">
        <f t="shared" si="141"/>
        <v>93.714724142983769</v>
      </c>
      <c r="Q152" s="20">
        <f t="shared" si="108"/>
        <v>876.55910454903005</v>
      </c>
      <c r="R152" s="59">
        <f t="shared" si="109"/>
        <v>1169.8924378823633</v>
      </c>
      <c r="S152" s="59">
        <f ca="1">AVERAGE(OFFSET($R$3,0,0,'Données projet'!$E$9+1,1))-AVERAGE(OFFSET($H$3,0,0,'Données projet'!$E$9+1,1))</f>
        <v>528.20489749461376</v>
      </c>
      <c r="T152" s="59">
        <f t="shared" si="142"/>
        <v>276.26988364830532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51.416373157949153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51.416373157949153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2.2737367544323206E-13</v>
      </c>
      <c r="AJ152" s="13">
        <f>AI152*VLOOKUP('Données projet'!$B$10,Paramètres!$A$1:$I$89,3,0)*VLOOKUP('Données projet'!$B$10,Paramètres!$A$1:$I$89,5,0)</f>
        <v>2.0572770154103635E-13</v>
      </c>
      <c r="AK152" s="13">
        <f t="shared" si="143"/>
        <v>2.8416956338469711E-12</v>
      </c>
      <c r="AL152" s="20">
        <f t="shared" si="112"/>
        <v>5.3075956424674458E-12</v>
      </c>
      <c r="AM152" s="59">
        <f t="shared" si="113"/>
        <v>293.3333333333386</v>
      </c>
      <c r="AN152" s="59">
        <f ca="1">AVERAGE(OFFSET($AM$3,0,0,'Données projet'!$E$10+1,1))-AVERAGE(OFFSET($H$3,0,0,'Données projet'!$E$10+1,1))</f>
        <v>436.23918637269577</v>
      </c>
      <c r="AO152" s="59">
        <f t="shared" si="144"/>
        <v>611.43967996341894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9.3101476664297707</v>
      </c>
      <c r="AV152" s="21">
        <f>EXP(-LN(2)/25)*AV151+(1-EXP(-LN(2)/25))/(LN(2)/25)*Calculateur!AQ152*Calculateur!AS152*VLOOKUP('Données projet'!$B$10,Paramètres!$A$1:$I$89,3,0)*0.475*44/12</f>
        <v>2.4214059467511238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11.731553613180894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4.4337866711430253E-14</v>
      </c>
      <c r="BF152" s="13">
        <f t="shared" si="145"/>
        <v>7.3222115536967035E-13</v>
      </c>
      <c r="BG152" s="20">
        <f t="shared" si="115"/>
        <v>1.3525069634579169E-12</v>
      </c>
      <c r="BH152" s="59">
        <f t="shared" si="116"/>
        <v>293.33333333333468</v>
      </c>
      <c r="BI152" s="59">
        <f ca="1">AVERAGE(OFFSET($BH$3,0,0,'Données projet'!$E$11+1,1))-AVERAGE(OFFSET($H$3,0,0,'Données projet'!$E$11+1,1))</f>
        <v>288.82868507674738</v>
      </c>
      <c r="BJ152" s="59">
        <f t="shared" si="146"/>
        <v>283.48738729114024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18.138748228154835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18.138748228154835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2.1316282072803006E-14</v>
      </c>
      <c r="BZ152" s="13">
        <f>BY152*VLOOKUP('Données projet'!$B$12,Paramètres!$A$1:$I$89,3,0)*VLOOKUP('Données projet'!$B$12,Paramètres!$A$1:$I$89,5,0)</f>
        <v>1.8621904018800709E-14</v>
      </c>
      <c r="CA152" s="13">
        <f t="shared" si="147"/>
        <v>3.40208645124969E-13</v>
      </c>
      <c r="CB152" s="20">
        <f t="shared" si="118"/>
        <v>6.2496320642539887E-13</v>
      </c>
      <c r="CC152" s="59">
        <f t="shared" si="119"/>
        <v>293.33333333333394</v>
      </c>
      <c r="CD152" s="59">
        <f ca="1">AVERAGE(OFFSET($CC$3,0,0,'Données projet'!$E$12+1,1))-AVERAGE(OFFSET($H$3,0,0,'Données projet'!$E$12+1,1))</f>
        <v>93.329407403816901</v>
      </c>
      <c r="CE152" s="59">
        <f t="shared" si="148"/>
        <v>90.925148357295313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4.4347786704897247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4.4347786704897247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-2.2737367544323206E-13</v>
      </c>
      <c r="CU152" s="17">
        <f>CT152*VLOOKUP('Données projet'!$B$13,Paramètres!$A$1:$I$89,3,0)*VLOOKUP('Données projet'!$B$13,Paramètres!$A$1:$I$89,5,0)</f>
        <v>-2.1636878955177963E-13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805.04572055352492</v>
      </c>
      <c r="CZ152" s="59">
        <f t="shared" si="150"/>
        <v>708.66645042414962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103.71834376788391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103.71834376788391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-1.1368683772161603E-13</v>
      </c>
      <c r="DP152" s="17">
        <f>DO152*VLOOKUP('Données projet'!$B$14,Paramètres!$A$1:$I$89,3,0)*VLOOKUP('Données projet'!$B$14,Paramètres!$A$1:$I$89,5,0)</f>
        <v>-7.626113074366004E-14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482.69499576870095</v>
      </c>
      <c r="DU152" s="59">
        <f t="shared" si="152"/>
        <v>384.28918352579575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64.159614004862888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64.159614004862888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1.7053025658242404E-13</v>
      </c>
      <c r="EK152" s="17">
        <f>EJ152*VLOOKUP('Données projet'!$B$15,Paramètres!$A$1:$I$89,3,0)*VLOOKUP('Données projet'!$B$15,Paramètres!$A$1:$I$89,5,0)</f>
        <v>1.250327841262333E-13</v>
      </c>
      <c r="EL152" s="13">
        <f t="shared" si="153"/>
        <v>1.8301318724634299E-12</v>
      </c>
      <c r="EM152" s="20">
        <f t="shared" si="127"/>
        <v>3.405245110226996E-12</v>
      </c>
      <c r="EN152" s="59">
        <f t="shared" si="128"/>
        <v>293.33333333333672</v>
      </c>
      <c r="EO152" s="59">
        <f ca="1">AVERAGE(OFFSET($EN$3,0,0,'Données projet'!$E$15+1,1))-AVERAGE(OFFSET($H$3,0,0,'Données projet'!$E$15+1,1))</f>
        <v>197.34725966440715</v>
      </c>
      <c r="EP152" s="59">
        <f t="shared" si="154"/>
        <v>240.16326570529532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6.1590272071132466</v>
      </c>
      <c r="EW152" s="21">
        <f>EXP(-LN(2)/25)*EW151+(1-EXP(-LN(2)/25))/(LN(2)/25)*Calculateur!ER152*Calculateur!ET152*VLOOKUP('Données projet'!$B$15,Paramètres!$A$1:$I$89,3,0)*0.475*44/12</f>
        <v>1.979051554517987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8.1380787616312329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2.2737367544323206E-13</v>
      </c>
      <c r="FF152" s="17">
        <f>FE152*VLOOKUP('Données projet'!$B$16,Paramètres!$A$1:$I$89,3,0)*VLOOKUP('Données projet'!$B$16,Paramètres!$A$1:$I$89,5,0)</f>
        <v>1.2710188457276673E-13</v>
      </c>
      <c r="FG152" s="13">
        <f t="shared" si="155"/>
        <v>1.856866851063998E-12</v>
      </c>
      <c r="FH152" s="20">
        <f t="shared" si="130"/>
        <v>3.4554122145673649E-12</v>
      </c>
      <c r="FI152" s="59">
        <f t="shared" si="131"/>
        <v>293.33333333333678</v>
      </c>
      <c r="FJ152" s="59">
        <f ca="1">AVERAGE(OFFSET($FI$3,0,0,'Données projet'!$E$16+1,1))-AVERAGE(OFFSET($H$3,0,0,'Données projet'!$E$16+1,1))</f>
        <v>346.42094266871379</v>
      </c>
      <c r="FK152" s="59">
        <f t="shared" si="156"/>
        <v>453.48153556975973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29.389140078295931</v>
      </c>
      <c r="FR152" s="21">
        <f>EXP(-LN(2)/25)*FR151+(1-EXP(-LN(2)/25))/(LN(2)/25)*Calculateur!FM152*Calculateur!FO152*VLOOKUP('Données projet'!$B$16,Paramètres!$A$1:$I$89,3,0)*0.475*44/12</f>
        <v>8.9455684234725226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38.334708501768453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-1.1368683772161603E-13</v>
      </c>
      <c r="GA152" s="17">
        <f>FZ152*VLOOKUP('Données projet'!$B$17,Paramètres!$A$1:$I$89,3,0)*VLOOKUP('Données projet'!$B$17,Paramètres!$A$1:$I$89,5,0)</f>
        <v>-5.3205440053716299E-14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198.26255998041</v>
      </c>
      <c r="GF152" s="59">
        <f t="shared" si="158"/>
        <v>238.62101708181166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18.837535411366876</v>
      </c>
      <c r="GM152" s="21">
        <f>EXP(-LN(2)/25)*GM151+(1-EXP(-LN(2)/25))/(LN(2)/25)*Calculateur!GH152*Calculateur!GJ152*VLOOKUP('Données projet'!$B$17,Paramètres!$A$1:$I$89,3,0)*0.475*44/12</f>
        <v>5.2794256066429037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24.116961018009778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>
        <f>GU152*VLOOKUP('Données projet'!$B$18,Paramètres!$A$1:$I$89,3,0)*VLOOKUP('Données projet'!$B$18,Paramètres!$A$1:$I$89,5,0)</f>
        <v>0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604.0566904089452</v>
      </c>
      <c r="HA152" s="59">
        <f t="shared" si="160"/>
        <v>369.5187835902687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55.098965664149198</v>
      </c>
      <c r="HH152" s="21">
        <f>EXP(-LN(2)/25)*HH151+(1-EXP(-LN(2)/25))/(LN(2)/25)*Calculateur!HC152*Calculateur!HE152*VLOOKUP('Données projet'!$B$18,Paramètres!$A$1:$I$89,3,0)*0.475*44/12</f>
        <v>14.918342921266708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70.017308585415904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7.083333333333333</v>
      </c>
      <c r="N153" s="13">
        <f>IF('Données projet'!$A$36&gt;35,N152+M153-V152,IF(A153&lt;'Données projet'!$A$36,$K$205^A153,IF(A153='Données projet'!$A$36,'Données projet'!$B$36,N152+M153-V152)))</f>
        <v>459.75</v>
      </c>
      <c r="O153" s="13">
        <f>N153*VLOOKUP('Données projet'!$B$9,Paramètres!$A$1:$I$89,3,0)*VLOOKUP('Données projet'!$B$9,Paramètres!$A$1:$I$89,5,0)</f>
        <v>415.98179999999996</v>
      </c>
      <c r="P153" s="13">
        <f t="shared" si="141"/>
        <v>95.009305327664592</v>
      </c>
      <c r="Q153" s="20">
        <f t="shared" si="108"/>
        <v>889.9761751123491</v>
      </c>
      <c r="R153" s="59">
        <f t="shared" si="109"/>
        <v>1183.3095084456825</v>
      </c>
      <c r="S153" s="59">
        <f ca="1">AVERAGE(OFFSET($R$3,0,0,'Données projet'!$E$9+1,1))-AVERAGE(OFFSET($H$3,0,0,'Données projet'!$E$9+1,1))</f>
        <v>528.20489749461376</v>
      </c>
      <c r="T153" s="59">
        <f t="shared" si="142"/>
        <v>276.26988364830532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50.408129441212765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50.408129441212765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2.2737367544323206E-13</v>
      </c>
      <c r="AJ153" s="13">
        <f>AI153*VLOOKUP('Données projet'!$B$10,Paramètres!$A$1:$I$89,3,0)*VLOOKUP('Données projet'!$B$10,Paramètres!$A$1:$I$89,5,0)</f>
        <v>2.0572770154103635E-13</v>
      </c>
      <c r="AK153" s="13">
        <f t="shared" si="143"/>
        <v>2.8416956338469711E-12</v>
      </c>
      <c r="AL153" s="20">
        <f t="shared" si="112"/>
        <v>5.3075956424674458E-12</v>
      </c>
      <c r="AM153" s="59">
        <f t="shared" si="113"/>
        <v>293.3333333333386</v>
      </c>
      <c r="AN153" s="59">
        <f ca="1">AVERAGE(OFFSET($AM$3,0,0,'Données projet'!$E$10+1,1))-AVERAGE(OFFSET($H$3,0,0,'Données projet'!$E$10+1,1))</f>
        <v>436.23918637269577</v>
      </c>
      <c r="AO153" s="59">
        <f t="shared" si="144"/>
        <v>611.43967996341894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9.1275813493204421</v>
      </c>
      <c r="AV153" s="21">
        <f>EXP(-LN(2)/25)*AV152+(1-EXP(-LN(2)/25))/(LN(2)/25)*Calculateur!AQ153*Calculateur!AS153*VLOOKUP('Données projet'!$B$10,Paramètres!$A$1:$I$89,3,0)*0.475*44/12</f>
        <v>2.3551924738010097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11.482773823121452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4.4337866711430253E-14</v>
      </c>
      <c r="BF153" s="13">
        <f t="shared" si="145"/>
        <v>7.3222115536967035E-13</v>
      </c>
      <c r="BG153" s="20">
        <f t="shared" si="115"/>
        <v>1.3525069634579169E-12</v>
      </c>
      <c r="BH153" s="59">
        <f t="shared" si="116"/>
        <v>293.33333333333468</v>
      </c>
      <c r="BI153" s="59">
        <f ca="1">AVERAGE(OFFSET($BH$3,0,0,'Données projet'!$E$11+1,1))-AVERAGE(OFFSET($H$3,0,0,'Données projet'!$E$11+1,1))</f>
        <v>288.82868507674738</v>
      </c>
      <c r="BJ153" s="59">
        <f t="shared" si="146"/>
        <v>283.48738729114024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17.783058438944703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17.783058438944703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2.1316282072803006E-14</v>
      </c>
      <c r="BZ153" s="13">
        <f>BY153*VLOOKUP('Données projet'!$B$12,Paramètres!$A$1:$I$89,3,0)*VLOOKUP('Données projet'!$B$12,Paramètres!$A$1:$I$89,5,0)</f>
        <v>1.8621904018800709E-14</v>
      </c>
      <c r="CA153" s="13">
        <f t="shared" si="147"/>
        <v>3.40208645124969E-13</v>
      </c>
      <c r="CB153" s="20">
        <f t="shared" si="118"/>
        <v>6.2496320642539887E-13</v>
      </c>
      <c r="CC153" s="59">
        <f t="shared" si="119"/>
        <v>293.33333333333394</v>
      </c>
      <c r="CD153" s="59">
        <f ca="1">AVERAGE(OFFSET($CC$3,0,0,'Données projet'!$E$12+1,1))-AVERAGE(OFFSET($H$3,0,0,'Données projet'!$E$12+1,1))</f>
        <v>93.329407403816901</v>
      </c>
      <c r="CE153" s="59">
        <f t="shared" si="148"/>
        <v>90.925148357295313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4.3478153657093186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4.3478153657093186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-2.2737367544323206E-13</v>
      </c>
      <c r="CU153" s="17">
        <f>CT153*VLOOKUP('Données projet'!$B$13,Paramètres!$A$1:$I$89,3,0)*VLOOKUP('Données projet'!$B$13,Paramètres!$A$1:$I$89,5,0)</f>
        <v>-2.1636878955177963E-13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805.04572055352492</v>
      </c>
      <c r="CZ153" s="59">
        <f t="shared" si="150"/>
        <v>708.66645042414962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101.6844903085388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101.6844903085388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-1.1368683772161603E-13</v>
      </c>
      <c r="DP153" s="17">
        <f>DO153*VLOOKUP('Données projet'!$B$14,Paramètres!$A$1:$I$89,3,0)*VLOOKUP('Données projet'!$B$14,Paramètres!$A$1:$I$89,5,0)</f>
        <v>-7.626113074366004E-14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482.69499576870095</v>
      </c>
      <c r="DU153" s="59">
        <f t="shared" si="152"/>
        <v>384.28918352579575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62.901483107727955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62.901483107727955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1.7053025658242404E-13</v>
      </c>
      <c r="EK153" s="17">
        <f>EJ153*VLOOKUP('Données projet'!$B$15,Paramètres!$A$1:$I$89,3,0)*VLOOKUP('Données projet'!$B$15,Paramètres!$A$1:$I$89,5,0)</f>
        <v>1.250327841262333E-13</v>
      </c>
      <c r="EL153" s="13">
        <f t="shared" si="153"/>
        <v>1.8301318724634299E-12</v>
      </c>
      <c r="EM153" s="20">
        <f t="shared" si="127"/>
        <v>3.405245110226996E-12</v>
      </c>
      <c r="EN153" s="59">
        <f t="shared" si="128"/>
        <v>293.33333333333672</v>
      </c>
      <c r="EO153" s="59">
        <f ca="1">AVERAGE(OFFSET($EN$3,0,0,'Données projet'!$E$15+1,1))-AVERAGE(OFFSET($H$3,0,0,'Données projet'!$E$15+1,1))</f>
        <v>197.34725966440715</v>
      </c>
      <c r="EP153" s="59">
        <f t="shared" si="154"/>
        <v>240.16326570529532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6.0382524402174154</v>
      </c>
      <c r="EW153" s="21">
        <f>EXP(-LN(2)/25)*EW152+(1-EXP(-LN(2)/25))/(LN(2)/25)*Calculateur!ER153*Calculateur!ET153*VLOOKUP('Données projet'!$B$15,Paramètres!$A$1:$I$89,3,0)*0.475*44/12</f>
        <v>1.9249342856858946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7.9631867259033102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2.2737367544323206E-13</v>
      </c>
      <c r="FF153" s="17">
        <f>FE153*VLOOKUP('Données projet'!$B$16,Paramètres!$A$1:$I$89,3,0)*VLOOKUP('Données projet'!$B$16,Paramètres!$A$1:$I$89,5,0)</f>
        <v>1.2710188457276673E-13</v>
      </c>
      <c r="FG153" s="13">
        <f t="shared" si="155"/>
        <v>1.856866851063998E-12</v>
      </c>
      <c r="FH153" s="20">
        <f t="shared" si="130"/>
        <v>3.4554122145673649E-12</v>
      </c>
      <c r="FI153" s="59">
        <f t="shared" si="131"/>
        <v>293.33333333333678</v>
      </c>
      <c r="FJ153" s="59">
        <f ca="1">AVERAGE(OFFSET($FI$3,0,0,'Données projet'!$E$16+1,1))-AVERAGE(OFFSET($H$3,0,0,'Données projet'!$E$16+1,1))</f>
        <v>346.42094266871379</v>
      </c>
      <c r="FK153" s="59">
        <f t="shared" si="156"/>
        <v>453.48153556975973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28.812836966965989</v>
      </c>
      <c r="FR153" s="21">
        <f>EXP(-LN(2)/25)*FR152+(1-EXP(-LN(2)/25))/(LN(2)/25)*Calculateur!FM153*Calculateur!FO153*VLOOKUP('Données projet'!$B$16,Paramètres!$A$1:$I$89,3,0)*0.475*44/12</f>
        <v>8.7009513845056681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37.513788351471661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-1.1368683772161603E-13</v>
      </c>
      <c r="GA153" s="17">
        <f>FZ153*VLOOKUP('Données projet'!$B$17,Paramètres!$A$1:$I$89,3,0)*VLOOKUP('Données projet'!$B$17,Paramètres!$A$1:$I$89,5,0)</f>
        <v>-5.3205440053716299E-14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198.26255998041</v>
      </c>
      <c r="GF153" s="59">
        <f t="shared" si="158"/>
        <v>238.62101708181166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18.468142831712051</v>
      </c>
      <c r="GM153" s="21">
        <f>EXP(-LN(2)/25)*GM152+(1-EXP(-LN(2)/25))/(LN(2)/25)*Calculateur!GH153*Calculateur!GJ153*VLOOKUP('Données projet'!$B$17,Paramètres!$A$1:$I$89,3,0)*0.475*44/12</f>
        <v>5.1350594357963271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23.603202267508379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>
        <f>GU153*VLOOKUP('Données projet'!$B$18,Paramètres!$A$1:$I$89,3,0)*VLOOKUP('Données projet'!$B$18,Paramètres!$A$1:$I$89,5,0)</f>
        <v>0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604.0566904089452</v>
      </c>
      <c r="HA153" s="59">
        <f t="shared" si="160"/>
        <v>369.5187835902687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54.018508554525866</v>
      </c>
      <c r="HH153" s="21">
        <f>EXP(-LN(2)/25)*HH152+(1-EXP(-LN(2)/25))/(LN(2)/25)*Calculateur!HC153*Calculateur!HE153*VLOOKUP('Données projet'!$B$18,Paramètres!$A$1:$I$89,3,0)*0.475*44/12</f>
        <v>14.510400049563112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68.528908604088983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7.083333333333333</v>
      </c>
      <c r="N154" s="13">
        <f>IF('Données projet'!$A$36&gt;35,N153+M154-V153,IF(A154&lt;'Données projet'!$A$36,$K$205^A154,IF(A154='Données projet'!$A$36,'Données projet'!$B$36,N153+M154-V153)))</f>
        <v>466.83333333333331</v>
      </c>
      <c r="O154" s="13">
        <f>N154*VLOOKUP('Données projet'!$B$9,Paramètres!$A$1:$I$89,3,0)*VLOOKUP('Données projet'!$B$9,Paramètres!$A$1:$I$89,5,0)</f>
        <v>422.39080000000001</v>
      </c>
      <c r="P154" s="13">
        <f t="shared" si="141"/>
        <v>96.301566838032713</v>
      </c>
      <c r="Q154" s="20">
        <f t="shared" ref="Q154:Q203" si="162">(O154+P154)*0.475*44/12</f>
        <v>903.38920557624033</v>
      </c>
      <c r="R154" s="59">
        <f t="shared" si="109"/>
        <v>1196.7225389095736</v>
      </c>
      <c r="S154" s="59">
        <f ca="1">AVERAGE(OFFSET($R$3,0,0,'Données projet'!$E$9+1,1))-AVERAGE(OFFSET($H$3,0,0,'Données projet'!$E$9+1,1))</f>
        <v>528.20489749461376</v>
      </c>
      <c r="T154" s="59">
        <f t="shared" si="142"/>
        <v>276.26988364830532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49.419656768793637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49.419656768793637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2.0572770154103635E-13</v>
      </c>
      <c r="AK154" s="13">
        <f t="shared" ref="AK154:AK203" si="164">EXP(-1.0587+0.8836*LN(AJ154)+0.284)</f>
        <v>2.8416956338469711E-12</v>
      </c>
      <c r="AL154" s="20">
        <f t="shared" ref="AL154:AL203" si="165">(AJ154+AK154)*0.475*44/12</f>
        <v>5.3075956424674458E-12</v>
      </c>
      <c r="AM154" s="59">
        <f t="shared" si="113"/>
        <v>293.3333333333386</v>
      </c>
      <c r="AN154" s="59">
        <f ca="1">AVERAGE(OFFSET($AM$3,0,0,'Données projet'!$E$10+1,1))-AVERAGE(OFFSET($H$3,0,0,'Données projet'!$E$10+1,1))</f>
        <v>436.23918637269577</v>
      </c>
      <c r="AO154" s="59">
        <f t="shared" si="144"/>
        <v>611.43967996341894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8.9485950463351678</v>
      </c>
      <c r="AV154" s="21">
        <f>EXP(-LN(2)/25)*AV153+(1-EXP(-LN(2)/25))/(LN(2)/25)*Calculateur!AQ154*Calculateur!AS154*VLOOKUP('Données projet'!$B$10,Paramètres!$A$1:$I$89,3,0)*0.475*44/12</f>
        <v>2.2907896117507316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11.2393846580859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4.4337866711430253E-14</v>
      </c>
      <c r="BF154" s="13">
        <f t="shared" ref="BF154:BF203" si="167">EXP(-1.0587+0.8836*LN(BE154)+0.284)</f>
        <v>7.3222115536967035E-13</v>
      </c>
      <c r="BG154" s="20">
        <f t="shared" ref="BG154:BG203" si="168">(BE154+BF154)*0.475*44/12</f>
        <v>1.3525069634579169E-12</v>
      </c>
      <c r="BH154" s="59">
        <f t="shared" si="116"/>
        <v>293.33333333333468</v>
      </c>
      <c r="BI154" s="59">
        <f ca="1">AVERAGE(OFFSET($BH$3,0,0,'Données projet'!$E$11+1,1))-AVERAGE(OFFSET($H$3,0,0,'Données projet'!$E$11+1,1))</f>
        <v>288.82868507674738</v>
      </c>
      <c r="BJ154" s="59">
        <f t="shared" si="146"/>
        <v>283.48738729114024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17.434343509551635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17.434343509551635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2.1316282072803006E-14</v>
      </c>
      <c r="BZ154" s="13">
        <f>BY154*VLOOKUP('Données projet'!$B$12,Paramètres!$A$1:$I$89,3,0)*VLOOKUP('Données projet'!$B$12,Paramètres!$A$1:$I$89,5,0)</f>
        <v>1.8621904018800709E-14</v>
      </c>
      <c r="CA154" s="13">
        <f t="shared" ref="CA154:CA203" si="170">EXP(-1.0587+0.8836*LN(BZ154)+0.284)</f>
        <v>3.40208645124969E-13</v>
      </c>
      <c r="CB154" s="20">
        <f t="shared" ref="CB154:CB203" si="171">(BZ154+CA154)*0.475*44/12</f>
        <v>6.2496320642539887E-13</v>
      </c>
      <c r="CC154" s="59">
        <f t="shared" si="119"/>
        <v>293.33333333333394</v>
      </c>
      <c r="CD154" s="59">
        <f ca="1">AVERAGE(OFFSET($CC$3,0,0,'Données projet'!$E$12+1,1))-AVERAGE(OFFSET($H$3,0,0,'Données projet'!$E$12+1,1))</f>
        <v>93.329407403816901</v>
      </c>
      <c r="CE154" s="59">
        <f t="shared" si="148"/>
        <v>90.925148357295313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4.2625573582932779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4.2625573582932779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-2.2737367544323206E-13</v>
      </c>
      <c r="CU154" s="17">
        <f>CT154*VLOOKUP('Données projet'!$B$13,Paramètres!$A$1:$I$89,3,0)*VLOOKUP('Données projet'!$B$13,Paramètres!$A$1:$I$89,5,0)</f>
        <v>-2.1636878955177963E-13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805.04572055352492</v>
      </c>
      <c r="CZ154" s="59">
        <f t="shared" si="150"/>
        <v>708.66645042414962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99.690519475003342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99.690519475003342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-1.1368683772161603E-13</v>
      </c>
      <c r="DP154" s="17">
        <f>DO154*VLOOKUP('Données projet'!$B$14,Paramètres!$A$1:$I$89,3,0)*VLOOKUP('Données projet'!$B$14,Paramètres!$A$1:$I$89,5,0)</f>
        <v>-7.626113074366004E-14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482.69499576870095</v>
      </c>
      <c r="DU154" s="59">
        <f t="shared" si="152"/>
        <v>384.28918352579575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61.668023390101766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61.668023390101766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1.7053025658242404E-13</v>
      </c>
      <c r="EK154" s="17">
        <f>EJ154*VLOOKUP('Données projet'!$B$15,Paramètres!$A$1:$I$89,3,0)*VLOOKUP('Données projet'!$B$15,Paramètres!$A$1:$I$89,5,0)</f>
        <v>1.250327841262333E-13</v>
      </c>
      <c r="EL154" s="13">
        <f t="shared" ref="EL154:EL203" si="179">EXP(-1.0587+0.8836*LN(EK154)+0.284)</f>
        <v>1.8301318724634299E-12</v>
      </c>
      <c r="EM154" s="20">
        <f t="shared" ref="EM154:EM203" si="180">(EK154+EL154)*0.475*44/12</f>
        <v>3.405245110226996E-12</v>
      </c>
      <c r="EN154" s="59">
        <f t="shared" si="128"/>
        <v>293.33333333333672</v>
      </c>
      <c r="EO154" s="59">
        <f ca="1">AVERAGE(OFFSET($EN$3,0,0,'Données projet'!$E$15+1,1))-AVERAGE(OFFSET($H$3,0,0,'Données projet'!$E$15+1,1))</f>
        <v>197.34725966440715</v>
      </c>
      <c r="EP154" s="59">
        <f t="shared" si="154"/>
        <v>240.16326570529532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5.9198459928350768</v>
      </c>
      <c r="EW154" s="21">
        <f>EXP(-LN(2)/25)*EW153+(1-EXP(-LN(2)/25))/(LN(2)/25)*Calculateur!ER154*Calculateur!ET154*VLOOKUP('Données projet'!$B$15,Paramètres!$A$1:$I$89,3,0)*0.475*44/12</f>
        <v>1.8722968564159193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7.7921428492509959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2.2737367544323206E-13</v>
      </c>
      <c r="FF154" s="17">
        <f>FE154*VLOOKUP('Données projet'!$B$16,Paramètres!$A$1:$I$89,3,0)*VLOOKUP('Données projet'!$B$16,Paramètres!$A$1:$I$89,5,0)</f>
        <v>1.2710188457276673E-13</v>
      </c>
      <c r="FG154" s="13">
        <f t="shared" ref="FG154:FG203" si="182">EXP(-1.0587+0.8836*LN(FF154)+0.284)</f>
        <v>1.856866851063998E-12</v>
      </c>
      <c r="FH154" s="20">
        <f t="shared" ref="FH154:FH203" si="183">(FF154+FG154)*0.475*44/12</f>
        <v>3.4554122145673649E-12</v>
      </c>
      <c r="FI154" s="59">
        <f t="shared" si="131"/>
        <v>293.33333333333678</v>
      </c>
      <c r="FJ154" s="59">
        <f ca="1">AVERAGE(OFFSET($FI$3,0,0,'Données projet'!$E$16+1,1))-AVERAGE(OFFSET($H$3,0,0,'Données projet'!$E$16+1,1))</f>
        <v>346.42094266871379</v>
      </c>
      <c r="FK154" s="59">
        <f t="shared" si="156"/>
        <v>453.48153556975973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28.247834808139039</v>
      </c>
      <c r="FR154" s="21">
        <f>EXP(-LN(2)/25)*FR153+(1-EXP(-LN(2)/25))/(LN(2)/25)*Calculateur!FM154*Calculateur!FO154*VLOOKUP('Données projet'!$B$16,Paramètres!$A$1:$I$89,3,0)*0.475*44/12</f>
        <v>8.4630234113332143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36.710858219472257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-1.1368683772161603E-13</v>
      </c>
      <c r="GA154" s="17">
        <f>FZ154*VLOOKUP('Données projet'!$B$17,Paramètres!$A$1:$I$89,3,0)*VLOOKUP('Données projet'!$B$17,Paramètres!$A$1:$I$89,5,0)</f>
        <v>-5.3205440053716299E-14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198.26255998041</v>
      </c>
      <c r="GF154" s="59">
        <f t="shared" si="158"/>
        <v>238.62101708181166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18.105993815237031</v>
      </c>
      <c r="GM154" s="21">
        <f>EXP(-LN(2)/25)*GM153+(1-EXP(-LN(2)/25))/(LN(2)/25)*Calculateur!GH154*Calculateur!GJ154*VLOOKUP('Données projet'!$B$17,Paramètres!$A$1:$I$89,3,0)*0.475*44/12</f>
        <v>4.9946409654834367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23.100634780720469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>
        <f>GU154*VLOOKUP('Données projet'!$B$18,Paramètres!$A$1:$I$89,3,0)*VLOOKUP('Données projet'!$B$18,Paramètres!$A$1:$I$89,5,0)</f>
        <v>0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604.0566904089452</v>
      </c>
      <c r="HA154" s="59">
        <f t="shared" si="160"/>
        <v>369.5187835902687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52.959238549808482</v>
      </c>
      <c r="HH154" s="21">
        <f>EXP(-LN(2)/25)*HH153+(1-EXP(-LN(2)/25))/(LN(2)/25)*Calculateur!HC154*Calculateur!HE154*VLOOKUP('Données projet'!$B$18,Paramètres!$A$1:$I$89,3,0)*0.475*44/12</f>
        <v>14.113612397139034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67.072850946947511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7.083333333333333</v>
      </c>
      <c r="N155" s="13">
        <f>IF('Données projet'!$A$36&gt;35,N154+M155-V154,IF(A155&lt;'Données projet'!$A$36,$K$205^A155,IF(A155='Données projet'!$A$36,'Données projet'!$B$36,N154+M155-V154)))</f>
        <v>473.91666666666663</v>
      </c>
      <c r="O155" s="13">
        <f>N155*VLOOKUP('Données projet'!$B$9,Paramètres!$A$1:$I$89,3,0)*VLOOKUP('Données projet'!$B$9,Paramètres!$A$1:$I$89,5,0)</f>
        <v>428.79979999999995</v>
      </c>
      <c r="P155" s="13">
        <f t="shared" si="141"/>
        <v>97.591547936119198</v>
      </c>
      <c r="Q155" s="20">
        <f t="shared" si="162"/>
        <v>916.79826432207403</v>
      </c>
      <c r="R155" s="59">
        <f t="shared" si="109"/>
        <v>1210.1315976554074</v>
      </c>
      <c r="S155" s="59">
        <f ca="1">AVERAGE(OFFSET($R$3,0,0,'Données projet'!$E$9+1,1))-AVERAGE(OFFSET($H$3,0,0,'Données projet'!$E$9+1,1))</f>
        <v>528.20489749461376</v>
      </c>
      <c r="T155" s="59">
        <f t="shared" si="142"/>
        <v>276.26988364830532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48.450567442571845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48.450567442571845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2.0572770154103635E-13</v>
      </c>
      <c r="AK155" s="13">
        <f t="shared" si="164"/>
        <v>2.8416956338469711E-12</v>
      </c>
      <c r="AL155" s="20">
        <f t="shared" si="165"/>
        <v>5.3075956424674458E-12</v>
      </c>
      <c r="AM155" s="59">
        <f t="shared" si="113"/>
        <v>293.3333333333386</v>
      </c>
      <c r="AN155" s="59">
        <f ca="1">AVERAGE(OFFSET($AM$3,0,0,'Données projet'!$E$10+1,1))-AVERAGE(OFFSET($H$3,0,0,'Données projet'!$E$10+1,1))</f>
        <v>436.23918637269577</v>
      </c>
      <c r="AO155" s="59">
        <f t="shared" si="144"/>
        <v>611.43967996341894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8.7731185555805702</v>
      </c>
      <c r="AV155" s="21">
        <f>EXP(-LN(2)/25)*AV154+(1-EXP(-LN(2)/25))/(LN(2)/25)*Calculateur!AQ155*Calculateur!AS155*VLOOKUP('Données projet'!$B$10,Paramètres!$A$1:$I$89,3,0)*0.475*44/12</f>
        <v>2.2281478493500178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11.001266404930588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4.4337866711430253E-14</v>
      </c>
      <c r="BF155" s="13">
        <f t="shared" si="167"/>
        <v>7.3222115536967035E-13</v>
      </c>
      <c r="BG155" s="20">
        <f t="shared" si="168"/>
        <v>1.3525069634579169E-12</v>
      </c>
      <c r="BH155" s="59">
        <f t="shared" si="116"/>
        <v>293.33333333333468</v>
      </c>
      <c r="BI155" s="59">
        <f ca="1">AVERAGE(OFFSET($BH$3,0,0,'Données projet'!$E$11+1,1))-AVERAGE(OFFSET($H$3,0,0,'Données projet'!$E$11+1,1))</f>
        <v>288.82868507674738</v>
      </c>
      <c r="BJ155" s="59">
        <f t="shared" si="146"/>
        <v>283.48738729114024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17.092466667228859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17.092466667228859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2.1316282072803006E-14</v>
      </c>
      <c r="BZ155" s="13">
        <f>BY155*VLOOKUP('Données projet'!$B$12,Paramètres!$A$1:$I$89,3,0)*VLOOKUP('Données projet'!$B$12,Paramètres!$A$1:$I$89,5,0)</f>
        <v>1.8621904018800709E-14</v>
      </c>
      <c r="CA155" s="13">
        <f t="shared" si="170"/>
        <v>3.40208645124969E-13</v>
      </c>
      <c r="CB155" s="20">
        <f t="shared" si="171"/>
        <v>6.2496320642539887E-13</v>
      </c>
      <c r="CC155" s="59">
        <f t="shared" si="119"/>
        <v>293.33333333333394</v>
      </c>
      <c r="CD155" s="59">
        <f ca="1">AVERAGE(OFFSET($CC$3,0,0,'Données projet'!$E$12+1,1))-AVERAGE(OFFSET($H$3,0,0,'Données projet'!$E$12+1,1))</f>
        <v>93.329407403816901</v>
      </c>
      <c r="CE155" s="59">
        <f t="shared" si="148"/>
        <v>90.925148357295313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4.1789712084004158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4.1789712084004158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-2.2737367544323206E-13</v>
      </c>
      <c r="CU155" s="17">
        <f>CT155*VLOOKUP('Données projet'!$B$13,Paramètres!$A$1:$I$89,3,0)*VLOOKUP('Données projet'!$B$13,Paramètres!$A$1:$I$89,5,0)</f>
        <v>-2.1636878955177963E-13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805.04572055352492</v>
      </c>
      <c r="CZ155" s="59">
        <f t="shared" si="150"/>
        <v>708.66645042414962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97.735649193311389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97.735649193311389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-1.1368683772161603E-13</v>
      </c>
      <c r="DP155" s="17">
        <f>DO155*VLOOKUP('Données projet'!$B$14,Paramètres!$A$1:$I$89,3,0)*VLOOKUP('Données projet'!$B$14,Paramètres!$A$1:$I$89,5,0)</f>
        <v>-7.626113074366004E-14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482.69499576870095</v>
      </c>
      <c r="DU155" s="59">
        <f t="shared" si="152"/>
        <v>384.28918352579575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60.458751065202087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60.458751065202087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1.7053025658242404E-13</v>
      </c>
      <c r="EK155" s="17">
        <f>EJ155*VLOOKUP('Données projet'!$B$15,Paramètres!$A$1:$I$89,3,0)*VLOOKUP('Données projet'!$B$15,Paramètres!$A$1:$I$89,5,0)</f>
        <v>1.250327841262333E-13</v>
      </c>
      <c r="EL155" s="13">
        <f t="shared" si="179"/>
        <v>1.8301318724634299E-12</v>
      </c>
      <c r="EM155" s="20">
        <f t="shared" si="180"/>
        <v>3.405245110226996E-12</v>
      </c>
      <c r="EN155" s="59">
        <f t="shared" si="128"/>
        <v>293.33333333333672</v>
      </c>
      <c r="EO155" s="59">
        <f ca="1">AVERAGE(OFFSET($EN$3,0,0,'Données projet'!$E$15+1,1))-AVERAGE(OFFSET($H$3,0,0,'Données projet'!$E$15+1,1))</f>
        <v>197.34725966440715</v>
      </c>
      <c r="EP155" s="59">
        <f t="shared" si="154"/>
        <v>240.16326570529532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5.8037614236651045</v>
      </c>
      <c r="EW155" s="21">
        <f>EXP(-LN(2)/25)*EW154+(1-EXP(-LN(2)/25))/(LN(2)/25)*Calculateur!ER155*Calculateur!ET155*VLOOKUP('Données projet'!$B$15,Paramètres!$A$1:$I$89,3,0)*0.475*44/12</f>
        <v>1.8210988004174133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7.6248602240825178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2.2737367544323206E-13</v>
      </c>
      <c r="FF155" s="17">
        <f>FE155*VLOOKUP('Données projet'!$B$16,Paramètres!$A$1:$I$89,3,0)*VLOOKUP('Données projet'!$B$16,Paramètres!$A$1:$I$89,5,0)</f>
        <v>1.2710188457276673E-13</v>
      </c>
      <c r="FG155" s="13">
        <f t="shared" si="182"/>
        <v>1.856866851063998E-12</v>
      </c>
      <c r="FH155" s="20">
        <f t="shared" si="183"/>
        <v>3.4554122145673649E-12</v>
      </c>
      <c r="FI155" s="59">
        <f t="shared" si="131"/>
        <v>293.33333333333678</v>
      </c>
      <c r="FJ155" s="59">
        <f ca="1">AVERAGE(OFFSET($FI$3,0,0,'Données projet'!$E$16+1,1))-AVERAGE(OFFSET($H$3,0,0,'Données projet'!$E$16+1,1))</f>
        <v>346.42094266871379</v>
      </c>
      <c r="FK155" s="59">
        <f t="shared" si="156"/>
        <v>453.48153556975973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27.693911997029396</v>
      </c>
      <c r="FR155" s="21">
        <f>EXP(-LN(2)/25)*FR154+(1-EXP(-LN(2)/25))/(LN(2)/25)*Calculateur!FM155*Calculateur!FO155*VLOOKUP('Données projet'!$B$16,Paramètres!$A$1:$I$89,3,0)*0.475*44/12</f>
        <v>8.231601591099249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35.925513588128645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-1.1368683772161603E-13</v>
      </c>
      <c r="GA155" s="17">
        <f>FZ155*VLOOKUP('Données projet'!$B$17,Paramètres!$A$1:$I$89,3,0)*VLOOKUP('Données projet'!$B$17,Paramètres!$A$1:$I$89,5,0)</f>
        <v>-5.3205440053716299E-14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198.26255998041</v>
      </c>
      <c r="GF155" s="59">
        <f t="shared" si="158"/>
        <v>238.62101708181166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17.750946320085998</v>
      </c>
      <c r="GM155" s="21">
        <f>EXP(-LN(2)/25)*GM154+(1-EXP(-LN(2)/25))/(LN(2)/25)*Calculateur!GH155*Calculateur!GJ155*VLOOKUP('Données projet'!$B$17,Paramètres!$A$1:$I$89,3,0)*0.475*44/12</f>
        <v>4.8580622456255389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22.609008565711537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>
        <f>GU155*VLOOKUP('Données projet'!$B$18,Paramètres!$A$1:$I$89,3,0)*VLOOKUP('Données projet'!$B$18,Paramètres!$A$1:$I$89,5,0)</f>
        <v>0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604.0566904089452</v>
      </c>
      <c r="HA155" s="59">
        <f t="shared" si="160"/>
        <v>369.5187835902687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51.920740183792702</v>
      </c>
      <c r="HH155" s="21">
        <f>EXP(-LN(2)/25)*HH154+(1-EXP(-LN(2)/25))/(LN(2)/25)*Calculateur!HC155*Calculateur!HE155*VLOOKUP('Données projet'!$B$18,Paramètres!$A$1:$I$89,3,0)*0.475*44/12</f>
        <v>13.727674923936648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65.648415107729349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481</v>
      </c>
      <c r="L156" s="12">
        <f>VLOOKUP(A156,'Données projet'!$A$35:$I$55,9,0)</f>
        <v>7.083333333333333</v>
      </c>
      <c r="M156" s="12">
        <f t="array" ref="M156">INDEX(L:L,MIN(IF(ISNUMBER(L156:L352),ROW(L156:L352),"")))</f>
        <v>7.083333333333333</v>
      </c>
      <c r="N156" s="13">
        <f>IF('Données projet'!$A$36&gt;35,N155+M156-V155,IF(A156&lt;'Données projet'!$A$36,$K$205^A156,IF(A156='Données projet'!$A$36,'Données projet'!$B$36,N155+M156-V155)))</f>
        <v>480.99999999999994</v>
      </c>
      <c r="O156" s="13">
        <f>N156*VLOOKUP('Données projet'!$B$9,Paramètres!$A$1:$I$89,3,0)*VLOOKUP('Données projet'!$B$9,Paramètres!$A$1:$I$89,5,0)</f>
        <v>435.20879999999994</v>
      </c>
      <c r="P156" s="13">
        <f t="shared" si="141"/>
        <v>98.87928664294067</v>
      </c>
      <c r="Q156" s="20">
        <f t="shared" si="162"/>
        <v>930.20341756978814</v>
      </c>
      <c r="R156" s="59">
        <f t="shared" si="109"/>
        <v>1223.5367509031214</v>
      </c>
      <c r="S156" s="59">
        <f ca="1">AVERAGE(OFFSET($R$3,0,0,'Données projet'!$E$9+1,1))-AVERAGE(OFFSET($H$3,0,0,'Données projet'!$E$9+1,1))</f>
        <v>528.20489749461376</v>
      </c>
      <c r="T156" s="59">
        <f t="shared" si="142"/>
        <v>276.26988364830532</v>
      </c>
      <c r="U156" s="15">
        <f>IF(ISNA(VLOOKUP(A156,'Données projet'!$A$35:$I$55,3,0)),0,VLOOKUP(A156,'Données projet'!$A$35:$I$55,3,0))</f>
        <v>14</v>
      </c>
      <c r="V156" s="15">
        <f>IF(ISNA(VLOOKUP(A156,'Données projet'!$A$35:$I$55,4,0)),0,VLOOKUP(A156,'Données projet'!$A$35:$I$55,4,0))</f>
        <v>481</v>
      </c>
      <c r="W156" s="16">
        <f>IF(ISNA(VLOOKUP(A156,'Données projet'!$A$35:$I$55,5,0)),0%,VLOOKUP(A156,'Données projet'!$A$35:$I$55,5,0)*VLOOKUP('Données projet'!$B$9,Paramètres!$A$1:$I$89,7,0))</f>
        <v>0.25800000000000001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171.62697419346773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171.62697419346773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2.0572770154103635E-13</v>
      </c>
      <c r="AK156" s="13">
        <f t="shared" si="164"/>
        <v>2.8416956338469711E-12</v>
      </c>
      <c r="AL156" s="20">
        <f t="shared" si="165"/>
        <v>5.3075956424674458E-12</v>
      </c>
      <c r="AM156" s="59">
        <f t="shared" si="113"/>
        <v>293.3333333333386</v>
      </c>
      <c r="AN156" s="59">
        <f ca="1">AVERAGE(OFFSET($AM$3,0,0,'Données projet'!$E$10+1,1))-AVERAGE(OFFSET($H$3,0,0,'Données projet'!$E$10+1,1))</f>
        <v>436.23918637269577</v>
      </c>
      <c r="AO156" s="59">
        <f t="shared" si="144"/>
        <v>611.43967996341894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8.6010830517795789</v>
      </c>
      <c r="AV156" s="21">
        <f>EXP(-LN(2)/25)*AV155+(1-EXP(-LN(2)/25))/(LN(2)/25)*Calculateur!AQ156*Calculateur!AS156*VLOOKUP('Données projet'!$B$10,Paramètres!$A$1:$I$89,3,0)*0.475*44/12</f>
        <v>2.1672190292363385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10.768302081015918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4.4337866711430253E-14</v>
      </c>
      <c r="BF156" s="13">
        <f t="shared" si="167"/>
        <v>7.3222115536967035E-13</v>
      </c>
      <c r="BG156" s="20">
        <f t="shared" si="168"/>
        <v>1.3525069634579169E-12</v>
      </c>
      <c r="BH156" s="59">
        <f t="shared" si="116"/>
        <v>293.33333333333468</v>
      </c>
      <c r="BI156" s="59">
        <f ca="1">AVERAGE(OFFSET($BH$3,0,0,'Données projet'!$E$11+1,1))-AVERAGE(OFFSET($H$3,0,0,'Données projet'!$E$11+1,1))</f>
        <v>288.82868507674738</v>
      </c>
      <c r="BJ156" s="59">
        <f t="shared" si="146"/>
        <v>283.48738729114024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16.757293821259747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16.757293821259747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2.1316282072803006E-14</v>
      </c>
      <c r="BZ156" s="13">
        <f>BY156*VLOOKUP('Données projet'!$B$12,Paramètres!$A$1:$I$89,3,0)*VLOOKUP('Données projet'!$B$12,Paramètres!$A$1:$I$89,5,0)</f>
        <v>1.8621904018800709E-14</v>
      </c>
      <c r="CA156" s="13">
        <f t="shared" si="170"/>
        <v>3.40208645124969E-13</v>
      </c>
      <c r="CB156" s="20">
        <f t="shared" si="171"/>
        <v>6.2496320642539887E-13</v>
      </c>
      <c r="CC156" s="59">
        <f t="shared" si="119"/>
        <v>293.33333333333394</v>
      </c>
      <c r="CD156" s="59">
        <f ca="1">AVERAGE(OFFSET($CC$3,0,0,'Données projet'!$E$12+1,1))-AVERAGE(OFFSET($H$3,0,0,'Données projet'!$E$12+1,1))</f>
        <v>93.329407403816901</v>
      </c>
      <c r="CE156" s="59">
        <f t="shared" si="148"/>
        <v>90.925148357295313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4.097024131924436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4.097024131924436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-2.2737367544323206E-13</v>
      </c>
      <c r="CU156" s="17">
        <f>CT156*VLOOKUP('Données projet'!$B$13,Paramètres!$A$1:$I$89,3,0)*VLOOKUP('Données projet'!$B$13,Paramètres!$A$1:$I$89,5,0)</f>
        <v>-2.1636878955177963E-13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805.04572055352492</v>
      </c>
      <c r="CZ156" s="59">
        <f t="shared" si="150"/>
        <v>708.66645042414962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95.819112725490285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95.819112725490285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-1.1368683772161603E-13</v>
      </c>
      <c r="DP156" s="17">
        <f>DO156*VLOOKUP('Données projet'!$B$14,Paramètres!$A$1:$I$89,3,0)*VLOOKUP('Données projet'!$B$14,Paramètres!$A$1:$I$89,5,0)</f>
        <v>-7.626113074366004E-14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482.69499576870095</v>
      </c>
      <c r="DU156" s="59">
        <f t="shared" si="152"/>
        <v>384.28918352579575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59.273191833010401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59.273191833010401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1.7053025658242404E-13</v>
      </c>
      <c r="EK156" s="17">
        <f>EJ156*VLOOKUP('Données projet'!$B$15,Paramètres!$A$1:$I$89,3,0)*VLOOKUP('Données projet'!$B$15,Paramètres!$A$1:$I$89,5,0)</f>
        <v>1.250327841262333E-13</v>
      </c>
      <c r="EL156" s="13">
        <f t="shared" si="179"/>
        <v>1.8301318724634299E-12</v>
      </c>
      <c r="EM156" s="20">
        <f t="shared" si="180"/>
        <v>3.405245110226996E-12</v>
      </c>
      <c r="EN156" s="59">
        <f t="shared" si="128"/>
        <v>293.33333333333672</v>
      </c>
      <c r="EO156" s="59">
        <f ca="1">AVERAGE(OFFSET($EN$3,0,0,'Données projet'!$E$15+1,1))-AVERAGE(OFFSET($H$3,0,0,'Données projet'!$E$15+1,1))</f>
        <v>197.34725966440715</v>
      </c>
      <c r="EP156" s="59">
        <f t="shared" si="154"/>
        <v>240.16326570529532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5.6899532020919601</v>
      </c>
      <c r="EW156" s="21">
        <f>EXP(-LN(2)/25)*EW155+(1-EXP(-LN(2)/25))/(LN(2)/25)*Calculateur!ER156*Calculateur!ET156*VLOOKUP('Données projet'!$B$15,Paramètres!$A$1:$I$89,3,0)*0.475*44/12</f>
        <v>1.7713007579525755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7.4612539600445356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2.2737367544323206E-13</v>
      </c>
      <c r="FF156" s="17">
        <f>FE156*VLOOKUP('Données projet'!$B$16,Paramètres!$A$1:$I$89,3,0)*VLOOKUP('Données projet'!$B$16,Paramètres!$A$1:$I$89,5,0)</f>
        <v>1.2710188457276673E-13</v>
      </c>
      <c r="FG156" s="13">
        <f t="shared" si="182"/>
        <v>1.856866851063998E-12</v>
      </c>
      <c r="FH156" s="20">
        <f t="shared" si="183"/>
        <v>3.4554122145673649E-12</v>
      </c>
      <c r="FI156" s="59">
        <f t="shared" si="131"/>
        <v>293.33333333333678</v>
      </c>
      <c r="FJ156" s="59">
        <f ca="1">AVERAGE(OFFSET($FI$3,0,0,'Données projet'!$E$16+1,1))-AVERAGE(OFFSET($H$3,0,0,'Données projet'!$E$16+1,1))</f>
        <v>346.42094266871379</v>
      </c>
      <c r="FK156" s="59">
        <f t="shared" si="156"/>
        <v>453.48153556975973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27.15085127438606</v>
      </c>
      <c r="FR156" s="21">
        <f>EXP(-LN(2)/25)*FR155+(1-EXP(-LN(2)/25))/(LN(2)/25)*Calculateur!FM156*Calculateur!FO156*VLOOKUP('Données projet'!$B$16,Paramètres!$A$1:$I$89,3,0)*0.475*44/12</f>
        <v>8.0065080127095261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35.157359287095588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-1.1368683772161603E-13</v>
      </c>
      <c r="GA156" s="17">
        <f>FZ156*VLOOKUP('Données projet'!$B$17,Paramètres!$A$1:$I$89,3,0)*VLOOKUP('Données projet'!$B$17,Paramètres!$A$1:$I$89,5,0)</f>
        <v>-5.3205440053716299E-14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198.26255998041</v>
      </c>
      <c r="GF156" s="59">
        <f t="shared" si="158"/>
        <v>238.62101708181166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17.402861089757288</v>
      </c>
      <c r="GM156" s="21">
        <f>EXP(-LN(2)/25)*GM155+(1-EXP(-LN(2)/25))/(LN(2)/25)*Calculateur!GH156*Calculateur!GJ156*VLOOKUP('Données projet'!$B$17,Paramètres!$A$1:$I$89,3,0)*0.475*44/12</f>
        <v>4.725218278044518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22.128079367801806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>
        <f>GU156*VLOOKUP('Données projet'!$B$18,Paramètres!$A$1:$I$89,3,0)*VLOOKUP('Données projet'!$B$18,Paramètres!$A$1:$I$89,5,0)</f>
        <v>0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604.0566904089452</v>
      </c>
      <c r="HA156" s="59">
        <f t="shared" si="160"/>
        <v>369.5187835902687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50.902606137313029</v>
      </c>
      <c r="HH156" s="21">
        <f>EXP(-LN(2)/25)*HH155+(1-EXP(-LN(2)/25))/(LN(2)/25)*Calculateur!HC156*Calculateur!HE156*VLOOKUP('Données projet'!$B$18,Paramètres!$A$1:$I$89,3,0)*0.475*44/12</f>
        <v>13.352290931234551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64.254897068547578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-5.1431925385259088E-14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528.20489749461376</v>
      </c>
      <c r="T157" s="59">
        <f t="shared" si="142"/>
        <v>276.26988364830532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168.26147391165159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168.26147391165159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2.0572770154103635E-13</v>
      </c>
      <c r="AK157" s="13">
        <f t="shared" si="164"/>
        <v>2.8416956338469711E-12</v>
      </c>
      <c r="AL157" s="20">
        <f t="shared" si="165"/>
        <v>5.3075956424674458E-12</v>
      </c>
      <c r="AM157" s="59">
        <f t="shared" si="113"/>
        <v>293.3333333333386</v>
      </c>
      <c r="AN157" s="59">
        <f ca="1">AVERAGE(OFFSET($AM$3,0,0,'Données projet'!$E$10+1,1))-AVERAGE(OFFSET($H$3,0,0,'Données projet'!$E$10+1,1))</f>
        <v>436.23918637269577</v>
      </c>
      <c r="AO157" s="59">
        <f t="shared" si="144"/>
        <v>611.43967996341894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8.4324210592768285</v>
      </c>
      <c r="AV157" s="21">
        <f>EXP(-LN(2)/25)*AV156+(1-EXP(-LN(2)/25))/(LN(2)/25)*Calculateur!AQ157*Calculateur!AS157*VLOOKUP('Données projet'!$B$10,Paramètres!$A$1:$I$89,3,0)*0.475*44/12</f>
        <v>2.1079563109127752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10.540377370189603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4.4337866711430253E-14</v>
      </c>
      <c r="BF157" s="13">
        <f t="shared" si="167"/>
        <v>7.3222115536967035E-13</v>
      </c>
      <c r="BG157" s="20">
        <f t="shared" si="168"/>
        <v>1.3525069634579169E-12</v>
      </c>
      <c r="BH157" s="59">
        <f t="shared" si="116"/>
        <v>293.33333333333468</v>
      </c>
      <c r="BI157" s="59">
        <f ca="1">AVERAGE(OFFSET($BH$3,0,0,'Données projet'!$E$11+1,1))-AVERAGE(OFFSET($H$3,0,0,'Données projet'!$E$11+1,1))</f>
        <v>288.82868507674738</v>
      </c>
      <c r="BJ157" s="59">
        <f t="shared" si="146"/>
        <v>283.48738729114024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16.428693510364841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16.428693510364841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2.1316282072803006E-14</v>
      </c>
      <c r="BZ157" s="13">
        <f>BY157*VLOOKUP('Données projet'!$B$12,Paramètres!$A$1:$I$89,3,0)*VLOOKUP('Données projet'!$B$12,Paramètres!$A$1:$I$89,5,0)</f>
        <v>1.8621904018800709E-14</v>
      </c>
      <c r="CA157" s="13">
        <f t="shared" si="170"/>
        <v>3.40208645124969E-13</v>
      </c>
      <c r="CB157" s="20">
        <f t="shared" si="171"/>
        <v>6.2496320642539887E-13</v>
      </c>
      <c r="CC157" s="59">
        <f t="shared" si="119"/>
        <v>293.33333333333394</v>
      </c>
      <c r="CD157" s="59">
        <f ca="1">AVERAGE(OFFSET($CC$3,0,0,'Données projet'!$E$12+1,1))-AVERAGE(OFFSET($H$3,0,0,'Données projet'!$E$12+1,1))</f>
        <v>93.329407403816901</v>
      </c>
      <c r="CE157" s="59">
        <f t="shared" si="148"/>
        <v>90.925148357295313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4.0166839876353686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4.0166839876353686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-2.2737367544323206E-13</v>
      </c>
      <c r="CU157" s="17">
        <f>CT157*VLOOKUP('Données projet'!$B$13,Paramètres!$A$1:$I$89,3,0)*VLOOKUP('Données projet'!$B$13,Paramètres!$A$1:$I$89,5,0)</f>
        <v>-2.1636878955177963E-13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805.04572055352492</v>
      </c>
      <c r="CZ157" s="59">
        <f t="shared" si="150"/>
        <v>708.66645042414962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93.940158368831334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93.940158368831334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-1.1368683772161603E-13</v>
      </c>
      <c r="DP157" s="17">
        <f>DO157*VLOOKUP('Données projet'!$B$14,Paramètres!$A$1:$I$89,3,0)*VLOOKUP('Données projet'!$B$14,Paramètres!$A$1:$I$89,5,0)</f>
        <v>-7.626113074366004E-14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482.69499576870095</v>
      </c>
      <c r="DU157" s="59">
        <f t="shared" si="152"/>
        <v>384.28918352579575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58.110880694242262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58.110880694242262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1.7053025658242404E-13</v>
      </c>
      <c r="EK157" s="17">
        <f>EJ157*VLOOKUP('Données projet'!$B$15,Paramètres!$A$1:$I$89,3,0)*VLOOKUP('Données projet'!$B$15,Paramètres!$A$1:$I$89,5,0)</f>
        <v>1.250327841262333E-13</v>
      </c>
      <c r="EL157" s="13">
        <f t="shared" si="179"/>
        <v>1.8301318724634299E-12</v>
      </c>
      <c r="EM157" s="20">
        <f t="shared" si="180"/>
        <v>3.405245110226996E-12</v>
      </c>
      <c r="EN157" s="59">
        <f t="shared" si="128"/>
        <v>293.33333333333672</v>
      </c>
      <c r="EO157" s="59">
        <f ca="1">AVERAGE(OFFSET($EN$3,0,0,'Données projet'!$E$15+1,1))-AVERAGE(OFFSET($H$3,0,0,'Données projet'!$E$15+1,1))</f>
        <v>197.34725966440715</v>
      </c>
      <c r="EP157" s="59">
        <f t="shared" si="154"/>
        <v>240.16326570529532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5.5783766903277039</v>
      </c>
      <c r="EW157" s="21">
        <f>EXP(-LN(2)/25)*EW156+(1-EXP(-LN(2)/25))/(LN(2)/25)*Calculateur!ER157*Calculateur!ET157*VLOOKUP('Données projet'!$B$15,Paramètres!$A$1:$I$89,3,0)*0.475*44/12</f>
        <v>1.7228644455777038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7.3012411359054079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2.2737367544323206E-13</v>
      </c>
      <c r="FF157" s="17">
        <f>FE157*VLOOKUP('Données projet'!$B$16,Paramètres!$A$1:$I$89,3,0)*VLOOKUP('Données projet'!$B$16,Paramètres!$A$1:$I$89,5,0)</f>
        <v>1.2710188457276673E-13</v>
      </c>
      <c r="FG157" s="13">
        <f t="shared" si="182"/>
        <v>1.856866851063998E-12</v>
      </c>
      <c r="FH157" s="20">
        <f t="shared" si="183"/>
        <v>3.4554122145673649E-12</v>
      </c>
      <c r="FI157" s="59">
        <f t="shared" si="131"/>
        <v>293.33333333333678</v>
      </c>
      <c r="FJ157" s="59">
        <f ca="1">AVERAGE(OFFSET($FI$3,0,0,'Données projet'!$E$16+1,1))-AVERAGE(OFFSET($H$3,0,0,'Données projet'!$E$16+1,1))</f>
        <v>346.42094266871379</v>
      </c>
      <c r="FK157" s="59">
        <f t="shared" si="156"/>
        <v>453.48153556975973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26.618439641279423</v>
      </c>
      <c r="FR157" s="21">
        <f>EXP(-LN(2)/25)*FR156+(1-EXP(-LN(2)/25))/(LN(2)/25)*Calculateur!FM157*Calculateur!FO157*VLOOKUP('Données projet'!$B$16,Paramètres!$A$1:$I$89,3,0)*0.475*44/12</f>
        <v>7.7875696300580266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34.406009271337453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-1.1368683772161603E-13</v>
      </c>
      <c r="GA157" s="17">
        <f>FZ157*VLOOKUP('Données projet'!$B$17,Paramètres!$A$1:$I$89,3,0)*VLOOKUP('Données projet'!$B$17,Paramètres!$A$1:$I$89,5,0)</f>
        <v>-5.3205440053716299E-14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198.26255998041</v>
      </c>
      <c r="GF157" s="59">
        <f t="shared" si="158"/>
        <v>238.62101708181166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17.061601598484298</v>
      </c>
      <c r="GM157" s="21">
        <f>EXP(-LN(2)/25)*GM156+(1-EXP(-LN(2)/25))/(LN(2)/25)*Calculateur!GH157*Calculateur!GJ157*VLOOKUP('Données projet'!$B$17,Paramètres!$A$1:$I$89,3,0)*0.475*44/12</f>
        <v>4.5960069357429614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21.657608534227258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>
        <f>GU157*VLOOKUP('Données projet'!$B$18,Paramètres!$A$1:$I$89,3,0)*VLOOKUP('Données projet'!$B$18,Paramètres!$A$1:$I$89,5,0)</f>
        <v>0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604.0566904089452</v>
      </c>
      <c r="HA157" s="59">
        <f t="shared" si="160"/>
        <v>369.5187835902687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49.904437078484378</v>
      </c>
      <c r="HH157" s="21">
        <f>EXP(-LN(2)/25)*HH156+(1-EXP(-LN(2)/25))/(LN(2)/25)*Calculateur!HC157*Calculateur!HE157*VLOOKUP('Données projet'!$B$18,Paramètres!$A$1:$I$89,3,0)*0.475*44/12</f>
        <v>12.987171833553479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62.891608912037853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-5.1431925385259088E-14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528.20489749461376</v>
      </c>
      <c r="T158" s="59">
        <f t="shared" si="142"/>
        <v>276.26988364830532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164.96196903760938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164.96196903760938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2.0572770154103635E-13</v>
      </c>
      <c r="AK158" s="13">
        <f t="shared" si="164"/>
        <v>2.8416956338469711E-12</v>
      </c>
      <c r="AL158" s="20">
        <f t="shared" si="165"/>
        <v>5.3075956424674458E-12</v>
      </c>
      <c r="AM158" s="59">
        <f t="shared" si="113"/>
        <v>293.3333333333386</v>
      </c>
      <c r="AN158" s="59">
        <f ca="1">AVERAGE(OFFSET($AM$3,0,0,'Données projet'!$E$10+1,1))-AVERAGE(OFFSET($H$3,0,0,'Données projet'!$E$10+1,1))</f>
        <v>436.23918637269577</v>
      </c>
      <c r="AO158" s="59">
        <f t="shared" si="144"/>
        <v>611.43967996341894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8.2670664255734003</v>
      </c>
      <c r="AV158" s="21">
        <f>EXP(-LN(2)/25)*AV157+(1-EXP(-LN(2)/25))/(LN(2)/25)*Calculateur!AQ158*Calculateur!AS158*VLOOKUP('Données projet'!$B$10,Paramètres!$A$1:$I$89,3,0)*0.475*44/12</f>
        <v>2.0503141347382607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10.317380560311662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4.4337866711430253E-14</v>
      </c>
      <c r="BF158" s="13">
        <f t="shared" si="167"/>
        <v>7.3222115536967035E-13</v>
      </c>
      <c r="BG158" s="20">
        <f t="shared" si="168"/>
        <v>1.3525069634579169E-12</v>
      </c>
      <c r="BH158" s="59">
        <f t="shared" si="116"/>
        <v>293.33333333333468</v>
      </c>
      <c r="BI158" s="59">
        <f ca="1">AVERAGE(OFFSET($BH$3,0,0,'Données projet'!$E$11+1,1))-AVERAGE(OFFSET($H$3,0,0,'Données projet'!$E$11+1,1))</f>
        <v>288.82868507674738</v>
      </c>
      <c r="BJ158" s="59">
        <f t="shared" si="146"/>
        <v>283.48738729114024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16.106536851140184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16.106536851140184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2.1316282072803006E-14</v>
      </c>
      <c r="BZ158" s="13">
        <f>BY158*VLOOKUP('Données projet'!$B$12,Paramètres!$A$1:$I$89,3,0)*VLOOKUP('Données projet'!$B$12,Paramètres!$A$1:$I$89,5,0)</f>
        <v>1.8621904018800709E-14</v>
      </c>
      <c r="CA158" s="13">
        <f t="shared" si="170"/>
        <v>3.40208645124969E-13</v>
      </c>
      <c r="CB158" s="20">
        <f t="shared" si="171"/>
        <v>6.2496320642539887E-13</v>
      </c>
      <c r="CC158" s="59">
        <f t="shared" si="119"/>
        <v>293.33333333333394</v>
      </c>
      <c r="CD158" s="59">
        <f ca="1">AVERAGE(OFFSET($CC$3,0,0,'Données projet'!$E$12+1,1))-AVERAGE(OFFSET($H$3,0,0,'Données projet'!$E$12+1,1))</f>
        <v>93.329407403816901</v>
      </c>
      <c r="CE158" s="59">
        <f t="shared" si="148"/>
        <v>90.925148357295313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3.9379192645731607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3.9379192645731607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-2.2737367544323206E-13</v>
      </c>
      <c r="CU158" s="17">
        <f>CT158*VLOOKUP('Données projet'!$B$13,Paramètres!$A$1:$I$89,3,0)*VLOOKUP('Données projet'!$B$13,Paramètres!$A$1:$I$89,5,0)</f>
        <v>-2.1636878955177963E-13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805.04572055352492</v>
      </c>
      <c r="CZ158" s="59">
        <f t="shared" si="150"/>
        <v>708.66645042414962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92.09804916105746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92.09804916105746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-1.1368683772161603E-13</v>
      </c>
      <c r="DP158" s="17">
        <f>DO158*VLOOKUP('Données projet'!$B$14,Paramètres!$A$1:$I$89,3,0)*VLOOKUP('Données projet'!$B$14,Paramètres!$A$1:$I$89,5,0)</f>
        <v>-7.626113074366004E-14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482.69499576870095</v>
      </c>
      <c r="DU158" s="59">
        <f t="shared" si="152"/>
        <v>384.28918352579575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56.971361767965575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56.971361767965575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1.7053025658242404E-13</v>
      </c>
      <c r="EK158" s="17">
        <f>EJ158*VLOOKUP('Données projet'!$B$15,Paramètres!$A$1:$I$89,3,0)*VLOOKUP('Données projet'!$B$15,Paramètres!$A$1:$I$89,5,0)</f>
        <v>1.250327841262333E-13</v>
      </c>
      <c r="EL158" s="13">
        <f t="shared" si="179"/>
        <v>1.8301318724634299E-12</v>
      </c>
      <c r="EM158" s="20">
        <f t="shared" si="180"/>
        <v>3.405245110226996E-12</v>
      </c>
      <c r="EN158" s="59">
        <f t="shared" si="128"/>
        <v>293.33333333333672</v>
      </c>
      <c r="EO158" s="59">
        <f ca="1">AVERAGE(OFFSET($EN$3,0,0,'Données projet'!$E$15+1,1))-AVERAGE(OFFSET($H$3,0,0,'Données projet'!$E$15+1,1))</f>
        <v>197.34725966440715</v>
      </c>
      <c r="EP158" s="59">
        <f t="shared" si="154"/>
        <v>240.16326570529532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5.4689881259041924</v>
      </c>
      <c r="EW158" s="21">
        <f>EXP(-LN(2)/25)*EW157+(1-EXP(-LN(2)/25))/(LN(2)/25)*Calculateur!ER158*Calculateur!ET158*VLOOKUP('Données projet'!$B$15,Paramètres!$A$1:$I$89,3,0)*0.475*44/12</f>
        <v>1.6757526267118779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7.1447407526160704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2.2737367544323206E-13</v>
      </c>
      <c r="FF158" s="17">
        <f>FE158*VLOOKUP('Données projet'!$B$16,Paramètres!$A$1:$I$89,3,0)*VLOOKUP('Données projet'!$B$16,Paramètres!$A$1:$I$89,5,0)</f>
        <v>1.2710188457276673E-13</v>
      </c>
      <c r="FG158" s="13">
        <f t="shared" si="182"/>
        <v>1.856866851063998E-12</v>
      </c>
      <c r="FH158" s="20">
        <f t="shared" si="183"/>
        <v>3.4554122145673649E-12</v>
      </c>
      <c r="FI158" s="59">
        <f t="shared" si="131"/>
        <v>293.33333333333678</v>
      </c>
      <c r="FJ158" s="59">
        <f ca="1">AVERAGE(OFFSET($FI$3,0,0,'Données projet'!$E$16+1,1))-AVERAGE(OFFSET($H$3,0,0,'Données projet'!$E$16+1,1))</f>
        <v>346.42094266871379</v>
      </c>
      <c r="FK158" s="59">
        <f t="shared" si="156"/>
        <v>453.48153556975973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26.096468275558976</v>
      </c>
      <c r="FR158" s="21">
        <f>EXP(-LN(2)/25)*FR157+(1-EXP(-LN(2)/25))/(LN(2)/25)*Calculateur!FM158*Calculateur!FO158*VLOOKUP('Données projet'!$B$16,Paramètres!$A$1:$I$89,3,0)*0.475*44/12</f>
        <v>7.5746181289936017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33.671086404552575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-1.1368683772161603E-13</v>
      </c>
      <c r="GA158" s="17">
        <f>FZ158*VLOOKUP('Données projet'!$B$17,Paramètres!$A$1:$I$89,3,0)*VLOOKUP('Données projet'!$B$17,Paramètres!$A$1:$I$89,5,0)</f>
        <v>-5.3205440053716299E-14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198.26255998041</v>
      </c>
      <c r="GF158" s="59">
        <f t="shared" si="158"/>
        <v>238.62101708181166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16.727033997687435</v>
      </c>
      <c r="GM158" s="21">
        <f>EXP(-LN(2)/25)*GM157+(1-EXP(-LN(2)/25))/(LN(2)/25)*Calculateur!GH158*Calculateur!GJ158*VLOOKUP('Données projet'!$B$17,Paramètres!$A$1:$I$89,3,0)*0.475*44/12</f>
        <v>4.4703288843915701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21.197362882079005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>
        <f>GU158*VLOOKUP('Données projet'!$B$18,Paramètres!$A$1:$I$89,3,0)*VLOOKUP('Données projet'!$B$18,Paramètres!$A$1:$I$89,5,0)</f>
        <v>0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604.0566904089452</v>
      </c>
      <c r="HA158" s="59">
        <f t="shared" si="160"/>
        <v>369.5187835902687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48.925841506076345</v>
      </c>
      <c r="HH158" s="21">
        <f>EXP(-LN(2)/25)*HH157+(1-EXP(-LN(2)/25))/(LN(2)/25)*Calculateur!HC158*Calculateur!HE158*VLOOKUP('Données projet'!$B$18,Paramètres!$A$1:$I$89,3,0)*0.475*44/12</f>
        <v>12.632036936799274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61.557878442875619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-5.1431925385259088E-14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528.20489749461376</v>
      </c>
      <c r="T159" s="59">
        <f t="shared" si="142"/>
        <v>276.26988364830532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161.72716544164788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161.72716544164788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2.0572770154103635E-13</v>
      </c>
      <c r="AK159" s="13">
        <f t="shared" si="164"/>
        <v>2.8416956338469711E-12</v>
      </c>
      <c r="AL159" s="20">
        <f t="shared" si="165"/>
        <v>5.3075956424674458E-12</v>
      </c>
      <c r="AM159" s="59">
        <f t="shared" si="113"/>
        <v>293.3333333333386</v>
      </c>
      <c r="AN159" s="59">
        <f ca="1">AVERAGE(OFFSET($AM$3,0,0,'Données projet'!$E$10+1,1))-AVERAGE(OFFSET($H$3,0,0,'Données projet'!$E$10+1,1))</f>
        <v>436.23918637269577</v>
      </c>
      <c r="AO159" s="59">
        <f t="shared" si="144"/>
        <v>611.43967996341894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8.1049542953805283</v>
      </c>
      <c r="AV159" s="21">
        <f>EXP(-LN(2)/25)*AV158+(1-EXP(-LN(2)/25))/(LN(2)/25)*Calculateur!AQ159*Calculateur!AS159*VLOOKUP('Données projet'!$B$10,Paramètres!$A$1:$I$89,3,0)*0.475*44/12</f>
        <v>1.9942481869025086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10.099202482283037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4.4337866711430253E-14</v>
      </c>
      <c r="BF159" s="13">
        <f t="shared" si="167"/>
        <v>7.3222115536967035E-13</v>
      </c>
      <c r="BG159" s="20">
        <f t="shared" si="168"/>
        <v>1.3525069634579169E-12</v>
      </c>
      <c r="BH159" s="59">
        <f t="shared" si="116"/>
        <v>293.33333333333468</v>
      </c>
      <c r="BI159" s="59">
        <f ca="1">AVERAGE(OFFSET($BH$3,0,0,'Données projet'!$E$11+1,1))-AVERAGE(OFFSET($H$3,0,0,'Données projet'!$E$11+1,1))</f>
        <v>288.82868507674738</v>
      </c>
      <c r="BJ159" s="59">
        <f t="shared" si="146"/>
        <v>283.48738729114024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15.790697487506764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15.790697487506764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2.1316282072803006E-14</v>
      </c>
      <c r="BZ159" s="13">
        <f>BY159*VLOOKUP('Données projet'!$B$12,Paramètres!$A$1:$I$89,3,0)*VLOOKUP('Données projet'!$B$12,Paramètres!$A$1:$I$89,5,0)</f>
        <v>1.8621904018800709E-14</v>
      </c>
      <c r="CA159" s="13">
        <f t="shared" si="170"/>
        <v>3.40208645124969E-13</v>
      </c>
      <c r="CB159" s="20">
        <f t="shared" si="171"/>
        <v>6.2496320642539887E-13</v>
      </c>
      <c r="CC159" s="59">
        <f t="shared" si="119"/>
        <v>293.33333333333394</v>
      </c>
      <c r="CD159" s="59">
        <f ca="1">AVERAGE(OFFSET($CC$3,0,0,'Données projet'!$E$12+1,1))-AVERAGE(OFFSET($H$3,0,0,'Données projet'!$E$12+1,1))</f>
        <v>93.329407403816901</v>
      </c>
      <c r="CE159" s="59">
        <f t="shared" si="148"/>
        <v>90.925148357295313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3.8606990696884651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3.8606990696884651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-2.2737367544323206E-13</v>
      </c>
      <c r="CU159" s="17">
        <f>CT159*VLOOKUP('Données projet'!$B$13,Paramètres!$A$1:$I$89,3,0)*VLOOKUP('Données projet'!$B$13,Paramètres!$A$1:$I$89,5,0)</f>
        <v>-2.1636878955177963E-13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805.04572055352492</v>
      </c>
      <c r="CZ159" s="59">
        <f t="shared" si="150"/>
        <v>708.66645042414962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90.292062591272369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90.292062591272369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-1.1368683772161603E-13</v>
      </c>
      <c r="DP159" s="17">
        <f>DO159*VLOOKUP('Données projet'!$B$14,Paramètres!$A$1:$I$89,3,0)*VLOOKUP('Données projet'!$B$14,Paramètres!$A$1:$I$89,5,0)</f>
        <v>-7.626113074366004E-14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482.69499576870095</v>
      </c>
      <c r="DU159" s="59">
        <f t="shared" si="152"/>
        <v>384.28918352579575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55.854188112795264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55.854188112795264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1.7053025658242404E-13</v>
      </c>
      <c r="EK159" s="17">
        <f>EJ159*VLOOKUP('Données projet'!$B$15,Paramètres!$A$1:$I$89,3,0)*VLOOKUP('Données projet'!$B$15,Paramètres!$A$1:$I$89,5,0)</f>
        <v>1.250327841262333E-13</v>
      </c>
      <c r="EL159" s="13">
        <f t="shared" si="179"/>
        <v>1.8301318724634299E-12</v>
      </c>
      <c r="EM159" s="20">
        <f t="shared" si="180"/>
        <v>3.405245110226996E-12</v>
      </c>
      <c r="EN159" s="59">
        <f t="shared" si="128"/>
        <v>293.33333333333672</v>
      </c>
      <c r="EO159" s="59">
        <f ca="1">AVERAGE(OFFSET($EN$3,0,0,'Données projet'!$E$15+1,1))-AVERAGE(OFFSET($H$3,0,0,'Données projet'!$E$15+1,1))</f>
        <v>197.34725966440715</v>
      </c>
      <c r="EP159" s="59">
        <f t="shared" si="154"/>
        <v>240.16326570529532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5.3617446045085897</v>
      </c>
      <c r="EW159" s="21">
        <f>EXP(-LN(2)/25)*EW158+(1-EXP(-LN(2)/25))/(LN(2)/25)*Calculateur!ER159*Calculateur!ET159*VLOOKUP('Données projet'!$B$15,Paramètres!$A$1:$I$89,3,0)*0.475*44/12</f>
        <v>1.6299290830104409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6.9916736875190306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2.2737367544323206E-13</v>
      </c>
      <c r="FF159" s="17">
        <f>FE159*VLOOKUP('Données projet'!$B$16,Paramètres!$A$1:$I$89,3,0)*VLOOKUP('Données projet'!$B$16,Paramètres!$A$1:$I$89,5,0)</f>
        <v>1.2710188457276673E-13</v>
      </c>
      <c r="FG159" s="13">
        <f t="shared" si="182"/>
        <v>1.856866851063998E-12</v>
      </c>
      <c r="FH159" s="20">
        <f t="shared" si="183"/>
        <v>3.4554122145673649E-12</v>
      </c>
      <c r="FI159" s="59">
        <f t="shared" si="131"/>
        <v>293.33333333333678</v>
      </c>
      <c r="FJ159" s="59">
        <f ca="1">AVERAGE(OFFSET($FI$3,0,0,'Données projet'!$E$16+1,1))-AVERAGE(OFFSET($H$3,0,0,'Données projet'!$E$16+1,1))</f>
        <v>346.42094266871379</v>
      </c>
      <c r="FK159" s="59">
        <f t="shared" si="156"/>
        <v>453.48153556975973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25.584732449949211</v>
      </c>
      <c r="FR159" s="21">
        <f>EXP(-LN(2)/25)*FR158+(1-EXP(-LN(2)/25))/(LN(2)/25)*Calculateur!FM159*Calculateur!FO159*VLOOKUP('Données projet'!$B$16,Paramètres!$A$1:$I$89,3,0)*0.475*44/12</f>
        <v>7.3674897979244163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32.952222247873628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-1.1368683772161603E-13</v>
      </c>
      <c r="GA159" s="17">
        <f>FZ159*VLOOKUP('Données projet'!$B$17,Paramètres!$A$1:$I$89,3,0)*VLOOKUP('Données projet'!$B$17,Paramètres!$A$1:$I$89,5,0)</f>
        <v>-5.3205440053716299E-14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198.26255998041</v>
      </c>
      <c r="GF159" s="59">
        <f t="shared" si="158"/>
        <v>238.62101708181166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16.399027063476112</v>
      </c>
      <c r="GM159" s="21">
        <f>EXP(-LN(2)/25)*GM158+(1-EXP(-LN(2)/25))/(LN(2)/25)*Calculateur!GH159*Calculateur!GJ159*VLOOKUP('Données projet'!$B$17,Paramètres!$A$1:$I$89,3,0)*0.475*44/12</f>
        <v>4.3480875059635036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20.747114569439617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>
        <f>GU159*VLOOKUP('Données projet'!$B$18,Paramètres!$A$1:$I$89,3,0)*VLOOKUP('Données projet'!$B$18,Paramètres!$A$1:$I$89,5,0)</f>
        <v>0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604.0566904089452</v>
      </c>
      <c r="HA159" s="59">
        <f t="shared" si="160"/>
        <v>369.5187835902687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47.96643559595887</v>
      </c>
      <c r="HH159" s="21">
        <f>EXP(-LN(2)/25)*HH158+(1-EXP(-LN(2)/25))/(LN(2)/25)*Calculateur!HC159*Calculateur!HE159*VLOOKUP('Données projet'!$B$18,Paramètres!$A$1:$I$89,3,0)*0.475*44/12</f>
        <v>12.286613222472546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60.253048818431417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-5.1431925385259088E-14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528.20489749461376</v>
      </c>
      <c r="T160" s="59">
        <f t="shared" si="142"/>
        <v>276.26988364830532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158.55579437116782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158.55579437116782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2.0572770154103635E-13</v>
      </c>
      <c r="AK160" s="13">
        <f t="shared" si="164"/>
        <v>2.8416956338469711E-12</v>
      </c>
      <c r="AL160" s="20">
        <f t="shared" si="165"/>
        <v>5.3075956424674458E-12</v>
      </c>
      <c r="AM160" s="59">
        <f t="shared" si="113"/>
        <v>293.3333333333386</v>
      </c>
      <c r="AN160" s="59">
        <f ca="1">AVERAGE(OFFSET($AM$3,0,0,'Données projet'!$E$10+1,1))-AVERAGE(OFFSET($H$3,0,0,'Données projet'!$E$10+1,1))</f>
        <v>436.23918637269577</v>
      </c>
      <c r="AO160" s="59">
        <f t="shared" si="144"/>
        <v>611.43967996341894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7.9460210851821031</v>
      </c>
      <c r="AV160" s="21">
        <f>EXP(-LN(2)/25)*AV159+(1-EXP(-LN(2)/25))/(LN(2)/25)*Calculateur!AQ160*Calculateur!AS160*VLOOKUP('Données projet'!$B$10,Paramètres!$A$1:$I$89,3,0)*0.475*44/12</f>
        <v>1.9397153653587054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9.8857364505408079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4.4337866711430253E-14</v>
      </c>
      <c r="BF160" s="13">
        <f t="shared" si="167"/>
        <v>7.3222115536967035E-13</v>
      </c>
      <c r="BG160" s="20">
        <f t="shared" si="168"/>
        <v>1.3525069634579169E-12</v>
      </c>
      <c r="BH160" s="59">
        <f t="shared" si="116"/>
        <v>293.33333333333468</v>
      </c>
      <c r="BI160" s="59">
        <f ca="1">AVERAGE(OFFSET($BH$3,0,0,'Données projet'!$E$11+1,1))-AVERAGE(OFFSET($H$3,0,0,'Données projet'!$E$11+1,1))</f>
        <v>288.82868507674738</v>
      </c>
      <c r="BJ160" s="59">
        <f t="shared" si="146"/>
        <v>283.48738729114024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15.481051541151205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15.481051541151205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2.1316282072803006E-14</v>
      </c>
      <c r="BZ160" s="13">
        <f>BY160*VLOOKUP('Données projet'!$B$12,Paramètres!$A$1:$I$89,3,0)*VLOOKUP('Données projet'!$B$12,Paramètres!$A$1:$I$89,5,0)</f>
        <v>1.8621904018800709E-14</v>
      </c>
      <c r="CA160" s="13">
        <f t="shared" si="170"/>
        <v>3.40208645124969E-13</v>
      </c>
      <c r="CB160" s="20">
        <f t="shared" si="171"/>
        <v>6.2496320642539887E-13</v>
      </c>
      <c r="CC160" s="59">
        <f t="shared" si="119"/>
        <v>293.33333333333394</v>
      </c>
      <c r="CD160" s="59">
        <f ca="1">AVERAGE(OFFSET($CC$3,0,0,'Données projet'!$E$12+1,1))-AVERAGE(OFFSET($H$3,0,0,'Données projet'!$E$12+1,1))</f>
        <v>93.329407403816901</v>
      </c>
      <c r="CE160" s="59">
        <f t="shared" si="148"/>
        <v>90.925148357295313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3.7849931157257903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3.7849931157257903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-2.2737367544323206E-13</v>
      </c>
      <c r="CU160" s="17">
        <f>CT160*VLOOKUP('Données projet'!$B$13,Paramètres!$A$1:$I$89,3,0)*VLOOKUP('Données projet'!$B$13,Paramètres!$A$1:$I$89,5,0)</f>
        <v>-2.1636878955177963E-13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805.04572055352492</v>
      </c>
      <c r="CZ160" s="59">
        <f t="shared" si="150"/>
        <v>708.66645042414962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88.521490316577726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88.521490316577726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-1.1368683772161603E-13</v>
      </c>
      <c r="DP160" s="17">
        <f>DO160*VLOOKUP('Données projet'!$B$14,Paramètres!$A$1:$I$89,3,0)*VLOOKUP('Données projet'!$B$14,Paramètres!$A$1:$I$89,5,0)</f>
        <v>-7.626113074366004E-14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482.69499576870095</v>
      </c>
      <c r="DU160" s="59">
        <f t="shared" si="152"/>
        <v>384.28918352579575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54.758921551594192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54.758921551594192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1.7053025658242404E-13</v>
      </c>
      <c r="EK160" s="17">
        <f>EJ160*VLOOKUP('Données projet'!$B$15,Paramètres!$A$1:$I$89,3,0)*VLOOKUP('Données projet'!$B$15,Paramètres!$A$1:$I$89,5,0)</f>
        <v>1.250327841262333E-13</v>
      </c>
      <c r="EL160" s="13">
        <f t="shared" si="179"/>
        <v>1.8301318724634299E-12</v>
      </c>
      <c r="EM160" s="20">
        <f t="shared" si="180"/>
        <v>3.405245110226996E-12</v>
      </c>
      <c r="EN160" s="59">
        <f t="shared" si="128"/>
        <v>293.33333333333672</v>
      </c>
      <c r="EO160" s="59">
        <f ca="1">AVERAGE(OFFSET($EN$3,0,0,'Données projet'!$E$15+1,1))-AVERAGE(OFFSET($H$3,0,0,'Données projet'!$E$15+1,1))</f>
        <v>197.34725966440715</v>
      </c>
      <c r="EP160" s="59">
        <f t="shared" si="154"/>
        <v>240.16326570529532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5.256604063155466</v>
      </c>
      <c r="EW160" s="21">
        <f>EXP(-LN(2)/25)*EW159+(1-EXP(-LN(2)/25))/(LN(2)/25)*Calculateur!ER160*Calculateur!ET160*VLOOKUP('Données projet'!$B$15,Paramètres!$A$1:$I$89,3,0)*0.475*44/12</f>
        <v>1.5853585865212751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6.8419626496767414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2.2737367544323206E-13</v>
      </c>
      <c r="FF160" s="17">
        <f>FE160*VLOOKUP('Données projet'!$B$16,Paramètres!$A$1:$I$89,3,0)*VLOOKUP('Données projet'!$B$16,Paramètres!$A$1:$I$89,5,0)</f>
        <v>1.2710188457276673E-13</v>
      </c>
      <c r="FG160" s="13">
        <f t="shared" si="182"/>
        <v>1.856866851063998E-12</v>
      </c>
      <c r="FH160" s="20">
        <f t="shared" si="183"/>
        <v>3.4554122145673649E-12</v>
      </c>
      <c r="FI160" s="59">
        <f t="shared" si="131"/>
        <v>293.33333333333678</v>
      </c>
      <c r="FJ160" s="59">
        <f ca="1">AVERAGE(OFFSET($FI$3,0,0,'Données projet'!$E$16+1,1))-AVERAGE(OFFSET($H$3,0,0,'Données projet'!$E$16+1,1))</f>
        <v>346.42094266871379</v>
      </c>
      <c r="FK160" s="59">
        <f t="shared" si="156"/>
        <v>453.48153556975973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25.083031451751623</v>
      </c>
      <c r="FR160" s="21">
        <f>EXP(-LN(2)/25)*FR159+(1-EXP(-LN(2)/25))/(LN(2)/25)*Calculateur!FM160*Calculateur!FO160*VLOOKUP('Données projet'!$B$16,Paramètres!$A$1:$I$89,3,0)*0.475*44/12</f>
        <v>7.1660254019607237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32.249056853712347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-1.1368683772161603E-13</v>
      </c>
      <c r="GA160" s="17">
        <f>FZ160*VLOOKUP('Données projet'!$B$17,Paramètres!$A$1:$I$89,3,0)*VLOOKUP('Données projet'!$B$17,Paramètres!$A$1:$I$89,5,0)</f>
        <v>-5.3205440053716299E-14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198.26255998041</v>
      </c>
      <c r="GF160" s="59">
        <f t="shared" si="158"/>
        <v>238.62101708181166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16.077452145180196</v>
      </c>
      <c r="GM160" s="21">
        <f>EXP(-LN(2)/25)*GM159+(1-EXP(-LN(2)/25))/(LN(2)/25)*Calculateur!GH160*Calculateur!GJ160*VLOOKUP('Données projet'!$B$17,Paramètres!$A$1:$I$89,3,0)*0.475*44/12</f>
        <v>4.2291888244569469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20.306640969637144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>
        <f>GU160*VLOOKUP('Données projet'!$B$18,Paramètres!$A$1:$I$89,3,0)*VLOOKUP('Données projet'!$B$18,Paramètres!$A$1:$I$89,5,0)</f>
        <v>0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604.0566904089452</v>
      </c>
      <c r="HA160" s="59">
        <f t="shared" si="160"/>
        <v>369.5187835902687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47.025843050558976</v>
      </c>
      <c r="HH160" s="21">
        <f>EXP(-LN(2)/25)*HH159+(1-EXP(-LN(2)/25))/(LN(2)/25)*Calculateur!HC160*Calculateur!HE160*VLOOKUP('Données projet'!$B$18,Paramètres!$A$1:$I$89,3,0)*0.475*44/12</f>
        <v>11.950635137779127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58.976478188338106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-5.1431925385259088E-14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528.20489749461376</v>
      </c>
      <c r="T161" s="59">
        <f t="shared" si="142"/>
        <v>276.26988364830532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155.44661195303451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155.44661195303451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2.0572770154103635E-13</v>
      </c>
      <c r="AK161" s="13">
        <f t="shared" si="164"/>
        <v>2.8416956338469711E-12</v>
      </c>
      <c r="AL161" s="20">
        <f t="shared" si="165"/>
        <v>5.3075956424674458E-12</v>
      </c>
      <c r="AM161" s="59">
        <f t="shared" si="113"/>
        <v>293.3333333333386</v>
      </c>
      <c r="AN161" s="59">
        <f ca="1">AVERAGE(OFFSET($AM$3,0,0,'Données projet'!$E$10+1,1))-AVERAGE(OFFSET($H$3,0,0,'Données projet'!$E$10+1,1))</f>
        <v>436.23918637269577</v>
      </c>
      <c r="AO161" s="59">
        <f t="shared" si="144"/>
        <v>611.43967996341894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7.7902044582959826</v>
      </c>
      <c r="AV161" s="21">
        <f>EXP(-LN(2)/25)*AV160+(1-EXP(-LN(2)/25))/(LN(2)/25)*Calculateur!AQ161*Calculateur!AS161*VLOOKUP('Données projet'!$B$10,Paramètres!$A$1:$I$89,3,0)*0.475*44/12</f>
        <v>1.8866737466877739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9.6768782049837565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4.4337866711430253E-14</v>
      </c>
      <c r="BF161" s="13">
        <f t="shared" si="167"/>
        <v>7.3222115536967035E-13</v>
      </c>
      <c r="BG161" s="20">
        <f t="shared" si="168"/>
        <v>1.3525069634579169E-12</v>
      </c>
      <c r="BH161" s="59">
        <f t="shared" si="116"/>
        <v>293.33333333333468</v>
      </c>
      <c r="BI161" s="59">
        <f ca="1">AVERAGE(OFFSET($BH$3,0,0,'Données projet'!$E$11+1,1))-AVERAGE(OFFSET($H$3,0,0,'Données projet'!$E$11+1,1))</f>
        <v>288.82868507674738</v>
      </c>
      <c r="BJ161" s="59">
        <f t="shared" si="146"/>
        <v>283.48738729114024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15.1774775629383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15.1774775629383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2.1316282072803006E-14</v>
      </c>
      <c r="BZ161" s="13">
        <f>BY161*VLOOKUP('Données projet'!$B$12,Paramètres!$A$1:$I$89,3,0)*VLOOKUP('Données projet'!$B$12,Paramètres!$A$1:$I$89,5,0)</f>
        <v>1.8621904018800709E-14</v>
      </c>
      <c r="CA161" s="13">
        <f t="shared" si="170"/>
        <v>3.40208645124969E-13</v>
      </c>
      <c r="CB161" s="20">
        <f t="shared" si="171"/>
        <v>6.2496320642539887E-13</v>
      </c>
      <c r="CC161" s="59">
        <f t="shared" si="119"/>
        <v>293.33333333333394</v>
      </c>
      <c r="CD161" s="59">
        <f ca="1">AVERAGE(OFFSET($CC$3,0,0,'Données projet'!$E$12+1,1))-AVERAGE(OFFSET($H$3,0,0,'Données projet'!$E$12+1,1))</f>
        <v>93.329407403816901</v>
      </c>
      <c r="CE161" s="59">
        <f t="shared" si="148"/>
        <v>90.925148357295313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3.7107717093442512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3.7107717093442512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-2.2737367544323206E-13</v>
      </c>
      <c r="CU161" s="17">
        <f>CT161*VLOOKUP('Données projet'!$B$13,Paramètres!$A$1:$I$89,3,0)*VLOOKUP('Données projet'!$B$13,Paramètres!$A$1:$I$89,5,0)</f>
        <v>-2.1636878955177963E-13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805.04572055352492</v>
      </c>
      <c r="CZ161" s="59">
        <f t="shared" si="150"/>
        <v>708.66645042414962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86.785637884247379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86.785637884247379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-1.1368683772161603E-13</v>
      </c>
      <c r="DP161" s="17">
        <f>DO161*VLOOKUP('Données projet'!$B$14,Paramètres!$A$1:$I$89,3,0)*VLOOKUP('Données projet'!$B$14,Paramètres!$A$1:$I$89,5,0)</f>
        <v>-7.626113074366004E-14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482.69499576870095</v>
      </c>
      <c r="DU161" s="59">
        <f t="shared" si="152"/>
        <v>384.28918352579575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53.685132499611633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53.685132499611633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1.7053025658242404E-13</v>
      </c>
      <c r="EK161" s="17">
        <f>EJ161*VLOOKUP('Données projet'!$B$15,Paramètres!$A$1:$I$89,3,0)*VLOOKUP('Données projet'!$B$15,Paramètres!$A$1:$I$89,5,0)</f>
        <v>1.250327841262333E-13</v>
      </c>
      <c r="EL161" s="13">
        <f t="shared" si="179"/>
        <v>1.8301318724634299E-12</v>
      </c>
      <c r="EM161" s="20">
        <f t="shared" si="180"/>
        <v>3.405245110226996E-12</v>
      </c>
      <c r="EN161" s="59">
        <f t="shared" si="128"/>
        <v>293.33333333333672</v>
      </c>
      <c r="EO161" s="59">
        <f ca="1">AVERAGE(OFFSET($EN$3,0,0,'Données projet'!$E$15+1,1))-AVERAGE(OFFSET($H$3,0,0,'Données projet'!$E$15+1,1))</f>
        <v>197.34725966440715</v>
      </c>
      <c r="EP161" s="59">
        <f t="shared" si="154"/>
        <v>240.16326570529532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5.1535252636888789</v>
      </c>
      <c r="EW161" s="21">
        <f>EXP(-LN(2)/25)*EW160+(1-EXP(-LN(2)/25))/(LN(2)/25)*Calculateur!ER161*Calculateur!ET161*VLOOKUP('Données projet'!$B$15,Paramètres!$A$1:$I$89,3,0)*0.475*44/12</f>
        <v>1.5420068726024663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6.6955321362913454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2.2737367544323206E-13</v>
      </c>
      <c r="FF161" s="17">
        <f>FE161*VLOOKUP('Données projet'!$B$16,Paramètres!$A$1:$I$89,3,0)*VLOOKUP('Données projet'!$B$16,Paramètres!$A$1:$I$89,5,0)</f>
        <v>1.2710188457276673E-13</v>
      </c>
      <c r="FG161" s="13">
        <f t="shared" si="182"/>
        <v>1.856866851063998E-12</v>
      </c>
      <c r="FH161" s="20">
        <f t="shared" si="183"/>
        <v>3.4554122145673649E-12</v>
      </c>
      <c r="FI161" s="59">
        <f t="shared" si="131"/>
        <v>293.33333333333678</v>
      </c>
      <c r="FJ161" s="59">
        <f ca="1">AVERAGE(OFFSET($FI$3,0,0,'Données projet'!$E$16+1,1))-AVERAGE(OFFSET($H$3,0,0,'Données projet'!$E$16+1,1))</f>
        <v>346.42094266871379</v>
      </c>
      <c r="FK161" s="59">
        <f t="shared" si="156"/>
        <v>453.48153556975973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24.591168504121296</v>
      </c>
      <c r="FR161" s="21">
        <f>EXP(-LN(2)/25)*FR160+(1-EXP(-LN(2)/25))/(LN(2)/25)*Calculateur!FM161*Calculateur!FO161*VLOOKUP('Données projet'!$B$16,Paramètres!$A$1:$I$89,3,0)*0.475*44/12</f>
        <v>6.9700700604992099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31.561238564620506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-1.1368683772161603E-13</v>
      </c>
      <c r="GA161" s="17">
        <f>FZ161*VLOOKUP('Données projet'!$B$17,Paramètres!$A$1:$I$89,3,0)*VLOOKUP('Données projet'!$B$17,Paramètres!$A$1:$I$89,5,0)</f>
        <v>-5.3205440053716299E-14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198.26255998041</v>
      </c>
      <c r="GF161" s="59">
        <f t="shared" si="158"/>
        <v>238.62101708181166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15.762183114890732</v>
      </c>
      <c r="GM161" s="21">
        <f>EXP(-LN(2)/25)*GM160+(1-EXP(-LN(2)/25))/(LN(2)/25)*Calculateur!GH161*Calculateur!GJ161*VLOOKUP('Données projet'!$B$17,Paramètres!$A$1:$I$89,3,0)*0.475*44/12</f>
        <v>4.1135414336487974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19.87572454853953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>
        <f>GU161*VLOOKUP('Données projet'!$B$18,Paramètres!$A$1:$I$89,3,0)*VLOOKUP('Données projet'!$B$18,Paramètres!$A$1:$I$89,5,0)</f>
        <v>0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604.0566904089452</v>
      </c>
      <c r="HA161" s="59">
        <f t="shared" si="160"/>
        <v>369.5187835902687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46.103694951269574</v>
      </c>
      <c r="HH161" s="21">
        <f>EXP(-LN(2)/25)*HH160+(1-EXP(-LN(2)/25))/(LN(2)/25)*Calculateur!HC161*Calculateur!HE161*VLOOKUP('Données projet'!$B$18,Paramètres!$A$1:$I$89,3,0)*0.475*44/12</f>
        <v>11.623844391479969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57.727539342749544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-5.1431925385259088E-14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528.20489749461376</v>
      </c>
      <c r="T162" s="59">
        <f t="shared" si="142"/>
        <v>276.26988364830532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152.39839870570677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152.39839870570677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2.0572770154103635E-13</v>
      </c>
      <c r="AK162" s="13">
        <f t="shared" si="164"/>
        <v>2.8416956338469711E-12</v>
      </c>
      <c r="AL162" s="20">
        <f t="shared" si="165"/>
        <v>5.3075956424674458E-12</v>
      </c>
      <c r="AM162" s="59">
        <f t="shared" si="113"/>
        <v>293.3333333333386</v>
      </c>
      <c r="AN162" s="59">
        <f ca="1">AVERAGE(OFFSET($AM$3,0,0,'Données projet'!$E$10+1,1))-AVERAGE(OFFSET($H$3,0,0,'Données projet'!$E$10+1,1))</f>
        <v>436.23918637269577</v>
      </c>
      <c r="AO162" s="59">
        <f t="shared" si="144"/>
        <v>611.43967996341894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7.6374433004243407</v>
      </c>
      <c r="AV162" s="21">
        <f>EXP(-LN(2)/25)*AV161+(1-EXP(-LN(2)/25))/(LN(2)/25)*Calculateur!AQ162*Calculateur!AS162*VLOOKUP('Données projet'!$B$10,Paramètres!$A$1:$I$89,3,0)*0.475*44/12</f>
        <v>1.8350825538687363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9.4725258542930764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4.4337866711430253E-14</v>
      </c>
      <c r="BF162" s="13">
        <f t="shared" si="167"/>
        <v>7.3222115536967035E-13</v>
      </c>
      <c r="BG162" s="20">
        <f t="shared" si="168"/>
        <v>1.3525069634579169E-12</v>
      </c>
      <c r="BH162" s="59">
        <f t="shared" si="116"/>
        <v>293.33333333333468</v>
      </c>
      <c r="BI162" s="59">
        <f ca="1">AVERAGE(OFFSET($BH$3,0,0,'Données projet'!$E$11+1,1))-AVERAGE(OFFSET($H$3,0,0,'Données projet'!$E$11+1,1))</f>
        <v>288.82868507674738</v>
      </c>
      <c r="BJ162" s="59">
        <f t="shared" si="146"/>
        <v>283.48738729114024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14.879856485276306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14.879856485276306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2.1316282072803006E-14</v>
      </c>
      <c r="BZ162" s="13">
        <f>BY162*VLOOKUP('Données projet'!$B$12,Paramètres!$A$1:$I$89,3,0)*VLOOKUP('Données projet'!$B$12,Paramètres!$A$1:$I$89,5,0)</f>
        <v>1.8621904018800709E-14</v>
      </c>
      <c r="CA162" s="13">
        <f t="shared" si="170"/>
        <v>3.40208645124969E-13</v>
      </c>
      <c r="CB162" s="20">
        <f t="shared" si="171"/>
        <v>6.2496320642539887E-13</v>
      </c>
      <c r="CC162" s="59">
        <f t="shared" si="119"/>
        <v>293.33333333333394</v>
      </c>
      <c r="CD162" s="59">
        <f ca="1">AVERAGE(OFFSET($CC$3,0,0,'Données projet'!$E$12+1,1))-AVERAGE(OFFSET($H$3,0,0,'Données projet'!$E$12+1,1))</f>
        <v>93.329407403816901</v>
      </c>
      <c r="CE162" s="59">
        <f t="shared" si="148"/>
        <v>90.925148357295313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3.6380057394712662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3.6380057394712662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-2.2737367544323206E-13</v>
      </c>
      <c r="CU162" s="17">
        <f>CT162*VLOOKUP('Données projet'!$B$13,Paramètres!$A$1:$I$89,3,0)*VLOOKUP('Données projet'!$B$13,Paramètres!$A$1:$I$89,5,0)</f>
        <v>-2.1636878955177963E-13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805.04572055352492</v>
      </c>
      <c r="CZ162" s="59">
        <f t="shared" si="150"/>
        <v>708.66645042414962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85.0838244593496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85.0838244593496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-1.1368683772161603E-13</v>
      </c>
      <c r="DP162" s="17">
        <f>DO162*VLOOKUP('Données projet'!$B$14,Paramètres!$A$1:$I$89,3,0)*VLOOKUP('Données projet'!$B$14,Paramètres!$A$1:$I$89,5,0)</f>
        <v>-7.626113074366004E-14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482.69499576870095</v>
      </c>
      <c r="DU162" s="59">
        <f t="shared" si="152"/>
        <v>384.28918352579575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52.632399795991802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52.632399795991802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1.7053025658242404E-13</v>
      </c>
      <c r="EK162" s="17">
        <f>EJ162*VLOOKUP('Données projet'!$B$15,Paramètres!$A$1:$I$89,3,0)*VLOOKUP('Données projet'!$B$15,Paramètres!$A$1:$I$89,5,0)</f>
        <v>1.250327841262333E-13</v>
      </c>
      <c r="EL162" s="13">
        <f t="shared" si="179"/>
        <v>1.8301318724634299E-12</v>
      </c>
      <c r="EM162" s="20">
        <f t="shared" si="180"/>
        <v>3.405245110226996E-12</v>
      </c>
      <c r="EN162" s="59">
        <f t="shared" si="128"/>
        <v>293.33333333333672</v>
      </c>
      <c r="EO162" s="59">
        <f ca="1">AVERAGE(OFFSET($EN$3,0,0,'Données projet'!$E$15+1,1))-AVERAGE(OFFSET($H$3,0,0,'Données projet'!$E$15+1,1))</f>
        <v>197.34725966440715</v>
      </c>
      <c r="EP162" s="59">
        <f t="shared" si="154"/>
        <v>240.16326570529532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5.0524677766079718</v>
      </c>
      <c r="EW162" s="21">
        <f>EXP(-LN(2)/25)*EW161+(1-EXP(-LN(2)/25))/(LN(2)/25)*Calculateur!ER162*Calculateur!ET162*VLOOKUP('Données projet'!$B$15,Paramètres!$A$1:$I$89,3,0)*0.475*44/12</f>
        <v>1.4998406135805347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6.5523083901885064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2.2737367544323206E-13</v>
      </c>
      <c r="FF162" s="17">
        <f>FE162*VLOOKUP('Données projet'!$B$16,Paramètres!$A$1:$I$89,3,0)*VLOOKUP('Données projet'!$B$16,Paramètres!$A$1:$I$89,5,0)</f>
        <v>1.2710188457276673E-13</v>
      </c>
      <c r="FG162" s="13">
        <f t="shared" si="182"/>
        <v>1.856866851063998E-12</v>
      </c>
      <c r="FH162" s="20">
        <f t="shared" si="183"/>
        <v>3.4554122145673649E-12</v>
      </c>
      <c r="FI162" s="59">
        <f t="shared" si="131"/>
        <v>293.33333333333678</v>
      </c>
      <c r="FJ162" s="59">
        <f ca="1">AVERAGE(OFFSET($FI$3,0,0,'Données projet'!$E$16+1,1))-AVERAGE(OFFSET($H$3,0,0,'Données projet'!$E$16+1,1))</f>
        <v>346.42094266871379</v>
      </c>
      <c r="FK162" s="59">
        <f t="shared" si="156"/>
        <v>453.48153556975973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24.108950688887223</v>
      </c>
      <c r="FR162" s="21">
        <f>EXP(-LN(2)/25)*FR161+(1-EXP(-LN(2)/25))/(LN(2)/25)*Calculateur!FM162*Calculateur!FO162*VLOOKUP('Données projet'!$B$16,Paramètres!$A$1:$I$89,3,0)*0.475*44/12</f>
        <v>6.7794731281548044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30.888423817042028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-1.1368683772161603E-13</v>
      </c>
      <c r="GA162" s="17">
        <f>FZ162*VLOOKUP('Données projet'!$B$17,Paramètres!$A$1:$I$89,3,0)*VLOOKUP('Données projet'!$B$17,Paramètres!$A$1:$I$89,5,0)</f>
        <v>-5.3205440053716299E-14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198.26255998041</v>
      </c>
      <c r="GF162" s="59">
        <f t="shared" si="158"/>
        <v>238.62101708181166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15.453096317990124</v>
      </c>
      <c r="GM162" s="21">
        <f>EXP(-LN(2)/25)*GM161+(1-EXP(-LN(2)/25))/(LN(2)/25)*Calculateur!GH162*Calculateur!GJ162*VLOOKUP('Données projet'!$B$17,Paramètres!$A$1:$I$89,3,0)*0.475*44/12</f>
        <v>4.0010564268239284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19.454152744814053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>
        <f>GU162*VLOOKUP('Données projet'!$B$18,Paramètres!$A$1:$I$89,3,0)*VLOOKUP('Données projet'!$B$18,Paramètres!$A$1:$I$89,5,0)</f>
        <v>0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604.0566904089452</v>
      </c>
      <c r="HA162" s="59">
        <f t="shared" si="160"/>
        <v>369.5187835902687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45.199629613752428</v>
      </c>
      <c r="HH162" s="21">
        <f>EXP(-LN(2)/25)*HH161+(1-EXP(-LN(2)/25))/(LN(2)/25)*Calculateur!HC162*Calculateur!HE162*VLOOKUP('Données projet'!$B$18,Paramètres!$A$1:$I$89,3,0)*0.475*44/12</f>
        <v>11.305989755323539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56.505619369075966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-5.1431925385259088E-14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528.20489749461376</v>
      </c>
      <c r="T163" s="59">
        <f t="shared" si="142"/>
        <v>276.26988364830532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149.40995906093264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149.40995906093264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2.0572770154103635E-13</v>
      </c>
      <c r="AK163" s="13">
        <f t="shared" si="164"/>
        <v>2.8416956338469711E-12</v>
      </c>
      <c r="AL163" s="20">
        <f t="shared" si="165"/>
        <v>5.3075956424674458E-12</v>
      </c>
      <c r="AM163" s="59">
        <f t="shared" si="113"/>
        <v>293.3333333333386</v>
      </c>
      <c r="AN163" s="59">
        <f ca="1">AVERAGE(OFFSET($AM$3,0,0,'Données projet'!$E$10+1,1))-AVERAGE(OFFSET($H$3,0,0,'Données projet'!$E$10+1,1))</f>
        <v>436.23918637269577</v>
      </c>
      <c r="AO163" s="59">
        <f t="shared" si="144"/>
        <v>611.43967996341894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7.4876776956834554</v>
      </c>
      <c r="AV163" s="21">
        <f>EXP(-LN(2)/25)*AV162+(1-EXP(-LN(2)/25))/(LN(2)/25)*Calculateur!AQ163*Calculateur!AS163*VLOOKUP('Données projet'!$B$10,Paramètres!$A$1:$I$89,3,0)*0.475*44/12</f>
        <v>1.7849021249303982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9.2725798206138528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4.4337866711430253E-14</v>
      </c>
      <c r="BF163" s="13">
        <f t="shared" si="167"/>
        <v>7.3222115536967035E-13</v>
      </c>
      <c r="BG163" s="20">
        <f t="shared" si="168"/>
        <v>1.3525069634579169E-12</v>
      </c>
      <c r="BH163" s="59">
        <f t="shared" si="116"/>
        <v>293.33333333333468</v>
      </c>
      <c r="BI163" s="59">
        <f ca="1">AVERAGE(OFFSET($BH$3,0,0,'Données projet'!$E$11+1,1))-AVERAGE(OFFSET($H$3,0,0,'Données projet'!$E$11+1,1))</f>
        <v>288.82868507674738</v>
      </c>
      <c r="BJ163" s="59">
        <f t="shared" si="146"/>
        <v>283.48738729114024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14.588071575416331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14.588071575416331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2.1316282072803006E-14</v>
      </c>
      <c r="BZ163" s="13">
        <f>BY163*VLOOKUP('Données projet'!$B$12,Paramètres!$A$1:$I$89,3,0)*VLOOKUP('Données projet'!$B$12,Paramètres!$A$1:$I$89,5,0)</f>
        <v>1.8621904018800709E-14</v>
      </c>
      <c r="CA163" s="13">
        <f t="shared" si="170"/>
        <v>3.40208645124969E-13</v>
      </c>
      <c r="CB163" s="20">
        <f t="shared" si="171"/>
        <v>6.2496320642539887E-13</v>
      </c>
      <c r="CC163" s="59">
        <f t="shared" si="119"/>
        <v>293.33333333333394</v>
      </c>
      <c r="CD163" s="59">
        <f ca="1">AVERAGE(OFFSET($CC$3,0,0,'Données projet'!$E$12+1,1))-AVERAGE(OFFSET($H$3,0,0,'Données projet'!$E$12+1,1))</f>
        <v>93.329407403816901</v>
      </c>
      <c r="CE163" s="59">
        <f t="shared" si="148"/>
        <v>90.925148357295313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3.5666666658846311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3.5666666658846311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-2.2737367544323206E-13</v>
      </c>
      <c r="CU163" s="17">
        <f>CT163*VLOOKUP('Données projet'!$B$13,Paramètres!$A$1:$I$89,3,0)*VLOOKUP('Données projet'!$B$13,Paramètres!$A$1:$I$89,5,0)</f>
        <v>-2.1636878955177963E-13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805.04572055352492</v>
      </c>
      <c r="CZ163" s="59">
        <f t="shared" si="150"/>
        <v>708.66645042414962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83.415382557710373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83.415382557710373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-1.1368683772161603E-13</v>
      </c>
      <c r="DP163" s="17">
        <f>DO163*VLOOKUP('Données projet'!$B$14,Paramètres!$A$1:$I$89,3,0)*VLOOKUP('Données projet'!$B$14,Paramètres!$A$1:$I$89,5,0)</f>
        <v>-7.626113074366004E-14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482.69499576870095</v>
      </c>
      <c r="DU163" s="59">
        <f t="shared" si="152"/>
        <v>384.28918352579575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51.600310538586413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51.600310538586413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1.7053025658242404E-13</v>
      </c>
      <c r="EK163" s="17">
        <f>EJ163*VLOOKUP('Données projet'!$B$15,Paramètres!$A$1:$I$89,3,0)*VLOOKUP('Données projet'!$B$15,Paramètres!$A$1:$I$89,5,0)</f>
        <v>1.250327841262333E-13</v>
      </c>
      <c r="EL163" s="13">
        <f t="shared" si="179"/>
        <v>1.8301318724634299E-12</v>
      </c>
      <c r="EM163" s="20">
        <f t="shared" si="180"/>
        <v>3.405245110226996E-12</v>
      </c>
      <c r="EN163" s="59">
        <f t="shared" si="128"/>
        <v>293.33333333333672</v>
      </c>
      <c r="EO163" s="59">
        <f ca="1">AVERAGE(OFFSET($EN$3,0,0,'Données projet'!$E$15+1,1))-AVERAGE(OFFSET($H$3,0,0,'Données projet'!$E$15+1,1))</f>
        <v>197.34725966440715</v>
      </c>
      <c r="EP163" s="59">
        <f t="shared" si="154"/>
        <v>240.16326570529532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4.9533919652097405</v>
      </c>
      <c r="EW163" s="21">
        <f>EXP(-LN(2)/25)*EW162+(1-EXP(-LN(2)/25))/(LN(2)/25)*Calculateur!ER163*Calculateur!ET163*VLOOKUP('Données projet'!$B$15,Paramètres!$A$1:$I$89,3,0)*0.475*44/12</f>
        <v>1.458827393128985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6.4122193583387253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2.2737367544323206E-13</v>
      </c>
      <c r="FF163" s="17">
        <f>FE163*VLOOKUP('Données projet'!$B$16,Paramètres!$A$1:$I$89,3,0)*VLOOKUP('Données projet'!$B$16,Paramètres!$A$1:$I$89,5,0)</f>
        <v>1.2710188457276673E-13</v>
      </c>
      <c r="FG163" s="13">
        <f t="shared" si="182"/>
        <v>1.856866851063998E-12</v>
      </c>
      <c r="FH163" s="20">
        <f t="shared" si="183"/>
        <v>3.4554122145673649E-12</v>
      </c>
      <c r="FI163" s="59">
        <f t="shared" si="131"/>
        <v>293.33333333333678</v>
      </c>
      <c r="FJ163" s="59">
        <f ca="1">AVERAGE(OFFSET($FI$3,0,0,'Données projet'!$E$16+1,1))-AVERAGE(OFFSET($H$3,0,0,'Données projet'!$E$16+1,1))</f>
        <v>346.42094266871379</v>
      </c>
      <c r="FK163" s="59">
        <f t="shared" si="156"/>
        <v>453.48153556975973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23.636188870886066</v>
      </c>
      <c r="FR163" s="21">
        <f>EXP(-LN(2)/25)*FR162+(1-EXP(-LN(2)/25))/(LN(2)/25)*Calculateur!FM163*Calculateur!FO163*VLOOKUP('Données projet'!$B$16,Paramètres!$A$1:$I$89,3,0)*0.475*44/12</f>
        <v>6.5940880789484142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30.230276949834479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-1.1368683772161603E-13</v>
      </c>
      <c r="GA163" s="17">
        <f>FZ163*VLOOKUP('Données projet'!$B$17,Paramètres!$A$1:$I$89,3,0)*VLOOKUP('Données projet'!$B$17,Paramètres!$A$1:$I$89,5,0)</f>
        <v>-5.3205440053716299E-14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198.26255998041</v>
      </c>
      <c r="GF163" s="59">
        <f t="shared" si="158"/>
        <v>238.62101708181166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15.150070524652405</v>
      </c>
      <c r="GM163" s="21">
        <f>EXP(-LN(2)/25)*GM162+(1-EXP(-LN(2)/25))/(LN(2)/25)*Calculateur!GH163*Calculateur!GJ163*VLOOKUP('Données projet'!$B$17,Paramètres!$A$1:$I$89,3,0)*0.475*44/12</f>
        <v>3.8916473284260151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19.041717853078421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>
        <f>GU163*VLOOKUP('Données projet'!$B$18,Paramètres!$A$1:$I$89,3,0)*VLOOKUP('Données projet'!$B$18,Paramètres!$A$1:$I$89,5,0)</f>
        <v>0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604.0566904089452</v>
      </c>
      <c r="HA163" s="59">
        <f t="shared" si="160"/>
        <v>369.5187835902687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44.313292446078592</v>
      </c>
      <c r="HH163" s="21">
        <f>EXP(-LN(2)/25)*HH162+(1-EXP(-LN(2)/25))/(LN(2)/25)*Calculateur!HC163*Calculateur!HE163*VLOOKUP('Données projet'!$B$18,Paramètres!$A$1:$I$89,3,0)*0.475*44/12</f>
        <v>10.996826870908055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55.310119316986643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-5.1431925385259088E-14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528.20489749461376</v>
      </c>
      <c r="T164" s="59">
        <f t="shared" si="142"/>
        <v>276.26988364830532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146.48012089482432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146.48012089482432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2.0572770154103635E-13</v>
      </c>
      <c r="AK164" s="13">
        <f t="shared" si="164"/>
        <v>2.8416956338469711E-12</v>
      </c>
      <c r="AL164" s="20">
        <f t="shared" si="165"/>
        <v>5.3075956424674458E-12</v>
      </c>
      <c r="AM164" s="59">
        <f t="shared" si="113"/>
        <v>293.3333333333386</v>
      </c>
      <c r="AN164" s="59">
        <f ca="1">AVERAGE(OFFSET($AM$3,0,0,'Données projet'!$E$10+1,1))-AVERAGE(OFFSET($H$3,0,0,'Données projet'!$E$10+1,1))</f>
        <v>436.23918637269577</v>
      </c>
      <c r="AO164" s="59">
        <f t="shared" si="144"/>
        <v>611.43967996341894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7.3408489031035407</v>
      </c>
      <c r="AV164" s="21">
        <f>EXP(-LN(2)/25)*AV163+(1-EXP(-LN(2)/25))/(LN(2)/25)*Calculateur!AQ164*Calculateur!AS164*VLOOKUP('Données projet'!$B$10,Paramètres!$A$1:$I$89,3,0)*0.475*44/12</f>
        <v>1.7360938824602532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9.0769427855637943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4.4337866711430253E-14</v>
      </c>
      <c r="BF164" s="13">
        <f t="shared" si="167"/>
        <v>7.3222115536967035E-13</v>
      </c>
      <c r="BG164" s="20">
        <f t="shared" si="168"/>
        <v>1.3525069634579169E-12</v>
      </c>
      <c r="BH164" s="59">
        <f t="shared" si="116"/>
        <v>293.33333333333468</v>
      </c>
      <c r="BI164" s="59">
        <f ca="1">AVERAGE(OFFSET($BH$3,0,0,'Données projet'!$E$11+1,1))-AVERAGE(OFFSET($H$3,0,0,'Données projet'!$E$11+1,1))</f>
        <v>288.82868507674738</v>
      </c>
      <c r="BJ164" s="59">
        <f t="shared" si="146"/>
        <v>283.48738729114024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14.302008389667488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14.302008389667488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2.1316282072803006E-14</v>
      </c>
      <c r="BZ164" s="13">
        <f>BY164*VLOOKUP('Données projet'!$B$12,Paramètres!$A$1:$I$89,3,0)*VLOOKUP('Données projet'!$B$12,Paramètres!$A$1:$I$89,5,0)</f>
        <v>1.8621904018800709E-14</v>
      </c>
      <c r="CA164" s="13">
        <f t="shared" si="170"/>
        <v>3.40208645124969E-13</v>
      </c>
      <c r="CB164" s="20">
        <f t="shared" si="171"/>
        <v>6.2496320642539887E-13</v>
      </c>
      <c r="CC164" s="59">
        <f t="shared" si="119"/>
        <v>293.33333333333394</v>
      </c>
      <c r="CD164" s="59">
        <f ca="1">AVERAGE(OFFSET($CC$3,0,0,'Données projet'!$E$12+1,1))-AVERAGE(OFFSET($H$3,0,0,'Données projet'!$E$12+1,1))</f>
        <v>93.329407403816901</v>
      </c>
      <c r="CE164" s="59">
        <f t="shared" si="148"/>
        <v>90.925148357295313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3.4967265080184915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3.4967265080184915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-2.2737367544323206E-13</v>
      </c>
      <c r="CU164" s="17">
        <f>CT164*VLOOKUP('Données projet'!$B$13,Paramètres!$A$1:$I$89,3,0)*VLOOKUP('Données projet'!$B$13,Paramètres!$A$1:$I$89,5,0)</f>
        <v>-2.1636878955177963E-13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805.04572055352492</v>
      </c>
      <c r="CZ164" s="59">
        <f t="shared" si="150"/>
        <v>708.66645042414962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81.779657784113212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81.779657784113212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-1.1368683772161603E-13</v>
      </c>
      <c r="DP164" s="17">
        <f>DO164*VLOOKUP('Données projet'!$B$14,Paramètres!$A$1:$I$89,3,0)*VLOOKUP('Données projet'!$B$14,Paramètres!$A$1:$I$89,5,0)</f>
        <v>-7.626113074366004E-14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482.69499576870095</v>
      </c>
      <c r="DU164" s="59">
        <f t="shared" si="152"/>
        <v>384.28918352579575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50.58845992200645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50.58845992200645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1.7053025658242404E-13</v>
      </c>
      <c r="EK164" s="17">
        <f>EJ164*VLOOKUP('Données projet'!$B$15,Paramètres!$A$1:$I$89,3,0)*VLOOKUP('Données projet'!$B$15,Paramètres!$A$1:$I$89,5,0)</f>
        <v>1.250327841262333E-13</v>
      </c>
      <c r="EL164" s="13">
        <f t="shared" si="179"/>
        <v>1.8301318724634299E-12</v>
      </c>
      <c r="EM164" s="20">
        <f t="shared" si="180"/>
        <v>3.405245110226996E-12</v>
      </c>
      <c r="EN164" s="59">
        <f t="shared" si="128"/>
        <v>293.33333333333672</v>
      </c>
      <c r="EO164" s="59">
        <f ca="1">AVERAGE(OFFSET($EN$3,0,0,'Données projet'!$E$15+1,1))-AVERAGE(OFFSET($H$3,0,0,'Données projet'!$E$15+1,1))</f>
        <v>197.34725966440715</v>
      </c>
      <c r="EP164" s="59">
        <f t="shared" si="154"/>
        <v>240.16326570529532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4.8562589700427505</v>
      </c>
      <c r="EW164" s="21">
        <f>EXP(-LN(2)/25)*EW163+(1-EXP(-LN(2)/25))/(LN(2)/25)*Calculateur!ER164*Calculateur!ET164*VLOOKUP('Données projet'!$B$15,Paramètres!$A$1:$I$89,3,0)*0.475*44/12</f>
        <v>1.4189356813474745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6.2751946513902253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2.2737367544323206E-13</v>
      </c>
      <c r="FF164" s="17">
        <f>FE164*VLOOKUP('Données projet'!$B$16,Paramètres!$A$1:$I$89,3,0)*VLOOKUP('Données projet'!$B$16,Paramètres!$A$1:$I$89,5,0)</f>
        <v>1.2710188457276673E-13</v>
      </c>
      <c r="FG164" s="13">
        <f t="shared" si="182"/>
        <v>1.856866851063998E-12</v>
      </c>
      <c r="FH164" s="20">
        <f t="shared" si="183"/>
        <v>3.4554122145673649E-12</v>
      </c>
      <c r="FI164" s="59">
        <f t="shared" si="131"/>
        <v>293.33333333333678</v>
      </c>
      <c r="FJ164" s="59">
        <f ca="1">AVERAGE(OFFSET($FI$3,0,0,'Données projet'!$E$16+1,1))-AVERAGE(OFFSET($H$3,0,0,'Données projet'!$E$16+1,1))</f>
        <v>346.42094266871379</v>
      </c>
      <c r="FK164" s="59">
        <f t="shared" si="156"/>
        <v>453.48153556975973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23.172697623779676</v>
      </c>
      <c r="FR164" s="21">
        <f>EXP(-LN(2)/25)*FR163+(1-EXP(-LN(2)/25))/(LN(2)/25)*Calculateur!FM164*Calculateur!FO164*VLOOKUP('Données projet'!$B$16,Paramètres!$A$1:$I$89,3,0)*0.475*44/12</f>
        <v>6.4137723936615485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29.586470017441226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-1.1368683772161603E-13</v>
      </c>
      <c r="GA164" s="17">
        <f>FZ164*VLOOKUP('Données projet'!$B$17,Paramètres!$A$1:$I$89,3,0)*VLOOKUP('Données projet'!$B$17,Paramètres!$A$1:$I$89,5,0)</f>
        <v>-5.3205440053716299E-14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198.26255998041</v>
      </c>
      <c r="GF164" s="59">
        <f t="shared" si="158"/>
        <v>238.62101708181166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14.852986882294555</v>
      </c>
      <c r="GM164" s="21">
        <f>EXP(-LN(2)/25)*GM163+(1-EXP(-LN(2)/25))/(LN(2)/25)*Calculateur!GH164*Calculateur!GJ164*VLOOKUP('Données projet'!$B$17,Paramètres!$A$1:$I$89,3,0)*0.475*44/12</f>
        <v>3.7852300275773674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18.638216909871922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>
        <f>GU164*VLOOKUP('Données projet'!$B$18,Paramètres!$A$1:$I$89,3,0)*VLOOKUP('Données projet'!$B$18,Paramètres!$A$1:$I$89,5,0)</f>
        <v>0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604.0566904089452</v>
      </c>
      <c r="HA164" s="59">
        <f t="shared" si="160"/>
        <v>369.5187835902687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43.444335809650546</v>
      </c>
      <c r="HH164" s="21">
        <f>EXP(-LN(2)/25)*HH163+(1-EXP(-LN(2)/25))/(LN(2)/25)*Calculateur!HC164*Calculateur!HE164*VLOOKUP('Données projet'!$B$18,Paramètres!$A$1:$I$89,3,0)*0.475*44/12</f>
        <v>10.696118061825084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54.140453871475628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-5.1431925385259088E-14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528.20489749461376</v>
      </c>
      <c r="T165" s="59">
        <f t="shared" si="142"/>
        <v>276.26988364830532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143.60773506812856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143.60773506812856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2.0572770154103635E-13</v>
      </c>
      <c r="AK165" s="13">
        <f t="shared" si="164"/>
        <v>2.8416956338469711E-12</v>
      </c>
      <c r="AL165" s="20">
        <f t="shared" si="165"/>
        <v>5.3075956424674458E-12</v>
      </c>
      <c r="AM165" s="59">
        <f t="shared" si="113"/>
        <v>293.3333333333386</v>
      </c>
      <c r="AN165" s="59">
        <f ca="1">AVERAGE(OFFSET($AM$3,0,0,'Données projet'!$E$10+1,1))-AVERAGE(OFFSET($H$3,0,0,'Données projet'!$E$10+1,1))</f>
        <v>436.23918637269577</v>
      </c>
      <c r="AO165" s="59">
        <f t="shared" si="144"/>
        <v>611.43967996341894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7.1968993335893972</v>
      </c>
      <c r="AV165" s="21">
        <f>EXP(-LN(2)/25)*AV164+(1-EXP(-LN(2)/25))/(LN(2)/25)*Calculateur!AQ165*Calculateur!AS165*VLOOKUP('Données projet'!$B$10,Paramètres!$A$1:$I$89,3,0)*0.475*44/12</f>
        <v>1.6886203039471681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8.8855196375365644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4.4337866711430253E-14</v>
      </c>
      <c r="BF165" s="13">
        <f t="shared" si="167"/>
        <v>7.3222115536967035E-13</v>
      </c>
      <c r="BG165" s="20">
        <f t="shared" si="168"/>
        <v>1.3525069634579169E-12</v>
      </c>
      <c r="BH165" s="59">
        <f t="shared" si="116"/>
        <v>293.33333333333468</v>
      </c>
      <c r="BI165" s="59">
        <f ca="1">AVERAGE(OFFSET($BH$3,0,0,'Données projet'!$E$11+1,1))-AVERAGE(OFFSET($H$3,0,0,'Données projet'!$E$11+1,1))</f>
        <v>288.82868507674738</v>
      </c>
      <c r="BJ165" s="59">
        <f t="shared" si="146"/>
        <v>283.48738729114024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14.021554728509866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14.021554728509866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2.1316282072803006E-14</v>
      </c>
      <c r="BZ165" s="13">
        <f>BY165*VLOOKUP('Données projet'!$B$12,Paramètres!$A$1:$I$89,3,0)*VLOOKUP('Données projet'!$B$12,Paramètres!$A$1:$I$89,5,0)</f>
        <v>1.8621904018800709E-14</v>
      </c>
      <c r="CA165" s="13">
        <f t="shared" si="170"/>
        <v>3.40208645124969E-13</v>
      </c>
      <c r="CB165" s="20">
        <f t="shared" si="171"/>
        <v>6.2496320642539887E-13</v>
      </c>
      <c r="CC165" s="59">
        <f t="shared" si="119"/>
        <v>293.33333333333394</v>
      </c>
      <c r="CD165" s="59">
        <f ca="1">AVERAGE(OFFSET($CC$3,0,0,'Données projet'!$E$12+1,1))-AVERAGE(OFFSET($H$3,0,0,'Données projet'!$E$12+1,1))</f>
        <v>93.329407403816901</v>
      </c>
      <c r="CE165" s="59">
        <f t="shared" si="148"/>
        <v>90.925148357295313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3.428157833988823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3.428157833988823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-2.2737367544323206E-13</v>
      </c>
      <c r="CU165" s="17">
        <f>CT165*VLOOKUP('Données projet'!$B$13,Paramètres!$A$1:$I$89,3,0)*VLOOKUP('Données projet'!$B$13,Paramètres!$A$1:$I$89,5,0)</f>
        <v>-2.1636878955177963E-13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805.04572055352492</v>
      </c>
      <c r="CZ165" s="59">
        <f t="shared" si="150"/>
        <v>708.66645042414962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80.176008575632693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80.176008575632693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-1.1368683772161603E-13</v>
      </c>
      <c r="DP165" s="17">
        <f>DO165*VLOOKUP('Données projet'!$B$14,Paramètres!$A$1:$I$89,3,0)*VLOOKUP('Données projet'!$B$14,Paramètres!$A$1:$I$89,5,0)</f>
        <v>-7.626113074366004E-14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482.69499576870095</v>
      </c>
      <c r="DU165" s="59">
        <f t="shared" si="152"/>
        <v>384.28918352579575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49.59645107884969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49.59645107884969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1.7053025658242404E-13</v>
      </c>
      <c r="EK165" s="17">
        <f>EJ165*VLOOKUP('Données projet'!$B$15,Paramètres!$A$1:$I$89,3,0)*VLOOKUP('Données projet'!$B$15,Paramètres!$A$1:$I$89,5,0)</f>
        <v>1.250327841262333E-13</v>
      </c>
      <c r="EL165" s="13">
        <f t="shared" si="179"/>
        <v>1.8301318724634299E-12</v>
      </c>
      <c r="EM165" s="20">
        <f t="shared" si="180"/>
        <v>3.405245110226996E-12</v>
      </c>
      <c r="EN165" s="59">
        <f t="shared" si="128"/>
        <v>293.33333333333672</v>
      </c>
      <c r="EO165" s="59">
        <f ca="1">AVERAGE(OFFSET($EN$3,0,0,'Données projet'!$E$15+1,1))-AVERAGE(OFFSET($H$3,0,0,'Données projet'!$E$15+1,1))</f>
        <v>197.34725966440715</v>
      </c>
      <c r="EP165" s="59">
        <f t="shared" si="154"/>
        <v>240.16326570529532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4.7610306936657079</v>
      </c>
      <c r="EW165" s="21">
        <f>EXP(-LN(2)/25)*EW164+(1-EXP(-LN(2)/25))/(LN(2)/25)*Calculateur!ER165*Calculateur!ET165*VLOOKUP('Données projet'!$B$15,Paramètres!$A$1:$I$89,3,0)*0.475*44/12</f>
        <v>1.3801348105224434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6.1411655041881517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2.2737367544323206E-13</v>
      </c>
      <c r="FF165" s="17">
        <f>FE165*VLOOKUP('Données projet'!$B$16,Paramètres!$A$1:$I$89,3,0)*VLOOKUP('Données projet'!$B$16,Paramètres!$A$1:$I$89,5,0)</f>
        <v>1.2710188457276673E-13</v>
      </c>
      <c r="FG165" s="13">
        <f t="shared" si="182"/>
        <v>1.856866851063998E-12</v>
      </c>
      <c r="FH165" s="20">
        <f t="shared" si="183"/>
        <v>3.4554122145673649E-12</v>
      </c>
      <c r="FI165" s="59">
        <f t="shared" si="131"/>
        <v>293.33333333333678</v>
      </c>
      <c r="FJ165" s="59">
        <f ca="1">AVERAGE(OFFSET($FI$3,0,0,'Données projet'!$E$16+1,1))-AVERAGE(OFFSET($H$3,0,0,'Données projet'!$E$16+1,1))</f>
        <v>346.42094266871379</v>
      </c>
      <c r="FK165" s="59">
        <f t="shared" si="156"/>
        <v>453.48153556975973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22.718295157327297</v>
      </c>
      <c r="FR165" s="21">
        <f>EXP(-LN(2)/25)*FR164+(1-EXP(-LN(2)/25))/(LN(2)/25)*Calculateur!FM165*Calculateur!FO165*VLOOKUP('Données projet'!$B$16,Paramètres!$A$1:$I$89,3,0)*0.475*44/12</f>
        <v>6.238387450271242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28.956682607598538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-1.1368683772161603E-13</v>
      </c>
      <c r="GA165" s="17">
        <f>FZ165*VLOOKUP('Données projet'!$B$17,Paramètres!$A$1:$I$89,3,0)*VLOOKUP('Données projet'!$B$17,Paramètres!$A$1:$I$89,5,0)</f>
        <v>-5.3205440053716299E-14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198.26255998041</v>
      </c>
      <c r="GF165" s="59">
        <f t="shared" si="158"/>
        <v>238.62101708181166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14.561728868960213</v>
      </c>
      <c r="GM165" s="21">
        <f>EXP(-LN(2)/25)*GM164+(1-EXP(-LN(2)/25))/(LN(2)/25)*Calculateur!GH165*Calculateur!GJ165*VLOOKUP('Données projet'!$B$17,Paramètres!$A$1:$I$89,3,0)*0.475*44/12</f>
        <v>3.6817227134166686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18.243451582376881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>
        <f>GU165*VLOOKUP('Données projet'!$B$18,Paramètres!$A$1:$I$89,3,0)*VLOOKUP('Données projet'!$B$18,Paramètres!$A$1:$I$89,5,0)</f>
        <v>0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604.0566904089452</v>
      </c>
      <c r="HA165" s="59">
        <f t="shared" si="160"/>
        <v>369.5187835902687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42.592418882851639</v>
      </c>
      <c r="HH165" s="21">
        <f>EXP(-LN(2)/25)*HH164+(1-EXP(-LN(2)/25))/(LN(2)/25)*Calculateur!HC165*Calculateur!HE165*VLOOKUP('Données projet'!$B$18,Paramètres!$A$1:$I$89,3,0)*0.475*44/12</f>
        <v>10.403632150940075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52.996051033791716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-5.1431925385259088E-14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528.20489749461376</v>
      </c>
      <c r="T166" s="59">
        <f t="shared" si="142"/>
        <v>276.26988364830532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140.79167497551197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140.79167497551197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2.0572770154103635E-13</v>
      </c>
      <c r="AK166" s="13">
        <f t="shared" si="164"/>
        <v>2.8416956338469711E-12</v>
      </c>
      <c r="AL166" s="20">
        <f t="shared" si="165"/>
        <v>5.3075956424674458E-12</v>
      </c>
      <c r="AM166" s="59">
        <f t="shared" si="113"/>
        <v>293.3333333333386</v>
      </c>
      <c r="AN166" s="59">
        <f ca="1">AVERAGE(OFFSET($AM$3,0,0,'Données projet'!$E$10+1,1))-AVERAGE(OFFSET($H$3,0,0,'Données projet'!$E$10+1,1))</f>
        <v>436.23918637269577</v>
      </c>
      <c r="AO166" s="59">
        <f t="shared" si="144"/>
        <v>611.43967996341894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7.0557725273328584</v>
      </c>
      <c r="AV166" s="21">
        <f>EXP(-LN(2)/25)*AV165+(1-EXP(-LN(2)/25))/(LN(2)/25)*Calculateur!AQ166*Calculateur!AS166*VLOOKUP('Données projet'!$B$10,Paramètres!$A$1:$I$89,3,0)*0.475*44/12</f>
        <v>1.6424448929350504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8.698217420267909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4.4337866711430253E-14</v>
      </c>
      <c r="BF166" s="13">
        <f t="shared" si="167"/>
        <v>7.3222115536967035E-13</v>
      </c>
      <c r="BG166" s="20">
        <f t="shared" si="168"/>
        <v>1.3525069634579169E-12</v>
      </c>
      <c r="BH166" s="59">
        <f t="shared" si="116"/>
        <v>293.33333333333468</v>
      </c>
      <c r="BI166" s="59">
        <f ca="1">AVERAGE(OFFSET($BH$3,0,0,'Données projet'!$E$11+1,1))-AVERAGE(OFFSET($H$3,0,0,'Données projet'!$E$11+1,1))</f>
        <v>288.82868507674738</v>
      </c>
      <c r="BJ166" s="59">
        <f t="shared" si="146"/>
        <v>283.48738729114024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13.746600592587702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13.746600592587702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2.1316282072803006E-14</v>
      </c>
      <c r="BZ166" s="13">
        <f>BY166*VLOOKUP('Données projet'!$B$12,Paramètres!$A$1:$I$89,3,0)*VLOOKUP('Données projet'!$B$12,Paramètres!$A$1:$I$89,5,0)</f>
        <v>1.8621904018800709E-14</v>
      </c>
      <c r="CA166" s="13">
        <f t="shared" si="170"/>
        <v>3.40208645124969E-13</v>
      </c>
      <c r="CB166" s="20">
        <f t="shared" si="171"/>
        <v>6.2496320642539887E-13</v>
      </c>
      <c r="CC166" s="59">
        <f t="shared" si="119"/>
        <v>293.33333333333394</v>
      </c>
      <c r="CD166" s="59">
        <f ca="1">AVERAGE(OFFSET($CC$3,0,0,'Données projet'!$E$12+1,1))-AVERAGE(OFFSET($H$3,0,0,'Données projet'!$E$12+1,1))</f>
        <v>93.329407403816901</v>
      </c>
      <c r="CE166" s="59">
        <f t="shared" si="148"/>
        <v>90.925148357295313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3.360933749834115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3.360933749834115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-2.2737367544323206E-13</v>
      </c>
      <c r="CU166" s="17">
        <f>CT166*VLOOKUP('Données projet'!$B$13,Paramètres!$A$1:$I$89,3,0)*VLOOKUP('Données projet'!$B$13,Paramètres!$A$1:$I$89,5,0)</f>
        <v>-2.1636878955177963E-13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805.04572055352492</v>
      </c>
      <c r="CZ166" s="59">
        <f t="shared" si="150"/>
        <v>708.66645042414962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78.603805950001046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78.603805950001046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-1.1368683772161603E-13</v>
      </c>
      <c r="DP166" s="17">
        <f>DO166*VLOOKUP('Données projet'!$B$14,Paramètres!$A$1:$I$89,3,0)*VLOOKUP('Données projet'!$B$14,Paramètres!$A$1:$I$89,5,0)</f>
        <v>-7.626113074366004E-14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482.69499576870095</v>
      </c>
      <c r="DU166" s="59">
        <f t="shared" si="152"/>
        <v>384.28918352579575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48.623894924041579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48.623894924041579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1.7053025658242404E-13</v>
      </c>
      <c r="EK166" s="17">
        <f>EJ166*VLOOKUP('Données projet'!$B$15,Paramètres!$A$1:$I$89,3,0)*VLOOKUP('Données projet'!$B$15,Paramètres!$A$1:$I$89,5,0)</f>
        <v>1.250327841262333E-13</v>
      </c>
      <c r="EL166" s="13">
        <f t="shared" si="179"/>
        <v>1.8301318724634299E-12</v>
      </c>
      <c r="EM166" s="20">
        <f t="shared" si="180"/>
        <v>3.405245110226996E-12</v>
      </c>
      <c r="EN166" s="59">
        <f t="shared" si="128"/>
        <v>293.33333333333672</v>
      </c>
      <c r="EO166" s="59">
        <f ca="1">AVERAGE(OFFSET($EN$3,0,0,'Données projet'!$E$15+1,1))-AVERAGE(OFFSET($H$3,0,0,'Données projet'!$E$15+1,1))</f>
        <v>197.34725966440715</v>
      </c>
      <c r="EP166" s="59">
        <f t="shared" si="154"/>
        <v>240.16326570529532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4.6676697857049056</v>
      </c>
      <c r="EW166" s="21">
        <f>EXP(-LN(2)/25)*EW165+(1-EXP(-LN(2)/25))/(LN(2)/25)*Calculateur!ER166*Calculateur!ET166*VLOOKUP('Données projet'!$B$15,Paramètres!$A$1:$I$89,3,0)*0.475*44/12</f>
        <v>1.3423949515505718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6.0100647372554779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2.2737367544323206E-13</v>
      </c>
      <c r="FF166" s="17">
        <f>FE166*VLOOKUP('Données projet'!$B$16,Paramètres!$A$1:$I$89,3,0)*VLOOKUP('Données projet'!$B$16,Paramètres!$A$1:$I$89,5,0)</f>
        <v>1.2710188457276673E-13</v>
      </c>
      <c r="FG166" s="13">
        <f t="shared" si="182"/>
        <v>1.856866851063998E-12</v>
      </c>
      <c r="FH166" s="20">
        <f t="shared" si="183"/>
        <v>3.4554122145673649E-12</v>
      </c>
      <c r="FI166" s="59">
        <f t="shared" si="131"/>
        <v>293.33333333333678</v>
      </c>
      <c r="FJ166" s="59">
        <f ca="1">AVERAGE(OFFSET($FI$3,0,0,'Données projet'!$E$16+1,1))-AVERAGE(OFFSET($H$3,0,0,'Données projet'!$E$16+1,1))</f>
        <v>346.42094266871379</v>
      </c>
      <c r="FK166" s="59">
        <f t="shared" si="156"/>
        <v>453.48153556975973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22.27280324608391</v>
      </c>
      <c r="FR166" s="21">
        <f>EXP(-LN(2)/25)*FR165+(1-EXP(-LN(2)/25))/(LN(2)/25)*Calculateur!FM166*Calculateur!FO166*VLOOKUP('Données projet'!$B$16,Paramètres!$A$1:$I$89,3,0)*0.475*44/12</f>
        <v>6.0677984173810371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28.340601663464948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-1.1368683772161603E-13</v>
      </c>
      <c r="GA166" s="17">
        <f>FZ166*VLOOKUP('Données projet'!$B$17,Paramètres!$A$1:$I$89,3,0)*VLOOKUP('Données projet'!$B$17,Paramètres!$A$1:$I$89,5,0)</f>
        <v>-5.3205440053716299E-14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198.26255998041</v>
      </c>
      <c r="GF166" s="59">
        <f t="shared" si="158"/>
        <v>238.62101708181166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14.276182247617511</v>
      </c>
      <c r="GM166" s="21">
        <f>EXP(-LN(2)/25)*GM165+(1-EXP(-LN(2)/25))/(LN(2)/25)*Calculateur!GH166*Calculateur!GJ166*VLOOKUP('Données projet'!$B$17,Paramètres!$A$1:$I$89,3,0)*0.475*44/12</f>
        <v>3.5810458122049069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17.857228059822418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>
        <f>GU166*VLOOKUP('Données projet'!$B$18,Paramètres!$A$1:$I$89,3,0)*VLOOKUP('Données projet'!$B$18,Paramètres!$A$1:$I$89,5,0)</f>
        <v>0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604.0566904089452</v>
      </c>
      <c r="HA166" s="59">
        <f t="shared" si="160"/>
        <v>369.5187835902687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41.757207527369239</v>
      </c>
      <c r="HH166" s="21">
        <f>EXP(-LN(2)/25)*HH165+(1-EXP(-LN(2)/25))/(LN(2)/25)*Calculateur!HC166*Calculateur!HE166*VLOOKUP('Données projet'!$B$18,Paramètres!$A$1:$I$89,3,0)*0.475*44/12</f>
        <v>10.119144282669382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51.876351810038621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-5.1431925385259088E-14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528.20489749461376</v>
      </c>
      <c r="T167" s="59">
        <f t="shared" si="142"/>
        <v>276.26988364830532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138.03083610368452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138.03083610368452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2.0572770154103635E-13</v>
      </c>
      <c r="AK167" s="13">
        <f t="shared" si="164"/>
        <v>2.8416956338469711E-12</v>
      </c>
      <c r="AL167" s="20">
        <f t="shared" si="165"/>
        <v>5.3075956424674458E-12</v>
      </c>
      <c r="AM167" s="59">
        <f t="shared" si="113"/>
        <v>293.3333333333386</v>
      </c>
      <c r="AN167" s="59">
        <f ca="1">AVERAGE(OFFSET($AM$3,0,0,'Données projet'!$E$10+1,1))-AVERAGE(OFFSET($H$3,0,0,'Données projet'!$E$10+1,1))</f>
        <v>436.23918637269577</v>
      </c>
      <c r="AO167" s="59">
        <f t="shared" si="144"/>
        <v>611.43967996341894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6.917413131668158</v>
      </c>
      <c r="AV167" s="21">
        <f>EXP(-LN(2)/25)*AV166+(1-EXP(-LN(2)/25))/(LN(2)/25)*Calculateur!AQ167*Calculateur!AS167*VLOOKUP('Données projet'!$B$10,Paramètres!$A$1:$I$89,3,0)*0.475*44/12</f>
        <v>1.5975321509653184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8.5149452826334766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4.4337866711430253E-14</v>
      </c>
      <c r="BF167" s="13">
        <f t="shared" si="167"/>
        <v>7.3222115536967035E-13</v>
      </c>
      <c r="BG167" s="20">
        <f t="shared" si="168"/>
        <v>1.3525069634579169E-12</v>
      </c>
      <c r="BH167" s="59">
        <f t="shared" si="116"/>
        <v>293.33333333333468</v>
      </c>
      <c r="BI167" s="59">
        <f ca="1">AVERAGE(OFFSET($BH$3,0,0,'Données projet'!$E$11+1,1))-AVERAGE(OFFSET($H$3,0,0,'Données projet'!$E$11+1,1))</f>
        <v>288.82868507674738</v>
      </c>
      <c r="BJ167" s="59">
        <f t="shared" si="146"/>
        <v>283.48738729114024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13.477038139565508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13.477038139565508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2.1316282072803006E-14</v>
      </c>
      <c r="BZ167" s="13">
        <f>BY167*VLOOKUP('Données projet'!$B$12,Paramètres!$A$1:$I$89,3,0)*VLOOKUP('Données projet'!$B$12,Paramètres!$A$1:$I$89,5,0)</f>
        <v>1.8621904018800709E-14</v>
      </c>
      <c r="CA167" s="13">
        <f t="shared" si="170"/>
        <v>3.40208645124969E-13</v>
      </c>
      <c r="CB167" s="20">
        <f t="shared" si="171"/>
        <v>6.2496320642539887E-13</v>
      </c>
      <c r="CC167" s="59">
        <f t="shared" si="119"/>
        <v>293.33333333333394</v>
      </c>
      <c r="CD167" s="59">
        <f ca="1">AVERAGE(OFFSET($CC$3,0,0,'Données projet'!$E$12+1,1))-AVERAGE(OFFSET($H$3,0,0,'Données projet'!$E$12+1,1))</f>
        <v>93.329407403816901</v>
      </c>
      <c r="CE167" s="59">
        <f t="shared" si="148"/>
        <v>90.925148357295313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3.2950278889670379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3.2950278889670379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-2.2737367544323206E-13</v>
      </c>
      <c r="CU167" s="17">
        <f>CT167*VLOOKUP('Données projet'!$B$13,Paramètres!$A$1:$I$89,3,0)*VLOOKUP('Données projet'!$B$13,Paramètres!$A$1:$I$89,5,0)</f>
        <v>-2.1636878955177963E-13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805.04572055352492</v>
      </c>
      <c r="CZ167" s="59">
        <f t="shared" si="150"/>
        <v>708.66645042414962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77.062433258909124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77.062433258909124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-1.1368683772161603E-13</v>
      </c>
      <c r="DP167" s="17">
        <f>DO167*VLOOKUP('Données projet'!$B$14,Paramètres!$A$1:$I$89,3,0)*VLOOKUP('Données projet'!$B$14,Paramètres!$A$1:$I$89,5,0)</f>
        <v>-7.626113074366004E-14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482.69499576870095</v>
      </c>
      <c r="DU167" s="59">
        <f t="shared" si="152"/>
        <v>384.28918352579575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47.670410002228579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47.670410002228579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1.7053025658242404E-13</v>
      </c>
      <c r="EK167" s="17">
        <f>EJ167*VLOOKUP('Données projet'!$B$15,Paramètres!$A$1:$I$89,3,0)*VLOOKUP('Données projet'!$B$15,Paramètres!$A$1:$I$89,5,0)</f>
        <v>1.250327841262333E-13</v>
      </c>
      <c r="EL167" s="13">
        <f t="shared" si="179"/>
        <v>1.8301318724634299E-12</v>
      </c>
      <c r="EM167" s="20">
        <f t="shared" si="180"/>
        <v>3.405245110226996E-12</v>
      </c>
      <c r="EN167" s="59">
        <f t="shared" si="128"/>
        <v>293.33333333333672</v>
      </c>
      <c r="EO167" s="59">
        <f ca="1">AVERAGE(OFFSET($EN$3,0,0,'Données projet'!$E$15+1,1))-AVERAGE(OFFSET($H$3,0,0,'Données projet'!$E$15+1,1))</f>
        <v>197.34725966440715</v>
      </c>
      <c r="EP167" s="59">
        <f t="shared" si="154"/>
        <v>240.16326570529532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4.5761396282046842</v>
      </c>
      <c r="EW167" s="21">
        <f>EXP(-LN(2)/25)*EW166+(1-EXP(-LN(2)/25))/(LN(2)/25)*Calculateur!ER167*Calculateur!ET167*VLOOKUP('Données projet'!$B$15,Paramètres!$A$1:$I$89,3,0)*0.475*44/12</f>
        <v>1.3056870910069389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5.8818267192116229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2.2737367544323206E-13</v>
      </c>
      <c r="FF167" s="17">
        <f>FE167*VLOOKUP('Données projet'!$B$16,Paramètres!$A$1:$I$89,3,0)*VLOOKUP('Données projet'!$B$16,Paramètres!$A$1:$I$89,5,0)</f>
        <v>1.2710188457276673E-13</v>
      </c>
      <c r="FG167" s="13">
        <f t="shared" si="182"/>
        <v>1.856866851063998E-12</v>
      </c>
      <c r="FH167" s="20">
        <f t="shared" si="183"/>
        <v>3.4554122145673649E-12</v>
      </c>
      <c r="FI167" s="59">
        <f t="shared" si="131"/>
        <v>293.33333333333678</v>
      </c>
      <c r="FJ167" s="59">
        <f ca="1">AVERAGE(OFFSET($FI$3,0,0,'Données projet'!$E$16+1,1))-AVERAGE(OFFSET($H$3,0,0,'Données projet'!$E$16+1,1))</f>
        <v>346.42094266871379</v>
      </c>
      <c r="FK167" s="59">
        <f t="shared" si="156"/>
        <v>453.48153556975973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21.836047159496772</v>
      </c>
      <c r="FR167" s="21">
        <f>EXP(-LN(2)/25)*FR166+(1-EXP(-LN(2)/25))/(LN(2)/25)*Calculateur!FM167*Calculateur!FO167*VLOOKUP('Données projet'!$B$16,Paramètres!$A$1:$I$89,3,0)*0.475*44/12</f>
        <v>5.9018741505661021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27.737921310062873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-1.1368683772161603E-13</v>
      </c>
      <c r="GA167" s="17">
        <f>FZ167*VLOOKUP('Données projet'!$B$17,Paramètres!$A$1:$I$89,3,0)*VLOOKUP('Données projet'!$B$17,Paramètres!$A$1:$I$89,5,0)</f>
        <v>-5.3205440053716299E-14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198.26255998041</v>
      </c>
      <c r="GF167" s="59">
        <f t="shared" si="158"/>
        <v>238.62101708181166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13.996235021353097</v>
      </c>
      <c r="GM167" s="21">
        <f>EXP(-LN(2)/25)*GM166+(1-EXP(-LN(2)/25))/(LN(2)/25)*Calculateur!GH167*Calculateur!GJ167*VLOOKUP('Données projet'!$B$17,Paramètres!$A$1:$I$89,3,0)*0.475*44/12</f>
        <v>3.4831219261511492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17.479356947504247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>
        <f>GU167*VLOOKUP('Données projet'!$B$18,Paramètres!$A$1:$I$89,3,0)*VLOOKUP('Données projet'!$B$18,Paramètres!$A$1:$I$89,5,0)</f>
        <v>0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604.0566904089452</v>
      </c>
      <c r="HA167" s="59">
        <f t="shared" si="160"/>
        <v>369.5187835902687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40.938374157139229</v>
      </c>
      <c r="HH167" s="21">
        <f>EXP(-LN(2)/25)*HH166+(1-EXP(-LN(2)/25))/(LN(2)/25)*Calculateur!HC167*Calculateur!HE167*VLOOKUP('Données projet'!$B$18,Paramètres!$A$1:$I$89,3,0)*0.475*44/12</f>
        <v>9.8424357501171169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50.780809907256348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-5.1431925385259088E-14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528.20489749461376</v>
      </c>
      <c r="T168" s="59">
        <f t="shared" si="142"/>
        <v>276.26988364830532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135.32413559818818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135.32413559818818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2.0572770154103635E-13</v>
      </c>
      <c r="AK168" s="13">
        <f t="shared" si="164"/>
        <v>2.8416956338469711E-12</v>
      </c>
      <c r="AL168" s="20">
        <f t="shared" si="165"/>
        <v>5.3075956424674458E-12</v>
      </c>
      <c r="AM168" s="59">
        <f t="shared" si="113"/>
        <v>293.3333333333386</v>
      </c>
      <c r="AN168" s="59">
        <f ca="1">AVERAGE(OFFSET($AM$3,0,0,'Données projet'!$E$10+1,1))-AVERAGE(OFFSET($H$3,0,0,'Données projet'!$E$10+1,1))</f>
        <v>436.23918637269577</v>
      </c>
      <c r="AO168" s="59">
        <f t="shared" si="144"/>
        <v>611.43967996341894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6.7817668793615438</v>
      </c>
      <c r="AV168" s="21">
        <f>EXP(-LN(2)/25)*AV167+(1-EXP(-LN(2)/25))/(LN(2)/25)*Calculateur!AQ168*Calculateur!AS168*VLOOKUP('Données projet'!$B$10,Paramètres!$A$1:$I$89,3,0)*0.475*44/12</f>
        <v>1.5538475502866071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8.3356144296481514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4.4337866711430253E-14</v>
      </c>
      <c r="BF168" s="13">
        <f t="shared" si="167"/>
        <v>7.3222115536967035E-13</v>
      </c>
      <c r="BG168" s="20">
        <f t="shared" si="168"/>
        <v>1.3525069634579169E-12</v>
      </c>
      <c r="BH168" s="59">
        <f t="shared" si="116"/>
        <v>293.33333333333468</v>
      </c>
      <c r="BI168" s="59">
        <f ca="1">AVERAGE(OFFSET($BH$3,0,0,'Données projet'!$E$11+1,1))-AVERAGE(OFFSET($H$3,0,0,'Données projet'!$E$11+1,1))</f>
        <v>288.82868507674738</v>
      </c>
      <c r="BJ168" s="59">
        <f t="shared" si="146"/>
        <v>283.48738729114024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13.212761641830218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13.212761641830218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2.1316282072803006E-14</v>
      </c>
      <c r="BZ168" s="13">
        <f>BY168*VLOOKUP('Données projet'!$B$12,Paramètres!$A$1:$I$89,3,0)*VLOOKUP('Données projet'!$B$12,Paramètres!$A$1:$I$89,5,0)</f>
        <v>1.8621904018800709E-14</v>
      </c>
      <c r="CA168" s="13">
        <f t="shared" si="170"/>
        <v>3.40208645124969E-13</v>
      </c>
      <c r="CB168" s="20">
        <f t="shared" si="171"/>
        <v>6.2496320642539887E-13</v>
      </c>
      <c r="CC168" s="59">
        <f t="shared" si="119"/>
        <v>293.33333333333394</v>
      </c>
      <c r="CD168" s="59">
        <f ca="1">AVERAGE(OFFSET($CC$3,0,0,'Données projet'!$E$12+1,1))-AVERAGE(OFFSET($H$3,0,0,'Données projet'!$E$12+1,1))</f>
        <v>93.329407403816901</v>
      </c>
      <c r="CE168" s="59">
        <f t="shared" si="148"/>
        <v>90.925148357295313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3.2304144018329586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3.2304144018329586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-2.2737367544323206E-13</v>
      </c>
      <c r="CU168" s="17">
        <f>CT168*VLOOKUP('Données projet'!$B$13,Paramètres!$A$1:$I$89,3,0)*VLOOKUP('Données projet'!$B$13,Paramètres!$A$1:$I$89,5,0)</f>
        <v>-2.1636878955177963E-13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805.04572055352492</v>
      </c>
      <c r="CZ168" s="59">
        <f t="shared" si="150"/>
        <v>708.66645042414962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75.551285946145001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75.551285946145001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-1.1368683772161603E-13</v>
      </c>
      <c r="DP168" s="17">
        <f>DO168*VLOOKUP('Données projet'!$B$14,Paramètres!$A$1:$I$89,3,0)*VLOOKUP('Données projet'!$B$14,Paramètres!$A$1:$I$89,5,0)</f>
        <v>-7.626113074366004E-14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482.69499576870095</v>
      </c>
      <c r="DU168" s="59">
        <f t="shared" si="152"/>
        <v>384.28918352579575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46.735622338163957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46.735622338163957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1.7053025658242404E-13</v>
      </c>
      <c r="EK168" s="17">
        <f>EJ168*VLOOKUP('Données projet'!$B$15,Paramètres!$A$1:$I$89,3,0)*VLOOKUP('Données projet'!$B$15,Paramètres!$A$1:$I$89,5,0)</f>
        <v>1.250327841262333E-13</v>
      </c>
      <c r="EL168" s="13">
        <f t="shared" si="179"/>
        <v>1.8301318724634299E-12</v>
      </c>
      <c r="EM168" s="20">
        <f t="shared" si="180"/>
        <v>3.405245110226996E-12</v>
      </c>
      <c r="EN168" s="59">
        <f t="shared" si="128"/>
        <v>293.33333333333672</v>
      </c>
      <c r="EO168" s="59">
        <f ca="1">AVERAGE(OFFSET($EN$3,0,0,'Données projet'!$E$15+1,1))-AVERAGE(OFFSET($H$3,0,0,'Données projet'!$E$15+1,1))</f>
        <v>197.34725966440715</v>
      </c>
      <c r="EP168" s="59">
        <f t="shared" si="154"/>
        <v>240.16326570529532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4.4864043212651588</v>
      </c>
      <c r="EW168" s="21">
        <f>EXP(-LN(2)/25)*EW167+(1-EXP(-LN(2)/25))/(LN(2)/25)*Calculateur!ER168*Calculateur!ET168*VLOOKUP('Données projet'!$B$15,Paramètres!$A$1:$I$89,3,0)*0.475*44/12</f>
        <v>1.2699830088402542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5.7563873301054134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2.2737367544323206E-13</v>
      </c>
      <c r="FF168" s="17">
        <f>FE168*VLOOKUP('Données projet'!$B$16,Paramètres!$A$1:$I$89,3,0)*VLOOKUP('Données projet'!$B$16,Paramètres!$A$1:$I$89,5,0)</f>
        <v>1.2710188457276673E-13</v>
      </c>
      <c r="FG168" s="13">
        <f t="shared" si="182"/>
        <v>1.856866851063998E-12</v>
      </c>
      <c r="FH168" s="20">
        <f t="shared" si="183"/>
        <v>3.4554122145673649E-12</v>
      </c>
      <c r="FI168" s="59">
        <f t="shared" si="131"/>
        <v>293.33333333333678</v>
      </c>
      <c r="FJ168" s="59">
        <f ca="1">AVERAGE(OFFSET($FI$3,0,0,'Données projet'!$E$16+1,1))-AVERAGE(OFFSET($H$3,0,0,'Données projet'!$E$16+1,1))</f>
        <v>346.42094266871379</v>
      </c>
      <c r="FK168" s="59">
        <f t="shared" si="156"/>
        <v>453.48153556975973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21.407855593372698</v>
      </c>
      <c r="FR168" s="21">
        <f>EXP(-LN(2)/25)*FR167+(1-EXP(-LN(2)/25))/(LN(2)/25)*Calculateur!FM168*Calculateur!FO168*VLOOKUP('Données projet'!$B$16,Paramètres!$A$1:$I$89,3,0)*0.475*44/12</f>
        <v>5.740487091552799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27.148342684925495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-1.1368683772161603E-13</v>
      </c>
      <c r="GA168" s="17">
        <f>FZ168*VLOOKUP('Données projet'!$B$17,Paramètres!$A$1:$I$89,3,0)*VLOOKUP('Données projet'!$B$17,Paramètres!$A$1:$I$89,5,0)</f>
        <v>-5.3205440053716299E-14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198.26255998041</v>
      </c>
      <c r="GF168" s="59">
        <f t="shared" si="158"/>
        <v>238.62101708181166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13.721777389444782</v>
      </c>
      <c r="GM168" s="21">
        <f>EXP(-LN(2)/25)*GM167+(1-EXP(-LN(2)/25))/(LN(2)/25)*Calculateur!GH168*Calculateur!GJ168*VLOOKUP('Données projet'!$B$17,Paramètres!$A$1:$I$89,3,0)*0.475*44/12</f>
        <v>3.3878757739111247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17.109653163355908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>
        <f>GU168*VLOOKUP('Données projet'!$B$18,Paramètres!$A$1:$I$89,3,0)*VLOOKUP('Données projet'!$B$18,Paramètres!$A$1:$I$89,5,0)</f>
        <v>0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604.0566904089452</v>
      </c>
      <c r="HA168" s="59">
        <f t="shared" si="160"/>
        <v>369.5187835902687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40.13559760986039</v>
      </c>
      <c r="HH168" s="21">
        <f>EXP(-LN(2)/25)*HH167+(1-EXP(-LN(2)/25))/(LN(2)/25)*Calculateur!HC168*Calculateur!HE168*VLOOKUP('Données projet'!$B$18,Paramètres!$A$1:$I$89,3,0)*0.475*44/12</f>
        <v>9.5732938269389631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49.708891436799355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-5.1431925385259088E-14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528.20489749461376</v>
      </c>
      <c r="T169" s="59">
        <f t="shared" si="142"/>
        <v>276.26988364830532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132.67051183868031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132.67051183868031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2.0572770154103635E-13</v>
      </c>
      <c r="AK169" s="13">
        <f t="shared" si="164"/>
        <v>2.8416956338469711E-12</v>
      </c>
      <c r="AL169" s="20">
        <f t="shared" si="165"/>
        <v>5.3075956424674458E-12</v>
      </c>
      <c r="AM169" s="59">
        <f t="shared" si="113"/>
        <v>293.3333333333386</v>
      </c>
      <c r="AN169" s="59">
        <f ca="1">AVERAGE(OFFSET($AM$3,0,0,'Données projet'!$E$10+1,1))-AVERAGE(OFFSET($H$3,0,0,'Données projet'!$E$10+1,1))</f>
        <v>436.23918637269577</v>
      </c>
      <c r="AO169" s="59">
        <f t="shared" si="144"/>
        <v>611.43967996341894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6.648780567326618</v>
      </c>
      <c r="AV169" s="21">
        <f>EXP(-LN(2)/25)*AV168+(1-EXP(-LN(2)/25))/(LN(2)/25)*Calculateur!AQ169*Calculateur!AS169*VLOOKUP('Données projet'!$B$10,Paramètres!$A$1:$I$89,3,0)*0.475*44/12</f>
        <v>1.5113575073107286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8.1601380746373469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4.4337866711430253E-14</v>
      </c>
      <c r="BF169" s="13">
        <f t="shared" si="167"/>
        <v>7.3222115536967035E-13</v>
      </c>
      <c r="BG169" s="20">
        <f t="shared" si="168"/>
        <v>1.3525069634579169E-12</v>
      </c>
      <c r="BH169" s="59">
        <f t="shared" si="116"/>
        <v>293.33333333333468</v>
      </c>
      <c r="BI169" s="59">
        <f ca="1">AVERAGE(OFFSET($BH$3,0,0,'Données projet'!$E$11+1,1))-AVERAGE(OFFSET($H$3,0,0,'Données projet'!$E$11+1,1))</f>
        <v>288.82868507674738</v>
      </c>
      <c r="BJ169" s="59">
        <f t="shared" si="146"/>
        <v>283.48738729114024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12.95366744502277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12.95366744502277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2.1316282072803006E-14</v>
      </c>
      <c r="BZ169" s="13">
        <f>BY169*VLOOKUP('Données projet'!$B$12,Paramètres!$A$1:$I$89,3,0)*VLOOKUP('Données projet'!$B$12,Paramètres!$A$1:$I$89,5,0)</f>
        <v>1.8621904018800709E-14</v>
      </c>
      <c r="CA169" s="13">
        <f t="shared" si="170"/>
        <v>3.40208645124969E-13</v>
      </c>
      <c r="CB169" s="20">
        <f t="shared" si="171"/>
        <v>6.2496320642539887E-13</v>
      </c>
      <c r="CC169" s="59">
        <f t="shared" si="119"/>
        <v>293.33333333333394</v>
      </c>
      <c r="CD169" s="59">
        <f ca="1">AVERAGE(OFFSET($CC$3,0,0,'Données projet'!$E$12+1,1))-AVERAGE(OFFSET($H$3,0,0,'Données projet'!$E$12+1,1))</f>
        <v>93.329407403816901</v>
      </c>
      <c r="CE169" s="59">
        <f t="shared" si="148"/>
        <v>90.925148357295313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3.1670679457712425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3.1670679457712425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-2.2737367544323206E-13</v>
      </c>
      <c r="CU169" s="17">
        <f>CT169*VLOOKUP('Données projet'!$B$13,Paramètres!$A$1:$I$89,3,0)*VLOOKUP('Données projet'!$B$13,Paramètres!$A$1:$I$89,5,0)</f>
        <v>-2.1636878955177963E-13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805.04572055352492</v>
      </c>
      <c r="CZ169" s="59">
        <f t="shared" si="150"/>
        <v>708.66645042414962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74.069771310475332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74.069771310475332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-1.1368683772161603E-13</v>
      </c>
      <c r="DP169" s="17">
        <f>DO169*VLOOKUP('Données projet'!$B$14,Paramètres!$A$1:$I$89,3,0)*VLOOKUP('Données projet'!$B$14,Paramètres!$A$1:$I$89,5,0)</f>
        <v>-7.626113074366004E-14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482.69499576870095</v>
      </c>
      <c r="DU169" s="59">
        <f t="shared" si="152"/>
        <v>384.28918352579575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45.819165290027463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45.819165290027463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1.7053025658242404E-13</v>
      </c>
      <c r="EK169" s="17">
        <f>EJ169*VLOOKUP('Données projet'!$B$15,Paramètres!$A$1:$I$89,3,0)*VLOOKUP('Données projet'!$B$15,Paramètres!$A$1:$I$89,5,0)</f>
        <v>1.250327841262333E-13</v>
      </c>
      <c r="EL169" s="13">
        <f t="shared" si="179"/>
        <v>1.8301318724634299E-12</v>
      </c>
      <c r="EM169" s="20">
        <f t="shared" si="180"/>
        <v>3.405245110226996E-12</v>
      </c>
      <c r="EN169" s="59">
        <f t="shared" si="128"/>
        <v>293.33333333333672</v>
      </c>
      <c r="EO169" s="59">
        <f ca="1">AVERAGE(OFFSET($EN$3,0,0,'Données projet'!$E$15+1,1))-AVERAGE(OFFSET($H$3,0,0,'Données projet'!$E$15+1,1))</f>
        <v>197.34725966440715</v>
      </c>
      <c r="EP169" s="59">
        <f t="shared" si="154"/>
        <v>240.16326570529532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4.3984286689615839</v>
      </c>
      <c r="EW169" s="21">
        <f>EXP(-LN(2)/25)*EW168+(1-EXP(-LN(2)/25))/(LN(2)/25)*Calculateur!ER169*Calculateur!ET169*VLOOKUP('Données projet'!$B$15,Paramètres!$A$1:$I$89,3,0)*0.475*44/12</f>
        <v>1.2352552566780135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5.6336839256395974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2.2737367544323206E-13</v>
      </c>
      <c r="FF169" s="17">
        <f>FE169*VLOOKUP('Données projet'!$B$16,Paramètres!$A$1:$I$89,3,0)*VLOOKUP('Données projet'!$B$16,Paramètres!$A$1:$I$89,5,0)</f>
        <v>1.2710188457276673E-13</v>
      </c>
      <c r="FG169" s="13">
        <f t="shared" si="182"/>
        <v>1.856866851063998E-12</v>
      </c>
      <c r="FH169" s="20">
        <f t="shared" si="183"/>
        <v>3.4554122145673649E-12</v>
      </c>
      <c r="FI169" s="59">
        <f t="shared" si="131"/>
        <v>293.33333333333678</v>
      </c>
      <c r="FJ169" s="59">
        <f ca="1">AVERAGE(OFFSET($FI$3,0,0,'Données projet'!$E$16+1,1))-AVERAGE(OFFSET($H$3,0,0,'Données projet'!$E$16+1,1))</f>
        <v>346.42094266871379</v>
      </c>
      <c r="FK169" s="59">
        <f t="shared" si="156"/>
        <v>453.48153556975973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20.988060602689249</v>
      </c>
      <c r="FR169" s="21">
        <f>EXP(-LN(2)/25)*FR168+(1-EXP(-LN(2)/25))/(LN(2)/25)*Calculateur!FM169*Calculateur!FO169*VLOOKUP('Données projet'!$B$16,Paramètres!$A$1:$I$89,3,0)*0.475*44/12</f>
        <v>5.5835131701551912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26.571573772844438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-1.1368683772161603E-13</v>
      </c>
      <c r="GA169" s="17">
        <f>FZ169*VLOOKUP('Données projet'!$B$17,Paramètres!$A$1:$I$89,3,0)*VLOOKUP('Données projet'!$B$17,Paramètres!$A$1:$I$89,5,0)</f>
        <v>-5.3205440053716299E-14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198.26255998041</v>
      </c>
      <c r="GF169" s="59">
        <f t="shared" si="158"/>
        <v>238.62101708181166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13.452701704295562</v>
      </c>
      <c r="GM169" s="21">
        <f>EXP(-LN(2)/25)*GM168+(1-EXP(-LN(2)/25))/(LN(2)/25)*Calculateur!GH169*Calculateur!GJ169*VLOOKUP('Données projet'!$B$17,Paramètres!$A$1:$I$89,3,0)*0.475*44/12</f>
        <v>3.2952341327128813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16.747935837008441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>
        <f>GU169*VLOOKUP('Données projet'!$B$18,Paramètres!$A$1:$I$89,3,0)*VLOOKUP('Données projet'!$B$18,Paramètres!$A$1:$I$89,5,0)</f>
        <v>0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604.0566904089452</v>
      </c>
      <c r="HA169" s="59">
        <f t="shared" si="160"/>
        <v>369.5187835902687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39.34856302102834</v>
      </c>
      <c r="HH169" s="21">
        <f>EXP(-LN(2)/25)*HH168+(1-EXP(-LN(2)/25))/(LN(2)/25)*Calculateur!HC169*Calculateur!HE169*VLOOKUP('Données projet'!$B$18,Paramètres!$A$1:$I$89,3,0)*0.475*44/12</f>
        <v>9.3115116038036749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48.660074624832014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-5.1431925385259088E-14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528.20489749461376</v>
      </c>
      <c r="T170" s="59">
        <f t="shared" si="142"/>
        <v>276.26988364830532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130.06892402254573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130.06892402254573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2.0572770154103635E-13</v>
      </c>
      <c r="AK170" s="13">
        <f t="shared" si="164"/>
        <v>2.8416956338469711E-12</v>
      </c>
      <c r="AL170" s="20">
        <f t="shared" si="165"/>
        <v>5.3075956424674458E-12</v>
      </c>
      <c r="AM170" s="59">
        <f t="shared" si="113"/>
        <v>293.3333333333386</v>
      </c>
      <c r="AN170" s="59">
        <f ca="1">AVERAGE(OFFSET($AM$3,0,0,'Données projet'!$E$10+1,1))-AVERAGE(OFFSET($H$3,0,0,'Données projet'!$E$10+1,1))</f>
        <v>436.23918637269577</v>
      </c>
      <c r="AO170" s="59">
        <f t="shared" si="144"/>
        <v>611.43967996341894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6.518402035757056</v>
      </c>
      <c r="AV170" s="21">
        <f>EXP(-LN(2)/25)*AV169+(1-EXP(-LN(2)/25))/(LN(2)/25)*Calculateur!AQ170*Calculateur!AS170*VLOOKUP('Données projet'!$B$10,Paramètres!$A$1:$I$89,3,0)*0.475*44/12</f>
        <v>1.4700293567944798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7.9884313925515356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4.4337866711430253E-14</v>
      </c>
      <c r="BF170" s="13">
        <f t="shared" si="167"/>
        <v>7.3222115536967035E-13</v>
      </c>
      <c r="BG170" s="20">
        <f t="shared" si="168"/>
        <v>1.3525069634579169E-12</v>
      </c>
      <c r="BH170" s="59">
        <f t="shared" si="116"/>
        <v>293.33333333333468</v>
      </c>
      <c r="BI170" s="59">
        <f ca="1">AVERAGE(OFFSET($BH$3,0,0,'Données projet'!$E$11+1,1))-AVERAGE(OFFSET($H$3,0,0,'Données projet'!$E$11+1,1))</f>
        <v>288.82868507674738</v>
      </c>
      <c r="BJ170" s="59">
        <f t="shared" si="146"/>
        <v>283.48738729114024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12.69965392738286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12.69965392738286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2.1316282072803006E-14</v>
      </c>
      <c r="BZ170" s="13">
        <f>BY170*VLOOKUP('Données projet'!$B$12,Paramètres!$A$1:$I$89,3,0)*VLOOKUP('Données projet'!$B$12,Paramètres!$A$1:$I$89,5,0)</f>
        <v>1.8621904018800709E-14</v>
      </c>
      <c r="CA170" s="13">
        <f t="shared" si="170"/>
        <v>3.40208645124969E-13</v>
      </c>
      <c r="CB170" s="20">
        <f t="shared" si="171"/>
        <v>6.2496320642539887E-13</v>
      </c>
      <c r="CC170" s="59">
        <f t="shared" si="119"/>
        <v>293.33333333333394</v>
      </c>
      <c r="CD170" s="59">
        <f ca="1">AVERAGE(OFFSET($CC$3,0,0,'Données projet'!$E$12+1,1))-AVERAGE(OFFSET($H$3,0,0,'Données projet'!$E$12+1,1))</f>
        <v>93.329407403816901</v>
      </c>
      <c r="CE170" s="59">
        <f t="shared" si="148"/>
        <v>90.925148357295313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3.104963675075374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3.104963675075374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-2.2737367544323206E-13</v>
      </c>
      <c r="CU170" s="17">
        <f>CT170*VLOOKUP('Données projet'!$B$13,Paramètres!$A$1:$I$89,3,0)*VLOOKUP('Données projet'!$B$13,Paramètres!$A$1:$I$89,5,0)</f>
        <v>-2.1636878955177963E-13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805.04572055352492</v>
      </c>
      <c r="CZ170" s="59">
        <f t="shared" si="150"/>
        <v>708.66645042414962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72.617308273176448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72.617308273176448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-1.1368683772161603E-13</v>
      </c>
      <c r="DP170" s="17">
        <f>DO170*VLOOKUP('Données projet'!$B$14,Paramètres!$A$1:$I$89,3,0)*VLOOKUP('Données projet'!$B$14,Paramètres!$A$1:$I$89,5,0)</f>
        <v>-7.626113074366004E-14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482.69499576870095</v>
      </c>
      <c r="DU170" s="59">
        <f t="shared" si="152"/>
        <v>384.28918352579575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44.920679405621321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44.920679405621321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1.7053025658242404E-13</v>
      </c>
      <c r="EK170" s="17">
        <f>EJ170*VLOOKUP('Données projet'!$B$15,Paramètres!$A$1:$I$89,3,0)*VLOOKUP('Données projet'!$B$15,Paramètres!$A$1:$I$89,5,0)</f>
        <v>1.250327841262333E-13</v>
      </c>
      <c r="EL170" s="13">
        <f t="shared" si="179"/>
        <v>1.8301318724634299E-12</v>
      </c>
      <c r="EM170" s="20">
        <f t="shared" si="180"/>
        <v>3.405245110226996E-12</v>
      </c>
      <c r="EN170" s="59">
        <f t="shared" si="128"/>
        <v>293.33333333333672</v>
      </c>
      <c r="EO170" s="59">
        <f ca="1">AVERAGE(OFFSET($EN$3,0,0,'Données projet'!$E$15+1,1))-AVERAGE(OFFSET($H$3,0,0,'Données projet'!$E$15+1,1))</f>
        <v>197.34725966440715</v>
      </c>
      <c r="EP170" s="59">
        <f t="shared" si="154"/>
        <v>240.16326570529532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4.3121781655398328</v>
      </c>
      <c r="EW170" s="21">
        <f>EXP(-LN(2)/25)*EW169+(1-EXP(-LN(2)/25))/(LN(2)/25)*Calculateur!ER170*Calculateur!ET170*VLOOKUP('Données projet'!$B$15,Paramètres!$A$1:$I$89,3,0)*0.475*44/12</f>
        <v>1.2014771367249024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5.513655302264735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2.2737367544323206E-13</v>
      </c>
      <c r="FF170" s="17">
        <f>FE170*VLOOKUP('Données projet'!$B$16,Paramètres!$A$1:$I$89,3,0)*VLOOKUP('Données projet'!$B$16,Paramètres!$A$1:$I$89,5,0)</f>
        <v>1.2710188457276673E-13</v>
      </c>
      <c r="FG170" s="13">
        <f t="shared" si="182"/>
        <v>1.856866851063998E-12</v>
      </c>
      <c r="FH170" s="20">
        <f t="shared" si="183"/>
        <v>3.4554122145673649E-12</v>
      </c>
      <c r="FI170" s="59">
        <f t="shared" si="131"/>
        <v>293.33333333333678</v>
      </c>
      <c r="FJ170" s="59">
        <f ca="1">AVERAGE(OFFSET($FI$3,0,0,'Données projet'!$E$16+1,1))-AVERAGE(OFFSET($H$3,0,0,'Données projet'!$E$16+1,1))</f>
        <v>346.42094266871379</v>
      </c>
      <c r="FK170" s="59">
        <f t="shared" si="156"/>
        <v>453.48153556975973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20.576497535723441</v>
      </c>
      <c r="FR170" s="21">
        <f>EXP(-LN(2)/25)*FR169+(1-EXP(-LN(2)/25))/(LN(2)/25)*Calculateur!FM170*Calculateur!FO170*VLOOKUP('Données projet'!$B$16,Paramètres!$A$1:$I$89,3,0)*0.475*44/12</f>
        <v>5.4308317088931011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26.007329244616542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-1.1368683772161603E-13</v>
      </c>
      <c r="GA170" s="17">
        <f>FZ170*VLOOKUP('Données projet'!$B$17,Paramètres!$A$1:$I$89,3,0)*VLOOKUP('Données projet'!$B$17,Paramètres!$A$1:$I$89,5,0)</f>
        <v>-5.3205440053716299E-14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198.26255998041</v>
      </c>
      <c r="GF170" s="59">
        <f t="shared" si="158"/>
        <v>238.62101708181166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13.188902429212156</v>
      </c>
      <c r="GM170" s="21">
        <f>EXP(-LN(2)/25)*GM169+(1-EXP(-LN(2)/25))/(LN(2)/25)*Calculateur!GH170*Calculateur!GJ170*VLOOKUP('Données projet'!$B$17,Paramètres!$A$1:$I$89,3,0)*0.475*44/12</f>
        <v>3.2051257820650161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16.394028211277174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>
        <f>GU170*VLOOKUP('Données projet'!$B$18,Paramètres!$A$1:$I$89,3,0)*VLOOKUP('Données projet'!$B$18,Paramètres!$A$1:$I$89,5,0)</f>
        <v>0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604.0566904089452</v>
      </c>
      <c r="HA170" s="59">
        <f t="shared" si="160"/>
        <v>369.5187835902687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38.57696170043959</v>
      </c>
      <c r="HH170" s="21">
        <f>EXP(-LN(2)/25)*HH169+(1-EXP(-LN(2)/25))/(LN(2)/25)*Calculateur!HC170*Calculateur!HE170*VLOOKUP('Données projet'!$B$18,Paramètres!$A$1:$I$89,3,0)*0.475*44/12</f>
        <v>9.0568878293265502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47.633849529766138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-5.1431925385259088E-14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528.20489749461376</v>
      </c>
      <c r="T171" s="59">
        <f t="shared" si="142"/>
        <v>276.26988364830532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127.51835175667365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127.51835175667365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2.0572770154103635E-13</v>
      </c>
      <c r="AK171" s="13">
        <f t="shared" si="164"/>
        <v>2.8416956338469711E-12</v>
      </c>
      <c r="AL171" s="20">
        <f t="shared" si="165"/>
        <v>5.3075956424674458E-12</v>
      </c>
      <c r="AM171" s="59">
        <f t="shared" si="113"/>
        <v>293.3333333333386</v>
      </c>
      <c r="AN171" s="59">
        <f ca="1">AVERAGE(OFFSET($AM$3,0,0,'Données projet'!$E$10+1,1))-AVERAGE(OFFSET($H$3,0,0,'Données projet'!$E$10+1,1))</f>
        <v>436.23918637269577</v>
      </c>
      <c r="AO171" s="59">
        <f t="shared" si="144"/>
        <v>611.43967996341894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6.3905801476685209</v>
      </c>
      <c r="AV171" s="21">
        <f>EXP(-LN(2)/25)*AV170+(1-EXP(-LN(2)/25))/(LN(2)/25)*Calculateur!AQ171*Calculateur!AS171*VLOOKUP('Données projet'!$B$10,Paramètres!$A$1:$I$89,3,0)*0.475*44/12</f>
        <v>1.4298313267274507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7.8204114743959714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4.4337866711430253E-14</v>
      </c>
      <c r="BF171" s="13">
        <f t="shared" si="167"/>
        <v>7.3222115536967035E-13</v>
      </c>
      <c r="BG171" s="20">
        <f t="shared" si="168"/>
        <v>1.3525069634579169E-12</v>
      </c>
      <c r="BH171" s="59">
        <f t="shared" si="116"/>
        <v>293.33333333333468</v>
      </c>
      <c r="BI171" s="59">
        <f ca="1">AVERAGE(OFFSET($BH$3,0,0,'Données projet'!$E$11+1,1))-AVERAGE(OFFSET($H$3,0,0,'Données projet'!$E$11+1,1))</f>
        <v>288.82868507674738</v>
      </c>
      <c r="BJ171" s="59">
        <f t="shared" si="146"/>
        <v>283.48738729114024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12.450621459890922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12.450621459890922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2.1316282072803006E-14</v>
      </c>
      <c r="BZ171" s="13">
        <f>BY171*VLOOKUP('Données projet'!$B$12,Paramètres!$A$1:$I$89,3,0)*VLOOKUP('Données projet'!$B$12,Paramètres!$A$1:$I$89,5,0)</f>
        <v>1.8621904018800709E-14</v>
      </c>
      <c r="CA171" s="13">
        <f t="shared" si="170"/>
        <v>3.40208645124969E-13</v>
      </c>
      <c r="CB171" s="20">
        <f t="shared" si="171"/>
        <v>6.2496320642539887E-13</v>
      </c>
      <c r="CC171" s="59">
        <f t="shared" si="119"/>
        <v>293.33333333333394</v>
      </c>
      <c r="CD171" s="59">
        <f ca="1">AVERAGE(OFFSET($CC$3,0,0,'Données projet'!$E$12+1,1))-AVERAGE(OFFSET($H$3,0,0,'Données projet'!$E$12+1,1))</f>
        <v>93.329407403816901</v>
      </c>
      <c r="CE171" s="59">
        <f t="shared" si="148"/>
        <v>90.925148357295313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3.0440772312479862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3.0440772312479862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-2.2737367544323206E-13</v>
      </c>
      <c r="CU171" s="17">
        <f>CT171*VLOOKUP('Données projet'!$B$13,Paramètres!$A$1:$I$89,3,0)*VLOOKUP('Données projet'!$B$13,Paramètres!$A$1:$I$89,5,0)</f>
        <v>-2.1636878955177963E-13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805.04572055352492</v>
      </c>
      <c r="CZ171" s="59">
        <f t="shared" si="150"/>
        <v>708.66645042414962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71.19332715012402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71.19332715012402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-1.1368683772161603E-13</v>
      </c>
      <c r="DP171" s="17">
        <f>DO171*VLOOKUP('Données projet'!$B$14,Paramètres!$A$1:$I$89,3,0)*VLOOKUP('Données projet'!$B$14,Paramètres!$A$1:$I$89,5,0)</f>
        <v>-7.626113074366004E-14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482.69499576870095</v>
      </c>
      <c r="DU171" s="59">
        <f t="shared" si="152"/>
        <v>384.28918352579575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44.039812281386105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44.039812281386105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1.7053025658242404E-13</v>
      </c>
      <c r="EK171" s="17">
        <f>EJ171*VLOOKUP('Données projet'!$B$15,Paramètres!$A$1:$I$89,3,0)*VLOOKUP('Données projet'!$B$15,Paramètres!$A$1:$I$89,5,0)</f>
        <v>1.250327841262333E-13</v>
      </c>
      <c r="EL171" s="13">
        <f t="shared" si="179"/>
        <v>1.8301318724634299E-12</v>
      </c>
      <c r="EM171" s="20">
        <f t="shared" si="180"/>
        <v>3.405245110226996E-12</v>
      </c>
      <c r="EN171" s="59">
        <f t="shared" si="128"/>
        <v>293.33333333333672</v>
      </c>
      <c r="EO171" s="59">
        <f ca="1">AVERAGE(OFFSET($EN$3,0,0,'Données projet'!$E$15+1,1))-AVERAGE(OFFSET($H$3,0,0,'Données projet'!$E$15+1,1))</f>
        <v>197.34725966440715</v>
      </c>
      <c r="EP171" s="59">
        <f t="shared" si="154"/>
        <v>240.16326570529532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4.2276189818825705</v>
      </c>
      <c r="EW171" s="21">
        <f>EXP(-LN(2)/25)*EW170+(1-EXP(-LN(2)/25))/(LN(2)/25)*Calculateur!ER171*Calculateur!ET171*VLOOKUP('Données projet'!$B$15,Paramètres!$A$1:$I$89,3,0)*0.475*44/12</f>
        <v>1.1686226812382234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5.3962416631207937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2.2737367544323206E-13</v>
      </c>
      <c r="FF171" s="17">
        <f>FE171*VLOOKUP('Données projet'!$B$16,Paramètres!$A$1:$I$89,3,0)*VLOOKUP('Données projet'!$B$16,Paramètres!$A$1:$I$89,5,0)</f>
        <v>1.2710188457276673E-13</v>
      </c>
      <c r="FG171" s="13">
        <f t="shared" si="182"/>
        <v>1.856866851063998E-12</v>
      </c>
      <c r="FH171" s="20">
        <f t="shared" si="183"/>
        <v>3.4554122145673649E-12</v>
      </c>
      <c r="FI171" s="59">
        <f t="shared" si="131"/>
        <v>293.33333333333678</v>
      </c>
      <c r="FJ171" s="59">
        <f ca="1">AVERAGE(OFFSET($FI$3,0,0,'Données projet'!$E$16+1,1))-AVERAGE(OFFSET($H$3,0,0,'Données projet'!$E$16+1,1))</f>
        <v>346.42094266871379</v>
      </c>
      <c r="FK171" s="59">
        <f t="shared" si="156"/>
        <v>453.48153556975973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20.173004969472149</v>
      </c>
      <c r="FR171" s="21">
        <f>EXP(-LN(2)/25)*FR170+(1-EXP(-LN(2)/25))/(LN(2)/25)*Calculateur!FM171*Calculateur!FO171*VLOOKUP('Données projet'!$B$16,Paramètres!$A$1:$I$89,3,0)*0.475*44/12</f>
        <v>5.2823253302183923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25.455330299690541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-1.1368683772161603E-13</v>
      </c>
      <c r="GA171" s="17">
        <f>FZ171*VLOOKUP('Données projet'!$B$17,Paramètres!$A$1:$I$89,3,0)*VLOOKUP('Données projet'!$B$17,Paramètres!$A$1:$I$89,5,0)</f>
        <v>-5.3205440053716299E-14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198.26255998041</v>
      </c>
      <c r="GF171" s="59">
        <f t="shared" si="158"/>
        <v>238.62101708181166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12.930276097011465</v>
      </c>
      <c r="GM171" s="21">
        <f>EXP(-LN(2)/25)*GM170+(1-EXP(-LN(2)/25))/(LN(2)/25)*Calculateur!GH171*Calculateur!GJ171*VLOOKUP('Données projet'!$B$17,Paramètres!$A$1:$I$89,3,0)*0.475*44/12</f>
        <v>3.1174814490042086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16.047757546015674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>
        <f>GU171*VLOOKUP('Données projet'!$B$18,Paramètres!$A$1:$I$89,3,0)*VLOOKUP('Données projet'!$B$18,Paramètres!$A$1:$I$89,5,0)</f>
        <v>0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604.0566904089452</v>
      </c>
      <c r="HA171" s="59">
        <f t="shared" si="160"/>
        <v>369.5187835902687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37.820491011117248</v>
      </c>
      <c r="HH171" s="21">
        <f>EXP(-LN(2)/25)*HH170+(1-EXP(-LN(2)/25))/(LN(2)/25)*Calculateur!HC171*Calculateur!HE171*VLOOKUP('Données projet'!$B$18,Paramètres!$A$1:$I$89,3,0)*0.475*44/12</f>
        <v>8.8092267553525847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46.629717766469831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-5.1431925385259088E-14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528.20489749461376</v>
      </c>
      <c r="T172" s="59">
        <f t="shared" si="142"/>
        <v>276.26988364830532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125.01779465723986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125.01779465723986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2.0572770154103635E-13</v>
      </c>
      <c r="AK172" s="13">
        <f t="shared" si="164"/>
        <v>2.8416956338469711E-12</v>
      </c>
      <c r="AL172" s="20">
        <f t="shared" si="165"/>
        <v>5.3075956424674458E-12</v>
      </c>
      <c r="AM172" s="59">
        <f t="shared" si="113"/>
        <v>293.3333333333386</v>
      </c>
      <c r="AN172" s="59">
        <f ca="1">AVERAGE(OFFSET($AM$3,0,0,'Données projet'!$E$10+1,1))-AVERAGE(OFFSET($H$3,0,0,'Données projet'!$E$10+1,1))</f>
        <v>436.23918637269577</v>
      </c>
      <c r="AO172" s="59">
        <f t="shared" si="144"/>
        <v>611.43967996341894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6.2652647688417487</v>
      </c>
      <c r="AV172" s="21">
        <f>EXP(-LN(2)/25)*AV171+(1-EXP(-LN(2)/25))/(LN(2)/25)*Calculateur!AQ172*Calculateur!AS172*VLOOKUP('Données projet'!$B$10,Paramètres!$A$1:$I$89,3,0)*0.475*44/12</f>
        <v>1.390732513906527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7.6559972827482756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4.4337866711430253E-14</v>
      </c>
      <c r="BF172" s="13">
        <f t="shared" si="167"/>
        <v>7.3222115536967035E-13</v>
      </c>
      <c r="BG172" s="20">
        <f t="shared" si="168"/>
        <v>1.3525069634579169E-12</v>
      </c>
      <c r="BH172" s="59">
        <f t="shared" si="116"/>
        <v>293.33333333333468</v>
      </c>
      <c r="BI172" s="59">
        <f ca="1">AVERAGE(OFFSET($BH$3,0,0,'Données projet'!$E$11+1,1))-AVERAGE(OFFSET($H$3,0,0,'Données projet'!$E$11+1,1))</f>
        <v>288.82868507674738</v>
      </c>
      <c r="BJ172" s="59">
        <f t="shared" si="146"/>
        <v>283.48738729114024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12.206472367191694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12.206472367191694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2.1316282072803006E-14</v>
      </c>
      <c r="BZ172" s="13">
        <f>BY172*VLOOKUP('Données projet'!$B$12,Paramètres!$A$1:$I$89,3,0)*VLOOKUP('Données projet'!$B$12,Paramètres!$A$1:$I$89,5,0)</f>
        <v>1.8621904018800709E-14</v>
      </c>
      <c r="CA172" s="13">
        <f t="shared" si="170"/>
        <v>3.40208645124969E-13</v>
      </c>
      <c r="CB172" s="20">
        <f t="shared" si="171"/>
        <v>6.2496320642539887E-13</v>
      </c>
      <c r="CC172" s="59">
        <f t="shared" si="119"/>
        <v>293.33333333333394</v>
      </c>
      <c r="CD172" s="59">
        <f ca="1">AVERAGE(OFFSET($CC$3,0,0,'Données projet'!$E$12+1,1))-AVERAGE(OFFSET($H$3,0,0,'Données projet'!$E$12+1,1))</f>
        <v>93.329407403816901</v>
      </c>
      <c r="CE172" s="59">
        <f t="shared" si="148"/>
        <v>90.925148357295313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2.9843847334469902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2.9843847334469902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-2.2737367544323206E-13</v>
      </c>
      <c r="CU172" s="17">
        <f>CT172*VLOOKUP('Données projet'!$B$13,Paramètres!$A$1:$I$89,3,0)*VLOOKUP('Données projet'!$B$13,Paramètres!$A$1:$I$89,5,0)</f>
        <v>-2.1636878955177963E-13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805.04572055352492</v>
      </c>
      <c r="CZ172" s="59">
        <f t="shared" si="150"/>
        <v>708.66645042414962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69.797269428351925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69.797269428351925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-1.1368683772161603E-13</v>
      </c>
      <c r="DP172" s="17">
        <f>DO172*VLOOKUP('Données projet'!$B$14,Paramètres!$A$1:$I$89,3,0)*VLOOKUP('Données projet'!$B$14,Paramètres!$A$1:$I$89,5,0)</f>
        <v>-7.626113074366004E-14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482.69499576870095</v>
      </c>
      <c r="DU172" s="59">
        <f t="shared" si="152"/>
        <v>384.28918352579575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43.176218424181251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43.176218424181251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1.7053025658242404E-13</v>
      </c>
      <c r="EK172" s="17">
        <f>EJ172*VLOOKUP('Données projet'!$B$15,Paramètres!$A$1:$I$89,3,0)*VLOOKUP('Données projet'!$B$15,Paramètres!$A$1:$I$89,5,0)</f>
        <v>1.250327841262333E-13</v>
      </c>
      <c r="EL172" s="13">
        <f t="shared" si="179"/>
        <v>1.8301318724634299E-12</v>
      </c>
      <c r="EM172" s="20">
        <f t="shared" si="180"/>
        <v>3.405245110226996E-12</v>
      </c>
      <c r="EN172" s="59">
        <f t="shared" si="128"/>
        <v>293.33333333333672</v>
      </c>
      <c r="EO172" s="59">
        <f ca="1">AVERAGE(OFFSET($EN$3,0,0,'Données projet'!$E$15+1,1))-AVERAGE(OFFSET($H$3,0,0,'Données projet'!$E$15+1,1))</f>
        <v>197.34725966440715</v>
      </c>
      <c r="EP172" s="59">
        <f t="shared" si="154"/>
        <v>240.16326570529532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4.1447179522408177</v>
      </c>
      <c r="EW172" s="21">
        <f>EXP(-LN(2)/25)*EW171+(1-EXP(-LN(2)/25))/(LN(2)/25)*Calculateur!ER172*Calculateur!ET172*VLOOKUP('Données projet'!$B$15,Paramètres!$A$1:$I$89,3,0)*0.475*44/12</f>
        <v>1.1366666325645682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5.2813845848053855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2.2737367544323206E-13</v>
      </c>
      <c r="FF172" s="17">
        <f>FE172*VLOOKUP('Données projet'!$B$16,Paramètres!$A$1:$I$89,3,0)*VLOOKUP('Données projet'!$B$16,Paramètres!$A$1:$I$89,5,0)</f>
        <v>1.2710188457276673E-13</v>
      </c>
      <c r="FG172" s="13">
        <f t="shared" si="182"/>
        <v>1.856866851063998E-12</v>
      </c>
      <c r="FH172" s="20">
        <f t="shared" si="183"/>
        <v>3.4554122145673649E-12</v>
      </c>
      <c r="FI172" s="59">
        <f t="shared" si="131"/>
        <v>293.33333333333678</v>
      </c>
      <c r="FJ172" s="59">
        <f ca="1">AVERAGE(OFFSET($FI$3,0,0,'Données projet'!$E$16+1,1))-AVERAGE(OFFSET($H$3,0,0,'Données projet'!$E$16+1,1))</f>
        <v>346.42094266871379</v>
      </c>
      <c r="FK172" s="59">
        <f t="shared" si="156"/>
        <v>453.48153556975973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19.777424646338883</v>
      </c>
      <c r="FR172" s="21">
        <f>EXP(-LN(2)/25)*FR171+(1-EXP(-LN(2)/25))/(LN(2)/25)*Calculateur!FM172*Calculateur!FO172*VLOOKUP('Données projet'!$B$16,Paramètres!$A$1:$I$89,3,0)*0.475*44/12</f>
        <v>5.137879866278154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24.915304512617038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-1.1368683772161603E-13</v>
      </c>
      <c r="GA172" s="17">
        <f>FZ172*VLOOKUP('Données projet'!$B$17,Paramètres!$A$1:$I$89,3,0)*VLOOKUP('Données projet'!$B$17,Paramètres!$A$1:$I$89,5,0)</f>
        <v>-5.3205440053716299E-14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198.26255998041</v>
      </c>
      <c r="GF172" s="59">
        <f t="shared" si="158"/>
        <v>238.62101708181166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12.676721269438744</v>
      </c>
      <c r="GM172" s="21">
        <f>EXP(-LN(2)/25)*GM171+(1-EXP(-LN(2)/25))/(LN(2)/25)*Calculateur!GH172*Calculateur!GJ172*VLOOKUP('Données projet'!$B$17,Paramètres!$A$1:$I$89,3,0)*0.475*44/12</f>
        <v>3.032233754839964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15.708955024278708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>
        <f>GU172*VLOOKUP('Données projet'!$B$18,Paramètres!$A$1:$I$89,3,0)*VLOOKUP('Données projet'!$B$18,Paramètres!$A$1:$I$89,5,0)</f>
        <v>0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604.0566904089452</v>
      </c>
      <c r="HA172" s="59">
        <f t="shared" si="160"/>
        <v>369.5187835902687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37.078854250610959</v>
      </c>
      <c r="HH172" s="21">
        <f>EXP(-LN(2)/25)*HH171+(1-EXP(-LN(2)/25))/(LN(2)/25)*Calculateur!HC172*Calculateur!HE172*VLOOKUP('Données projet'!$B$18,Paramètres!$A$1:$I$89,3,0)*0.475*44/12</f>
        <v>8.5683379864703664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45.647192237081327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-5.1431925385259088E-14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528.20489749461376</v>
      </c>
      <c r="T173" s="59">
        <f t="shared" si="142"/>
        <v>276.26988364830532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122.56627195733674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122.56627195733674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2.0572770154103635E-13</v>
      </c>
      <c r="AK173" s="13">
        <f t="shared" si="164"/>
        <v>2.8416956338469711E-12</v>
      </c>
      <c r="AL173" s="20">
        <f t="shared" si="165"/>
        <v>5.3075956424674458E-12</v>
      </c>
      <c r="AM173" s="59">
        <f t="shared" si="113"/>
        <v>293.3333333333386</v>
      </c>
      <c r="AN173" s="59">
        <f ca="1">AVERAGE(OFFSET($AM$3,0,0,'Données projet'!$E$10+1,1))-AVERAGE(OFFSET($H$3,0,0,'Données projet'!$E$10+1,1))</f>
        <v>436.23918637269577</v>
      </c>
      <c r="AO173" s="59">
        <f t="shared" si="144"/>
        <v>611.43967996341894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6.1424067481589359</v>
      </c>
      <c r="AV173" s="21">
        <f>EXP(-LN(2)/25)*AV172+(1-EXP(-LN(2)/25))/(LN(2)/25)*Calculateur!AQ173*Calculateur!AS173*VLOOKUP('Données projet'!$B$10,Paramètres!$A$1:$I$89,3,0)*0.475*44/12</f>
        <v>1.3527028601783087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7.4951096083372448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4.4337866711430253E-14</v>
      </c>
      <c r="BF173" s="13">
        <f t="shared" si="167"/>
        <v>7.3222115536967035E-13</v>
      </c>
      <c r="BG173" s="20">
        <f t="shared" si="168"/>
        <v>1.3525069634579169E-12</v>
      </c>
      <c r="BH173" s="59">
        <f t="shared" si="116"/>
        <v>293.33333333333468</v>
      </c>
      <c r="BI173" s="59">
        <f ca="1">AVERAGE(OFFSET($BH$3,0,0,'Données projet'!$E$11+1,1))-AVERAGE(OFFSET($H$3,0,0,'Données projet'!$E$11+1,1))</f>
        <v>288.82868507674738</v>
      </c>
      <c r="BJ173" s="59">
        <f t="shared" si="146"/>
        <v>283.48738729114024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11.967110889284054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11.967110889284054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2.1316282072803006E-14</v>
      </c>
      <c r="BZ173" s="13">
        <f>BY173*VLOOKUP('Données projet'!$B$12,Paramètres!$A$1:$I$89,3,0)*VLOOKUP('Données projet'!$B$12,Paramètres!$A$1:$I$89,5,0)</f>
        <v>1.8621904018800709E-14</v>
      </c>
      <c r="CA173" s="13">
        <f t="shared" si="170"/>
        <v>3.40208645124969E-13</v>
      </c>
      <c r="CB173" s="20">
        <f t="shared" si="171"/>
        <v>6.2496320642539887E-13</v>
      </c>
      <c r="CC173" s="59">
        <f t="shared" si="119"/>
        <v>293.33333333333394</v>
      </c>
      <c r="CD173" s="59">
        <f ca="1">AVERAGE(OFFSET($CC$3,0,0,'Données projet'!$E$12+1,1))-AVERAGE(OFFSET($H$3,0,0,'Données projet'!$E$12+1,1))</f>
        <v>93.329407403816901</v>
      </c>
      <c r="CE173" s="59">
        <f t="shared" si="148"/>
        <v>90.925148357295313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2.9258627691190431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2.9258627691190431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-2.2737367544323206E-13</v>
      </c>
      <c r="CU173" s="17">
        <f>CT173*VLOOKUP('Données projet'!$B$13,Paramètres!$A$1:$I$89,3,0)*VLOOKUP('Données projet'!$B$13,Paramètres!$A$1:$I$89,5,0)</f>
        <v>-2.1636878955177963E-13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805.04572055352492</v>
      </c>
      <c r="CZ173" s="59">
        <f t="shared" si="150"/>
        <v>708.66645042414962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68.428587546992645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68.428587546992645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-1.1368683772161603E-13</v>
      </c>
      <c r="DP173" s="17">
        <f>DO173*VLOOKUP('Données projet'!$B$14,Paramètres!$A$1:$I$89,3,0)*VLOOKUP('Données projet'!$B$14,Paramètres!$A$1:$I$89,5,0)</f>
        <v>-7.626113074366004E-14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482.69499576870095</v>
      </c>
      <c r="DU173" s="59">
        <f t="shared" si="152"/>
        <v>384.28918352579575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42.329559115775943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42.329559115775943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1.7053025658242404E-13</v>
      </c>
      <c r="EK173" s="17">
        <f>EJ173*VLOOKUP('Données projet'!$B$15,Paramètres!$A$1:$I$89,3,0)*VLOOKUP('Données projet'!$B$15,Paramètres!$A$1:$I$89,5,0)</f>
        <v>1.250327841262333E-13</v>
      </c>
      <c r="EL173" s="13">
        <f t="shared" si="179"/>
        <v>1.8301318724634299E-12</v>
      </c>
      <c r="EM173" s="20">
        <f t="shared" si="180"/>
        <v>3.405245110226996E-12</v>
      </c>
      <c r="EN173" s="59">
        <f t="shared" si="128"/>
        <v>293.33333333333672</v>
      </c>
      <c r="EO173" s="59">
        <f ca="1">AVERAGE(OFFSET($EN$3,0,0,'Données projet'!$E$15+1,1))-AVERAGE(OFFSET($H$3,0,0,'Données projet'!$E$15+1,1))</f>
        <v>197.34725966440715</v>
      </c>
      <c r="EP173" s="59">
        <f t="shared" si="154"/>
        <v>240.16326570529532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4.0634425612257044</v>
      </c>
      <c r="EW173" s="21">
        <f>EXP(-LN(2)/25)*EW172+(1-EXP(-LN(2)/25))/(LN(2)/25)*Calculateur!ER173*Calculateur!ET173*VLOOKUP('Données projet'!$B$15,Paramètres!$A$1:$I$89,3,0)*0.475*44/12</f>
        <v>1.1055844237223897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5.1690269849480943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2.2737367544323206E-13</v>
      </c>
      <c r="FF173" s="17">
        <f>FE173*VLOOKUP('Données projet'!$B$16,Paramètres!$A$1:$I$89,3,0)*VLOOKUP('Données projet'!$B$16,Paramètres!$A$1:$I$89,5,0)</f>
        <v>1.2710188457276673E-13</v>
      </c>
      <c r="FG173" s="13">
        <f t="shared" si="182"/>
        <v>1.856866851063998E-12</v>
      </c>
      <c r="FH173" s="20">
        <f t="shared" si="183"/>
        <v>3.4554122145673649E-12</v>
      </c>
      <c r="FI173" s="59">
        <f t="shared" si="131"/>
        <v>293.33333333333678</v>
      </c>
      <c r="FJ173" s="59">
        <f ca="1">AVERAGE(OFFSET($FI$3,0,0,'Données projet'!$E$16+1,1))-AVERAGE(OFFSET($H$3,0,0,'Données projet'!$E$16+1,1))</f>
        <v>346.42094266871379</v>
      </c>
      <c r="FK173" s="59">
        <f t="shared" si="156"/>
        <v>453.48153556975973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19.389601412062085</v>
      </c>
      <c r="FR173" s="21">
        <f>EXP(-LN(2)/25)*FR172+(1-EXP(-LN(2)/25))/(LN(2)/25)*Calculateur!FM173*Calculateur!FO173*VLOOKUP('Données projet'!$B$16,Paramètres!$A$1:$I$89,3,0)*0.475*44/12</f>
        <v>4.9973842711454184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24.386985683207502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-1.1368683772161603E-13</v>
      </c>
      <c r="GA173" s="17">
        <f>FZ173*VLOOKUP('Données projet'!$B$17,Paramètres!$A$1:$I$89,3,0)*VLOOKUP('Données projet'!$B$17,Paramètres!$A$1:$I$89,5,0)</f>
        <v>-5.3205440053716299E-14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198.26255998041</v>
      </c>
      <c r="GF173" s="59">
        <f t="shared" si="158"/>
        <v>238.62101708181166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12.42813849738155</v>
      </c>
      <c r="GM173" s="21">
        <f>EXP(-LN(2)/25)*GM172+(1-EXP(-LN(2)/25))/(LN(2)/25)*Calculateur!GH173*Calculateur!GJ173*VLOOKUP('Données projet'!$B$17,Paramètres!$A$1:$I$89,3,0)*0.475*44/12</f>
        <v>2.9493171633556221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15.377455660737173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>
        <f>GU173*VLOOKUP('Données projet'!$B$18,Paramètres!$A$1:$I$89,3,0)*VLOOKUP('Données projet'!$B$18,Paramètres!$A$1:$I$89,5,0)</f>
        <v>0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604.0566904089452</v>
      </c>
      <c r="HA173" s="59">
        <f t="shared" si="160"/>
        <v>369.5187835902687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36.351760534624439</v>
      </c>
      <c r="HH173" s="21">
        <f>EXP(-LN(2)/25)*HH172+(1-EXP(-LN(2)/25))/(LN(2)/25)*Calculateur!HC173*Calculateur!HE173*VLOOKUP('Données projet'!$B$18,Paramètres!$A$1:$I$89,3,0)*0.475*44/12</f>
        <v>8.3340363336410235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44.685796868265463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-5.1431925385259088E-14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528.20489749461376</v>
      </c>
      <c r="T174" s="59">
        <f t="shared" si="142"/>
        <v>276.26988364830532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120.16282212229751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120.16282212229751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2.0572770154103635E-13</v>
      </c>
      <c r="AK174" s="13">
        <f t="shared" si="164"/>
        <v>2.8416956338469711E-12</v>
      </c>
      <c r="AL174" s="20">
        <f t="shared" si="165"/>
        <v>5.3075956424674458E-12</v>
      </c>
      <c r="AM174" s="59">
        <f t="shared" si="113"/>
        <v>293.3333333333386</v>
      </c>
      <c r="AN174" s="59">
        <f ca="1">AVERAGE(OFFSET($AM$3,0,0,'Données projet'!$E$10+1,1))-AVERAGE(OFFSET($H$3,0,0,'Données projet'!$E$10+1,1))</f>
        <v>436.23918637269577</v>
      </c>
      <c r="AO174" s="59">
        <f t="shared" si="144"/>
        <v>611.43967996341894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6.02195789832572</v>
      </c>
      <c r="AV174" s="21">
        <f>EXP(-LN(2)/25)*AV173+(1-EXP(-LN(2)/25))/(LN(2)/25)*Calculateur!AQ174*Calculateur!AS174*VLOOKUP('Données projet'!$B$10,Paramètres!$A$1:$I$89,3,0)*0.475*44/12</f>
        <v>1.315713129331181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7.337671027656901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4.4337866711430253E-14</v>
      </c>
      <c r="BF174" s="13">
        <f t="shared" si="167"/>
        <v>7.3222115536967035E-13</v>
      </c>
      <c r="BG174" s="20">
        <f t="shared" si="168"/>
        <v>1.3525069634579169E-12</v>
      </c>
      <c r="BH174" s="59">
        <f t="shared" si="116"/>
        <v>293.33333333333468</v>
      </c>
      <c r="BI174" s="59">
        <f ca="1">AVERAGE(OFFSET($BH$3,0,0,'Données projet'!$E$11+1,1))-AVERAGE(OFFSET($H$3,0,0,'Données projet'!$E$11+1,1))</f>
        <v>288.82868507674738</v>
      </c>
      <c r="BJ174" s="59">
        <f t="shared" si="146"/>
        <v>283.48738729114024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11.732443143962099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11.732443143962099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2.1316282072803006E-14</v>
      </c>
      <c r="BZ174" s="13">
        <f>BY174*VLOOKUP('Données projet'!$B$12,Paramètres!$A$1:$I$89,3,0)*VLOOKUP('Données projet'!$B$12,Paramètres!$A$1:$I$89,5,0)</f>
        <v>1.8621904018800709E-14</v>
      </c>
      <c r="CA174" s="13">
        <f t="shared" si="170"/>
        <v>3.40208645124969E-13</v>
      </c>
      <c r="CB174" s="20">
        <f t="shared" si="171"/>
        <v>6.2496320642539887E-13</v>
      </c>
      <c r="CC174" s="59">
        <f t="shared" si="119"/>
        <v>293.33333333333394</v>
      </c>
      <c r="CD174" s="59">
        <f ca="1">AVERAGE(OFFSET($CC$3,0,0,'Données projet'!$E$12+1,1))-AVERAGE(OFFSET($H$3,0,0,'Données projet'!$E$12+1,1))</f>
        <v>93.329407403816901</v>
      </c>
      <c r="CE174" s="59">
        <f t="shared" si="148"/>
        <v>90.925148357295313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2.8684883848166933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2.8684883848166933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-2.2737367544323206E-13</v>
      </c>
      <c r="CU174" s="17">
        <f>CT174*VLOOKUP('Données projet'!$B$13,Paramètres!$A$1:$I$89,3,0)*VLOOKUP('Données projet'!$B$13,Paramètres!$A$1:$I$89,5,0)</f>
        <v>-2.1636878955177963E-13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805.04572055352492</v>
      </c>
      <c r="CZ174" s="59">
        <f t="shared" si="150"/>
        <v>708.66645042414962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67.086744682513299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67.086744682513299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-1.1368683772161603E-13</v>
      </c>
      <c r="DP174" s="17">
        <f>DO174*VLOOKUP('Données projet'!$B$14,Paramètres!$A$1:$I$89,3,0)*VLOOKUP('Données projet'!$B$14,Paramètres!$A$1:$I$89,5,0)</f>
        <v>-7.626113074366004E-14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482.69499576870095</v>
      </c>
      <c r="DU174" s="59">
        <f t="shared" si="152"/>
        <v>384.28918352579575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41.499502279997273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41.499502279997273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1.7053025658242404E-13</v>
      </c>
      <c r="EK174" s="17">
        <f>EJ174*VLOOKUP('Données projet'!$B$15,Paramètres!$A$1:$I$89,3,0)*VLOOKUP('Données projet'!$B$15,Paramètres!$A$1:$I$89,5,0)</f>
        <v>1.250327841262333E-13</v>
      </c>
      <c r="EL174" s="13">
        <f t="shared" si="179"/>
        <v>1.8301318724634299E-12</v>
      </c>
      <c r="EM174" s="20">
        <f t="shared" si="180"/>
        <v>3.405245110226996E-12</v>
      </c>
      <c r="EN174" s="59">
        <f t="shared" si="128"/>
        <v>293.33333333333672</v>
      </c>
      <c r="EO174" s="59">
        <f ca="1">AVERAGE(OFFSET($EN$3,0,0,'Données projet'!$E$15+1,1))-AVERAGE(OFFSET($H$3,0,0,'Données projet'!$E$15+1,1))</f>
        <v>197.34725966440715</v>
      </c>
      <c r="EP174" s="59">
        <f t="shared" si="154"/>
        <v>240.16326570529532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3.9837609310553037</v>
      </c>
      <c r="EW174" s="21">
        <f>EXP(-LN(2)/25)*EW173+(1-EXP(-LN(2)/25))/(LN(2)/25)*Calculateur!ER174*Calculateur!ET174*VLOOKUP('Données projet'!$B$15,Paramètres!$A$1:$I$89,3,0)*0.475*44/12</f>
        <v>1.0753521595155431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5.0591130905708468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2.2737367544323206E-13</v>
      </c>
      <c r="FF174" s="17">
        <f>FE174*VLOOKUP('Données projet'!$B$16,Paramètres!$A$1:$I$89,3,0)*VLOOKUP('Données projet'!$B$16,Paramètres!$A$1:$I$89,5,0)</f>
        <v>1.2710188457276673E-13</v>
      </c>
      <c r="FG174" s="13">
        <f t="shared" si="182"/>
        <v>1.856866851063998E-12</v>
      </c>
      <c r="FH174" s="20">
        <f t="shared" si="183"/>
        <v>3.4554122145673649E-12</v>
      </c>
      <c r="FI174" s="59">
        <f t="shared" si="131"/>
        <v>293.33333333333678</v>
      </c>
      <c r="FJ174" s="59">
        <f ca="1">AVERAGE(OFFSET($FI$3,0,0,'Données projet'!$E$16+1,1))-AVERAGE(OFFSET($H$3,0,0,'Données projet'!$E$16+1,1))</f>
        <v>346.42094266871379</v>
      </c>
      <c r="FK174" s="59">
        <f t="shared" si="156"/>
        <v>453.48153556975973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19.00938315486064</v>
      </c>
      <c r="FR174" s="21">
        <f>EXP(-LN(2)/25)*FR173+(1-EXP(-LN(2)/25))/(LN(2)/25)*Calculateur!FM174*Calculateur!FO174*VLOOKUP('Données projet'!$B$16,Paramètres!$A$1:$I$89,3,0)*0.475*44/12</f>
        <v>4.8607305354499299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23.870113690310568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-1.1368683772161603E-13</v>
      </c>
      <c r="GA174" s="17">
        <f>FZ174*VLOOKUP('Données projet'!$B$17,Paramètres!$A$1:$I$89,3,0)*VLOOKUP('Données projet'!$B$17,Paramètres!$A$1:$I$89,5,0)</f>
        <v>-5.3205440053716299E-14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198.26255998041</v>
      </c>
      <c r="GF174" s="59">
        <f t="shared" si="158"/>
        <v>238.62101708181166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12.184430281863877</v>
      </c>
      <c r="GM174" s="21">
        <f>EXP(-LN(2)/25)*GM173+(1-EXP(-LN(2)/25))/(LN(2)/25)*Calculateur!GH174*Calculateur!GJ174*VLOOKUP('Données projet'!$B$17,Paramètres!$A$1:$I$89,3,0)*0.475*44/12</f>
        <v>2.8686679304258136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15.05309821228969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>
        <f>GU174*VLOOKUP('Données projet'!$B$18,Paramètres!$A$1:$I$89,3,0)*VLOOKUP('Données projet'!$B$18,Paramètres!$A$1:$I$89,5,0)</f>
        <v>0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604.0566904089452</v>
      </c>
      <c r="HA174" s="59">
        <f t="shared" si="160"/>
        <v>369.5187835902687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35.638924682925037</v>
      </c>
      <c r="HH174" s="21">
        <f>EXP(-LN(2)/25)*HH173+(1-EXP(-LN(2)/25))/(LN(2)/25)*Calculateur!HC174*Calculateur!HE174*VLOOKUP('Données projet'!$B$18,Paramètres!$A$1:$I$89,3,0)*0.475*44/12</f>
        <v>8.1061416718296861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43.745066354754726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-5.1431925385259088E-14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528.20489749461376</v>
      </c>
      <c r="T175" s="59">
        <f t="shared" si="142"/>
        <v>276.26988364830532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117.80650247256376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117.80650247256376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2.0572770154103635E-13</v>
      </c>
      <c r="AK175" s="13">
        <f t="shared" si="164"/>
        <v>2.8416956338469711E-12</v>
      </c>
      <c r="AL175" s="20">
        <f t="shared" si="165"/>
        <v>5.3075956424674458E-12</v>
      </c>
      <c r="AM175" s="59">
        <f t="shared" si="113"/>
        <v>293.3333333333386</v>
      </c>
      <c r="AN175" s="59">
        <f ca="1">AVERAGE(OFFSET($AM$3,0,0,'Données projet'!$E$10+1,1))-AVERAGE(OFFSET($H$3,0,0,'Données projet'!$E$10+1,1))</f>
        <v>436.23918637269577</v>
      </c>
      <c r="AO175" s="59">
        <f t="shared" si="144"/>
        <v>611.43967996341894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5.9038709769711888</v>
      </c>
      <c r="AV175" s="21">
        <f>EXP(-LN(2)/25)*AV174+(1-EXP(-LN(2)/25))/(LN(2)/25)*Calculateur!AQ175*Calculateur!AS175*VLOOKUP('Données projet'!$B$10,Paramètres!$A$1:$I$89,3,0)*0.475*44/12</f>
        <v>1.2797348846192735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7.1836058615904621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4.4337866711430253E-14</v>
      </c>
      <c r="BF175" s="13">
        <f t="shared" si="167"/>
        <v>7.3222115536967035E-13</v>
      </c>
      <c r="BG175" s="20">
        <f t="shared" si="168"/>
        <v>1.3525069634579169E-12</v>
      </c>
      <c r="BH175" s="59">
        <f t="shared" si="116"/>
        <v>293.33333333333468</v>
      </c>
      <c r="BI175" s="59">
        <f ca="1">AVERAGE(OFFSET($BH$3,0,0,'Données projet'!$E$11+1,1))-AVERAGE(OFFSET($H$3,0,0,'Données projet'!$E$11+1,1))</f>
        <v>288.82868507674738</v>
      </c>
      <c r="BJ175" s="59">
        <f t="shared" si="146"/>
        <v>283.48738729114024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11.502377089992715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11.502377089992715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2.1316282072803006E-14</v>
      </c>
      <c r="BZ175" s="13">
        <f>BY175*VLOOKUP('Données projet'!$B$12,Paramètres!$A$1:$I$89,3,0)*VLOOKUP('Données projet'!$B$12,Paramètres!$A$1:$I$89,5,0)</f>
        <v>1.8621904018800709E-14</v>
      </c>
      <c r="CA175" s="13">
        <f t="shared" si="170"/>
        <v>3.40208645124969E-13</v>
      </c>
      <c r="CB175" s="20">
        <f t="shared" si="171"/>
        <v>6.2496320642539887E-13</v>
      </c>
      <c r="CC175" s="59">
        <f t="shared" si="119"/>
        <v>293.33333333333394</v>
      </c>
      <c r="CD175" s="59">
        <f ca="1">AVERAGE(OFFSET($CC$3,0,0,'Données projet'!$E$12+1,1))-AVERAGE(OFFSET($H$3,0,0,'Données projet'!$E$12+1,1))</f>
        <v>93.329407403816901</v>
      </c>
      <c r="CE175" s="59">
        <f t="shared" si="148"/>
        <v>90.925148357295313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2.8122390771955934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2.8122390771955934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-2.2737367544323206E-13</v>
      </c>
      <c r="CU175" s="17">
        <f>CT175*VLOOKUP('Données projet'!$B$13,Paramètres!$A$1:$I$89,3,0)*VLOOKUP('Données projet'!$B$13,Paramètres!$A$1:$I$89,5,0)</f>
        <v>-2.1636878955177963E-13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805.04572055352492</v>
      </c>
      <c r="CZ175" s="59">
        <f t="shared" si="150"/>
        <v>708.66645042414962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65.771214538163065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65.771214538163065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-1.1368683772161603E-13</v>
      </c>
      <c r="DP175" s="17">
        <f>DO175*VLOOKUP('Données projet'!$B$14,Paramètres!$A$1:$I$89,3,0)*VLOOKUP('Données projet'!$B$14,Paramètres!$A$1:$I$89,5,0)</f>
        <v>-7.626113074366004E-14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482.69499576870095</v>
      </c>
      <c r="DU175" s="59">
        <f t="shared" si="152"/>
        <v>384.28918352579575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40.685722352483545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40.685722352483545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1.7053025658242404E-13</v>
      </c>
      <c r="EK175" s="17">
        <f>EJ175*VLOOKUP('Données projet'!$B$15,Paramètres!$A$1:$I$89,3,0)*VLOOKUP('Données projet'!$B$15,Paramètres!$A$1:$I$89,5,0)</f>
        <v>1.250327841262333E-13</v>
      </c>
      <c r="EL175" s="13">
        <f t="shared" si="179"/>
        <v>1.8301318724634299E-12</v>
      </c>
      <c r="EM175" s="20">
        <f t="shared" si="180"/>
        <v>3.405245110226996E-12</v>
      </c>
      <c r="EN175" s="59">
        <f t="shared" si="128"/>
        <v>293.33333333333672</v>
      </c>
      <c r="EO175" s="59">
        <f ca="1">AVERAGE(OFFSET($EN$3,0,0,'Données projet'!$E$15+1,1))-AVERAGE(OFFSET($H$3,0,0,'Données projet'!$E$15+1,1))</f>
        <v>197.34725966440715</v>
      </c>
      <c r="EP175" s="59">
        <f t="shared" si="154"/>
        <v>240.16326570529532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3.905641809051549</v>
      </c>
      <c r="EW175" s="21">
        <f>EXP(-LN(2)/25)*EW174+(1-EXP(-LN(2)/25))/(LN(2)/25)*Calculateur!ER175*Calculateur!ET175*VLOOKUP('Données projet'!$B$15,Paramètres!$A$1:$I$89,3,0)*0.475*44/12</f>
        <v>1.0459465981632783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4.9515884072148273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2.2737367544323206E-13</v>
      </c>
      <c r="FF175" s="17">
        <f>FE175*VLOOKUP('Données projet'!$B$16,Paramètres!$A$1:$I$89,3,0)*VLOOKUP('Données projet'!$B$16,Paramètres!$A$1:$I$89,5,0)</f>
        <v>1.2710188457276673E-13</v>
      </c>
      <c r="FG175" s="13">
        <f t="shared" si="182"/>
        <v>1.856866851063998E-12</v>
      </c>
      <c r="FH175" s="20">
        <f t="shared" si="183"/>
        <v>3.4554122145673649E-12</v>
      </c>
      <c r="FI175" s="59">
        <f t="shared" si="131"/>
        <v>293.33333333333678</v>
      </c>
      <c r="FJ175" s="59">
        <f ca="1">AVERAGE(OFFSET($FI$3,0,0,'Données projet'!$E$16+1,1))-AVERAGE(OFFSET($H$3,0,0,'Données projet'!$E$16+1,1))</f>
        <v>346.42094266871379</v>
      </c>
      <c r="FK175" s="59">
        <f t="shared" si="156"/>
        <v>453.48153556975973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18.636620745772678</v>
      </c>
      <c r="FR175" s="21">
        <f>EXP(-LN(2)/25)*FR174+(1-EXP(-LN(2)/25))/(LN(2)/25)*Calculateur!FM175*Calculateur!FO175*VLOOKUP('Données projet'!$B$16,Paramètres!$A$1:$I$89,3,0)*0.475*44/12</f>
        <v>4.7278136033433418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23.364434349116021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-1.1368683772161603E-13</v>
      </c>
      <c r="GA175" s="17">
        <f>FZ175*VLOOKUP('Données projet'!$B$17,Paramètres!$A$1:$I$89,3,0)*VLOOKUP('Données projet'!$B$17,Paramètres!$A$1:$I$89,5,0)</f>
        <v>-5.3205440053716299E-14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198.26255998041</v>
      </c>
      <c r="GF175" s="59">
        <f t="shared" si="158"/>
        <v>238.62101708181166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11.945501035805172</v>
      </c>
      <c r="GM175" s="21">
        <f>EXP(-LN(2)/25)*GM174+(1-EXP(-LN(2)/25))/(LN(2)/25)*Calculateur!GH175*Calculateur!GJ175*VLOOKUP('Données projet'!$B$17,Paramètres!$A$1:$I$89,3,0)*0.475*44/12</f>
        <v>2.7902240550116297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14.735725090816802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>
        <f>GU175*VLOOKUP('Données projet'!$B$18,Paramètres!$A$1:$I$89,3,0)*VLOOKUP('Données projet'!$B$18,Paramètres!$A$1:$I$89,5,0)</f>
        <v>0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604.0566904089452</v>
      </c>
      <c r="HA175" s="59">
        <f t="shared" si="160"/>
        <v>369.5187835902687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34.94006710749052</v>
      </c>
      <c r="HH175" s="21">
        <f>EXP(-LN(2)/25)*HH174+(1-EXP(-LN(2)/25))/(LN(2)/25)*Calculateur!HC175*Calculateur!HE175*VLOOKUP('Données projet'!$B$18,Paramètres!$A$1:$I$89,3,0)*0.475*44/12</f>
        <v>7.8844788015300393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42.824545909020557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-5.1431925385259088E-14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528.20489749461376</v>
      </c>
      <c r="T176" s="59">
        <f t="shared" si="142"/>
        <v>276.26988364830532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115.49638881394822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115.49638881394822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2.0572770154103635E-13</v>
      </c>
      <c r="AK176" s="13">
        <f t="shared" si="164"/>
        <v>2.8416956338469711E-12</v>
      </c>
      <c r="AL176" s="20">
        <f t="shared" si="165"/>
        <v>5.3075956424674458E-12</v>
      </c>
      <c r="AM176" s="59">
        <f t="shared" si="113"/>
        <v>293.3333333333386</v>
      </c>
      <c r="AN176" s="59">
        <f ca="1">AVERAGE(OFFSET($AM$3,0,0,'Données projet'!$E$10+1,1))-AVERAGE(OFFSET($H$3,0,0,'Données projet'!$E$10+1,1))</f>
        <v>436.23918637269577</v>
      </c>
      <c r="AO176" s="59">
        <f t="shared" si="144"/>
        <v>611.43967996341894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5.7880996681185097</v>
      </c>
      <c r="AV176" s="21">
        <f>EXP(-LN(2)/25)*AV175+(1-EXP(-LN(2)/25))/(LN(2)/25)*Calculateur!AQ176*Calculateur!AS176*VLOOKUP('Données projet'!$B$10,Paramètres!$A$1:$I$89,3,0)*0.475*44/12</f>
        <v>1.2447404669010267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7.0328401350195362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4.4337866711430253E-14</v>
      </c>
      <c r="BF176" s="13">
        <f t="shared" si="167"/>
        <v>7.3222115536967035E-13</v>
      </c>
      <c r="BG176" s="20">
        <f t="shared" si="168"/>
        <v>1.3525069634579169E-12</v>
      </c>
      <c r="BH176" s="59">
        <f t="shared" si="116"/>
        <v>293.33333333333468</v>
      </c>
      <c r="BI176" s="59">
        <f ca="1">AVERAGE(OFFSET($BH$3,0,0,'Données projet'!$E$11+1,1))-AVERAGE(OFFSET($H$3,0,0,'Données projet'!$E$11+1,1))</f>
        <v>288.82868507674738</v>
      </c>
      <c r="BJ176" s="59">
        <f t="shared" si="146"/>
        <v>283.48738729114024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11.276822491015235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11.276822491015235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2.1316282072803006E-14</v>
      </c>
      <c r="BZ176" s="13">
        <f>BY176*VLOOKUP('Données projet'!$B$12,Paramètres!$A$1:$I$89,3,0)*VLOOKUP('Données projet'!$B$12,Paramètres!$A$1:$I$89,5,0)</f>
        <v>1.8621904018800709E-14</v>
      </c>
      <c r="CA176" s="13">
        <f t="shared" si="170"/>
        <v>3.40208645124969E-13</v>
      </c>
      <c r="CB176" s="20">
        <f t="shared" si="171"/>
        <v>6.2496320642539887E-13</v>
      </c>
      <c r="CC176" s="59">
        <f t="shared" si="119"/>
        <v>293.33333333333394</v>
      </c>
      <c r="CD176" s="59">
        <f ca="1">AVERAGE(OFFSET($CC$3,0,0,'Données projet'!$E$12+1,1))-AVERAGE(OFFSET($H$3,0,0,'Données projet'!$E$12+1,1))</f>
        <v>93.329407403816901</v>
      </c>
      <c r="CE176" s="59">
        <f t="shared" si="148"/>
        <v>90.925148357295313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2.7570927841882535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2.7570927841882535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-2.2737367544323206E-13</v>
      </c>
      <c r="CU176" s="17">
        <f>CT176*VLOOKUP('Données projet'!$B$13,Paramètres!$A$1:$I$89,3,0)*VLOOKUP('Données projet'!$B$13,Paramètres!$A$1:$I$89,5,0)</f>
        <v>-2.1636878955177963E-13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805.04572055352492</v>
      </c>
      <c r="CZ176" s="59">
        <f t="shared" si="150"/>
        <v>708.66645042414962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64.48148113754938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64.48148113754938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-1.1368683772161603E-13</v>
      </c>
      <c r="DP176" s="17">
        <f>DO176*VLOOKUP('Données projet'!$B$14,Paramètres!$A$1:$I$89,3,0)*VLOOKUP('Données projet'!$B$14,Paramètres!$A$1:$I$89,5,0)</f>
        <v>-7.626113074366004E-14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482.69499576870095</v>
      </c>
      <c r="DU176" s="59">
        <f t="shared" si="152"/>
        <v>384.28918352579575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39.88790015299162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39.88790015299162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1.7053025658242404E-13</v>
      </c>
      <c r="EK176" s="17">
        <f>EJ176*VLOOKUP('Données projet'!$B$15,Paramètres!$A$1:$I$89,3,0)*VLOOKUP('Données projet'!$B$15,Paramètres!$A$1:$I$89,5,0)</f>
        <v>1.250327841262333E-13</v>
      </c>
      <c r="EL176" s="13">
        <f t="shared" si="179"/>
        <v>1.8301318724634299E-12</v>
      </c>
      <c r="EM176" s="20">
        <f t="shared" si="180"/>
        <v>3.405245110226996E-12</v>
      </c>
      <c r="EN176" s="59">
        <f t="shared" si="128"/>
        <v>293.33333333333672</v>
      </c>
      <c r="EO176" s="59">
        <f ca="1">AVERAGE(OFFSET($EN$3,0,0,'Données projet'!$E$15+1,1))-AVERAGE(OFFSET($H$3,0,0,'Données projet'!$E$15+1,1))</f>
        <v>197.34725966440715</v>
      </c>
      <c r="EP176" s="59">
        <f t="shared" si="154"/>
        <v>240.16326570529532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3.8290545553823283</v>
      </c>
      <c r="EW176" s="21">
        <f>EXP(-LN(2)/25)*EW175+(1-EXP(-LN(2)/25))/(LN(2)/25)*Calculateur!ER176*Calculateur!ET176*VLOOKUP('Données projet'!$B$15,Paramètres!$A$1:$I$89,3,0)*0.475*44/12</f>
        <v>1.0173451334325623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4.8463996888148904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2.2737367544323206E-13</v>
      </c>
      <c r="FF176" s="17">
        <f>FE176*VLOOKUP('Données projet'!$B$16,Paramètres!$A$1:$I$89,3,0)*VLOOKUP('Données projet'!$B$16,Paramètres!$A$1:$I$89,5,0)</f>
        <v>1.2710188457276673E-13</v>
      </c>
      <c r="FG176" s="13">
        <f t="shared" si="182"/>
        <v>1.856866851063998E-12</v>
      </c>
      <c r="FH176" s="20">
        <f t="shared" si="183"/>
        <v>3.4554122145673649E-12</v>
      </c>
      <c r="FI176" s="59">
        <f t="shared" si="131"/>
        <v>293.33333333333678</v>
      </c>
      <c r="FJ176" s="59">
        <f ca="1">AVERAGE(OFFSET($FI$3,0,0,'Données projet'!$E$16+1,1))-AVERAGE(OFFSET($H$3,0,0,'Données projet'!$E$16+1,1))</f>
        <v>346.42094266871379</v>
      </c>
      <c r="FK176" s="59">
        <f t="shared" si="156"/>
        <v>453.48153556975973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18.271167980164311</v>
      </c>
      <c r="FR176" s="21">
        <f>EXP(-LN(2)/25)*FR175+(1-EXP(-LN(2)/25))/(LN(2)/25)*Calculateur!FM176*Calculateur!FO176*VLOOKUP('Données projet'!$B$16,Paramètres!$A$1:$I$89,3,0)*0.475*44/12</f>
        <v>4.5985312917350063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22.869699271899318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-1.1368683772161603E-13</v>
      </c>
      <c r="GA176" s="17">
        <f>FZ176*VLOOKUP('Données projet'!$B$17,Paramètres!$A$1:$I$89,3,0)*VLOOKUP('Données projet'!$B$17,Paramètres!$A$1:$I$89,5,0)</f>
        <v>-5.3205440053716299E-14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198.26255998041</v>
      </c>
      <c r="GF176" s="59">
        <f t="shared" si="158"/>
        <v>238.62101708181166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11.711257046529228</v>
      </c>
      <c r="GM176" s="21">
        <f>EXP(-LN(2)/25)*GM175+(1-EXP(-LN(2)/25))/(LN(2)/25)*Calculateur!GH176*Calculateur!GJ176*VLOOKUP('Données projet'!$B$17,Paramètres!$A$1:$I$89,3,0)*0.475*44/12</f>
        <v>2.7139252314958306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14.425182278025058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>
        <f>GU176*VLOOKUP('Données projet'!$B$18,Paramètres!$A$1:$I$89,3,0)*VLOOKUP('Données projet'!$B$18,Paramètres!$A$1:$I$89,5,0)</f>
        <v>0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604.0566904089452</v>
      </c>
      <c r="HA176" s="59">
        <f t="shared" si="160"/>
        <v>369.5187835902687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34.254913702849244</v>
      </c>
      <c r="HH176" s="21">
        <f>EXP(-LN(2)/25)*HH175+(1-EXP(-LN(2)/25))/(LN(2)/25)*Calculateur!HC176*Calculateur!HE176*VLOOKUP('Données projet'!$B$18,Paramètres!$A$1:$I$89,3,0)*0.475*44/12</f>
        <v>7.6688773140754805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41.923791016924724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-5.1431925385259088E-14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528.20489749461376</v>
      </c>
      <c r="T177" s="59">
        <f t="shared" si="142"/>
        <v>276.26988364830532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113.23157507514792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113.23157507514792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2.0572770154103635E-13</v>
      </c>
      <c r="AK177" s="13">
        <f t="shared" si="164"/>
        <v>2.8416956338469711E-12</v>
      </c>
      <c r="AL177" s="20">
        <f t="shared" si="165"/>
        <v>5.3075956424674458E-12</v>
      </c>
      <c r="AM177" s="59">
        <f t="shared" si="113"/>
        <v>293.3333333333386</v>
      </c>
      <c r="AN177" s="59">
        <f ca="1">AVERAGE(OFFSET($AM$3,0,0,'Données projet'!$E$10+1,1))-AVERAGE(OFFSET($H$3,0,0,'Données projet'!$E$10+1,1))</f>
        <v>436.23918637269577</v>
      </c>
      <c r="AO177" s="59">
        <f t="shared" si="144"/>
        <v>611.43967996341894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5.6745985640189058</v>
      </c>
      <c r="AV177" s="21">
        <f>EXP(-LN(2)/25)*AV176+(1-EXP(-LN(2)/25))/(LN(2)/25)*Calculateur!AQ177*Calculateur!AS177*VLOOKUP('Données projet'!$B$10,Paramètres!$A$1:$I$89,3,0)*0.475*44/12</f>
        <v>1.2107029733755619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6.8853015373944677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4.4337866711430253E-14</v>
      </c>
      <c r="BF177" s="13">
        <f t="shared" si="167"/>
        <v>7.3222115536967035E-13</v>
      </c>
      <c r="BG177" s="20">
        <f t="shared" si="168"/>
        <v>1.3525069634579169E-12</v>
      </c>
      <c r="BH177" s="59">
        <f t="shared" si="116"/>
        <v>293.33333333333468</v>
      </c>
      <c r="BI177" s="59">
        <f ca="1">AVERAGE(OFFSET($BH$3,0,0,'Données projet'!$E$11+1,1))-AVERAGE(OFFSET($H$3,0,0,'Données projet'!$E$11+1,1))</f>
        <v>288.82868507674738</v>
      </c>
      <c r="BJ177" s="59">
        <f t="shared" si="146"/>
        <v>283.48738729114024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11.055690880148981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11.055690880148981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2.1316282072803006E-14</v>
      </c>
      <c r="BZ177" s="13">
        <f>BY177*VLOOKUP('Données projet'!$B$12,Paramètres!$A$1:$I$89,3,0)*VLOOKUP('Données projet'!$B$12,Paramètres!$A$1:$I$89,5,0)</f>
        <v>1.8621904018800709E-14</v>
      </c>
      <c r="CA177" s="13">
        <f t="shared" si="170"/>
        <v>3.40208645124969E-13</v>
      </c>
      <c r="CB177" s="20">
        <f t="shared" si="171"/>
        <v>6.2496320642539887E-13</v>
      </c>
      <c r="CC177" s="59">
        <f t="shared" si="119"/>
        <v>293.33333333333394</v>
      </c>
      <c r="CD177" s="59">
        <f ca="1">AVERAGE(OFFSET($CC$3,0,0,'Données projet'!$E$12+1,1))-AVERAGE(OFFSET($H$3,0,0,'Données projet'!$E$12+1,1))</f>
        <v>93.329407403816901</v>
      </c>
      <c r="CE177" s="59">
        <f t="shared" si="148"/>
        <v>90.925148357295313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2.7030278763508702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2.7030278763508702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-2.2737367544323206E-13</v>
      </c>
      <c r="CU177" s="17">
        <f>CT177*VLOOKUP('Données projet'!$B$13,Paramètres!$A$1:$I$89,3,0)*VLOOKUP('Données projet'!$B$13,Paramètres!$A$1:$I$89,5,0)</f>
        <v>-2.1636878955177963E-13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805.04572055352492</v>
      </c>
      <c r="CZ177" s="59">
        <f t="shared" si="150"/>
        <v>708.66645042414962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63.217038622262031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63.217038622262031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-1.1368683772161603E-13</v>
      </c>
      <c r="DP177" s="17">
        <f>DO177*VLOOKUP('Données projet'!$B$14,Paramètres!$A$1:$I$89,3,0)*VLOOKUP('Données projet'!$B$14,Paramètres!$A$1:$I$89,5,0)</f>
        <v>-7.626113074366004E-14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482.69499576870095</v>
      </c>
      <c r="DU177" s="59">
        <f t="shared" si="152"/>
        <v>384.28918352579575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39.105722760208238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39.105722760208238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1.7053025658242404E-13</v>
      </c>
      <c r="EK177" s="17">
        <f>EJ177*VLOOKUP('Données projet'!$B$15,Paramètres!$A$1:$I$89,3,0)*VLOOKUP('Données projet'!$B$15,Paramètres!$A$1:$I$89,5,0)</f>
        <v>1.250327841262333E-13</v>
      </c>
      <c r="EL177" s="13">
        <f t="shared" si="179"/>
        <v>1.8301318724634299E-12</v>
      </c>
      <c r="EM177" s="20">
        <f t="shared" si="180"/>
        <v>3.405245110226996E-12</v>
      </c>
      <c r="EN177" s="59">
        <f t="shared" si="128"/>
        <v>293.33333333333672</v>
      </c>
      <c r="EO177" s="59">
        <f ca="1">AVERAGE(OFFSET($EN$3,0,0,'Données projet'!$E$15+1,1))-AVERAGE(OFFSET($H$3,0,0,'Données projet'!$E$15+1,1))</f>
        <v>197.34725966440715</v>
      </c>
      <c r="EP177" s="59">
        <f t="shared" si="154"/>
        <v>240.16326570529532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3.7539691310439487</v>
      </c>
      <c r="EW177" s="21">
        <f>EXP(-LN(2)/25)*EW176+(1-EXP(-LN(2)/25))/(LN(2)/25)*Calculateur!ER177*Calculateur!ET177*VLOOKUP('Données projet'!$B$15,Paramètres!$A$1:$I$89,3,0)*0.475*44/12</f>
        <v>0.98952577725899349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4.7434949083029423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2.2737367544323206E-13</v>
      </c>
      <c r="FF177" s="17">
        <f>FE177*VLOOKUP('Données projet'!$B$16,Paramètres!$A$1:$I$89,3,0)*VLOOKUP('Données projet'!$B$16,Paramètres!$A$1:$I$89,5,0)</f>
        <v>1.2710188457276673E-13</v>
      </c>
      <c r="FG177" s="13">
        <f t="shared" si="182"/>
        <v>1.856866851063998E-12</v>
      </c>
      <c r="FH177" s="20">
        <f t="shared" si="183"/>
        <v>3.4554122145673649E-12</v>
      </c>
      <c r="FI177" s="59">
        <f t="shared" si="131"/>
        <v>293.33333333333678</v>
      </c>
      <c r="FJ177" s="59">
        <f ca="1">AVERAGE(OFFSET($FI$3,0,0,'Données projet'!$E$16+1,1))-AVERAGE(OFFSET($H$3,0,0,'Données projet'!$E$16+1,1))</f>
        <v>346.42094266871379</v>
      </c>
      <c r="FK177" s="59">
        <f t="shared" si="156"/>
        <v>453.48153556975973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17.912881520385348</v>
      </c>
      <c r="FR177" s="21">
        <f>EXP(-LN(2)/25)*FR176+(1-EXP(-LN(2)/25))/(LN(2)/25)*Calculateur!FM177*Calculateur!FO177*VLOOKUP('Données projet'!$B$16,Paramètres!$A$1:$I$89,3,0)*0.475*44/12</f>
        <v>4.4727842117362622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22.385665732121609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-1.1368683772161603E-13</v>
      </c>
      <c r="GA177" s="17">
        <f>FZ177*VLOOKUP('Données projet'!$B$17,Paramètres!$A$1:$I$89,3,0)*VLOOKUP('Données projet'!$B$17,Paramètres!$A$1:$I$89,5,0)</f>
        <v>-5.3205440053716299E-14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198.26255998041</v>
      </c>
      <c r="GF177" s="59">
        <f t="shared" si="158"/>
        <v>238.62101708181166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11.48160643900826</v>
      </c>
      <c r="GM177" s="21">
        <f>EXP(-LN(2)/25)*GM176+(1-EXP(-LN(2)/25))/(LN(2)/25)*Calculateur!GH177*Calculateur!GJ177*VLOOKUP('Données projet'!$B$17,Paramètres!$A$1:$I$89,3,0)*0.475*44/12</f>
        <v>2.6397128033214519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14.121319242329712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>
        <f>GU177*VLOOKUP('Données projet'!$B$18,Paramètres!$A$1:$I$89,3,0)*VLOOKUP('Données projet'!$B$18,Paramètres!$A$1:$I$89,5,0)</f>
        <v>0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604.0566904089452</v>
      </c>
      <c r="HA177" s="59">
        <f t="shared" si="160"/>
        <v>369.5187835902687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33.583195738570673</v>
      </c>
      <c r="HH177" s="21">
        <f>EXP(-LN(2)/25)*HH176+(1-EXP(-LN(2)/25))/(LN(2)/25)*Calculateur!HC177*Calculateur!HE177*VLOOKUP('Données projet'!$B$18,Paramètres!$A$1:$I$89,3,0)*0.475*44/12</f>
        <v>7.4591714606333559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41.04236719920403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-5.1431925385259088E-14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528.20489749461376</v>
      </c>
      <c r="T178" s="59">
        <f t="shared" si="142"/>
        <v>276.26988364830532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111.01117295236551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111.01117295236551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2.0572770154103635E-13</v>
      </c>
      <c r="AK178" s="13">
        <f t="shared" si="164"/>
        <v>2.8416956338469711E-12</v>
      </c>
      <c r="AL178" s="20">
        <f t="shared" si="165"/>
        <v>5.3075956424674458E-12</v>
      </c>
      <c r="AM178" s="59">
        <f t="shared" si="113"/>
        <v>293.3333333333386</v>
      </c>
      <c r="AN178" s="59">
        <f ca="1">AVERAGE(OFFSET($AM$3,0,0,'Données projet'!$E$10+1,1))-AVERAGE(OFFSET($H$3,0,0,'Données projet'!$E$10+1,1))</f>
        <v>436.23918637269577</v>
      </c>
      <c r="AO178" s="59">
        <f t="shared" si="144"/>
        <v>611.43967996341894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5.5633231473418574</v>
      </c>
      <c r="AV178" s="21">
        <f>EXP(-LN(2)/25)*AV177+(1-EXP(-LN(2)/25))/(LN(2)/25)*Calculateur!AQ178*Calculateur!AS178*VLOOKUP('Données projet'!$B$10,Paramètres!$A$1:$I$89,3,0)*0.475*44/12</f>
        <v>1.1775962369005049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6.7409193842423623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4.4337866711430253E-14</v>
      </c>
      <c r="BF178" s="13">
        <f t="shared" si="167"/>
        <v>7.3222115536967035E-13</v>
      </c>
      <c r="BG178" s="20">
        <f t="shared" si="168"/>
        <v>1.3525069634579169E-12</v>
      </c>
      <c r="BH178" s="59">
        <f t="shared" si="116"/>
        <v>293.33333333333468</v>
      </c>
      <c r="BI178" s="59">
        <f ca="1">AVERAGE(OFFSET($BH$3,0,0,'Données projet'!$E$11+1,1))-AVERAGE(OFFSET($H$3,0,0,'Données projet'!$E$11+1,1))</f>
        <v>288.82868507674738</v>
      </c>
      <c r="BJ178" s="59">
        <f t="shared" si="146"/>
        <v>283.48738729114024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10.83889552529485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10.83889552529485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2.1316282072803006E-14</v>
      </c>
      <c r="BZ178" s="13">
        <f>BY178*VLOOKUP('Données projet'!$B$12,Paramètres!$A$1:$I$89,3,0)*VLOOKUP('Données projet'!$B$12,Paramètres!$A$1:$I$89,5,0)</f>
        <v>1.8621904018800709E-14</v>
      </c>
      <c r="CA178" s="13">
        <f t="shared" si="170"/>
        <v>3.40208645124969E-13</v>
      </c>
      <c r="CB178" s="20">
        <f t="shared" si="171"/>
        <v>6.2496320642539887E-13</v>
      </c>
      <c r="CC178" s="59">
        <f t="shared" si="119"/>
        <v>293.33333333333394</v>
      </c>
      <c r="CD178" s="59">
        <f ca="1">AVERAGE(OFFSET($CC$3,0,0,'Données projet'!$E$12+1,1))-AVERAGE(OFFSET($H$3,0,0,'Données projet'!$E$12+1,1))</f>
        <v>93.329407403816901</v>
      </c>
      <c r="CE178" s="59">
        <f t="shared" si="148"/>
        <v>90.925148357295313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2.65002314837984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2.65002314837984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-2.2737367544323206E-13</v>
      </c>
      <c r="CU178" s="17">
        <f>CT178*VLOOKUP('Données projet'!$B$13,Paramètres!$A$1:$I$89,3,0)*VLOOKUP('Données projet'!$B$13,Paramètres!$A$1:$I$89,5,0)</f>
        <v>-2.1636878955177963E-13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805.04572055352492</v>
      </c>
      <c r="CZ178" s="59">
        <f t="shared" si="150"/>
        <v>708.66645042414962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61.977391053465688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61.977391053465688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-1.1368683772161603E-13</v>
      </c>
      <c r="DP178" s="17">
        <f>DO178*VLOOKUP('Données projet'!$B$14,Paramètres!$A$1:$I$89,3,0)*VLOOKUP('Données projet'!$B$14,Paramètres!$A$1:$I$89,5,0)</f>
        <v>-7.626113074366004E-14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482.69499576870095</v>
      </c>
      <c r="DU178" s="59">
        <f t="shared" si="152"/>
        <v>384.28918352579575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38.338883389016232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38.338883389016232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1.7053025658242404E-13</v>
      </c>
      <c r="EK178" s="17">
        <f>EJ178*VLOOKUP('Données projet'!$B$15,Paramètres!$A$1:$I$89,3,0)*VLOOKUP('Données projet'!$B$15,Paramètres!$A$1:$I$89,5,0)</f>
        <v>1.250327841262333E-13</v>
      </c>
      <c r="EL178" s="13">
        <f t="shared" si="179"/>
        <v>1.8301318724634299E-12</v>
      </c>
      <c r="EM178" s="20">
        <f t="shared" si="180"/>
        <v>3.405245110226996E-12</v>
      </c>
      <c r="EN178" s="59">
        <f t="shared" si="128"/>
        <v>293.33333333333672</v>
      </c>
      <c r="EO178" s="59">
        <f ca="1">AVERAGE(OFFSET($EN$3,0,0,'Données projet'!$E$15+1,1))-AVERAGE(OFFSET($H$3,0,0,'Données projet'!$E$15+1,1))</f>
        <v>197.34725966440715</v>
      </c>
      <c r="EP178" s="59">
        <f t="shared" si="154"/>
        <v>240.16326570529532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3.6803560860792581</v>
      </c>
      <c r="EW178" s="21">
        <f>EXP(-LN(2)/25)*EW177+(1-EXP(-LN(2)/25))/(LN(2)/25)*Calculateur!ER178*Calculateur!ET178*VLOOKUP('Données projet'!$B$15,Paramètres!$A$1:$I$89,3,0)*0.475*44/12</f>
        <v>0.96246714284294732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4.6428232289222056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2.2737367544323206E-13</v>
      </c>
      <c r="FF178" s="17">
        <f>FE178*VLOOKUP('Données projet'!$B$16,Paramètres!$A$1:$I$89,3,0)*VLOOKUP('Données projet'!$B$16,Paramètres!$A$1:$I$89,5,0)</f>
        <v>1.2710188457276673E-13</v>
      </c>
      <c r="FG178" s="13">
        <f t="shared" si="182"/>
        <v>1.856866851063998E-12</v>
      </c>
      <c r="FH178" s="20">
        <f t="shared" si="183"/>
        <v>3.4554122145673649E-12</v>
      </c>
      <c r="FI178" s="59">
        <f t="shared" si="131"/>
        <v>293.33333333333678</v>
      </c>
      <c r="FJ178" s="59">
        <f ca="1">AVERAGE(OFFSET($FI$3,0,0,'Données projet'!$E$16+1,1))-AVERAGE(OFFSET($H$3,0,0,'Données projet'!$E$16+1,1))</f>
        <v>346.42094266871379</v>
      </c>
      <c r="FK178" s="59">
        <f t="shared" si="156"/>
        <v>453.48153556975973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17.561620839549487</v>
      </c>
      <c r="FR178" s="21">
        <f>EXP(-LN(2)/25)*FR177+(1-EXP(-LN(2)/25))/(LN(2)/25)*Calculateur!FM178*Calculateur!FO178*VLOOKUP('Données projet'!$B$16,Paramètres!$A$1:$I$89,3,0)*0.475*44/12</f>
        <v>4.3504756922528349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21.912096531802323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-1.1368683772161603E-13</v>
      </c>
      <c r="GA178" s="17">
        <f>FZ178*VLOOKUP('Données projet'!$B$17,Paramètres!$A$1:$I$89,3,0)*VLOOKUP('Données projet'!$B$17,Paramètres!$A$1:$I$89,5,0)</f>
        <v>-5.3205440053716299E-14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198.26255998041</v>
      </c>
      <c r="GF178" s="59">
        <f t="shared" si="158"/>
        <v>238.62101708181166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11.256459139827738</v>
      </c>
      <c r="GM178" s="21">
        <f>EXP(-LN(2)/25)*GM177+(1-EXP(-LN(2)/25))/(LN(2)/25)*Calculateur!GH178*Calculateur!GJ178*VLOOKUP('Données projet'!$B$17,Paramètres!$A$1:$I$89,3,0)*0.475*44/12</f>
        <v>2.5675297178981635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13.823988857725901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>
        <f>GU178*VLOOKUP('Données projet'!$B$18,Paramètres!$A$1:$I$89,3,0)*VLOOKUP('Données projet'!$B$18,Paramètres!$A$1:$I$89,5,0)</f>
        <v>0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604.0566904089452</v>
      </c>
      <c r="HA178" s="59">
        <f t="shared" si="160"/>
        <v>369.5187835902687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32.924649753864102</v>
      </c>
      <c r="HH178" s="21">
        <f>EXP(-LN(2)/25)*HH177+(1-EXP(-LN(2)/25))/(LN(2)/25)*Calculateur!HC178*Calculateur!HE178*VLOOKUP('Données projet'!$B$18,Paramètres!$A$1:$I$89,3,0)*0.475*44/12</f>
        <v>7.2552000247815576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40.179849778645661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-5.1431925385259088E-14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528.20489749461376</v>
      </c>
      <c r="T179" s="59">
        <f t="shared" si="142"/>
        <v>276.26988364830532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108.83431156089931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108.83431156089931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2.0572770154103635E-13</v>
      </c>
      <c r="AK179" s="13">
        <f t="shared" si="164"/>
        <v>2.8416956338469711E-12</v>
      </c>
      <c r="AL179" s="20">
        <f t="shared" si="165"/>
        <v>5.3075956424674458E-12</v>
      </c>
      <c r="AM179" s="59">
        <f t="shared" si="113"/>
        <v>293.3333333333386</v>
      </c>
      <c r="AN179" s="59">
        <f ca="1">AVERAGE(OFFSET($AM$3,0,0,'Données projet'!$E$10+1,1))-AVERAGE(OFFSET($H$3,0,0,'Données projet'!$E$10+1,1))</f>
        <v>436.23918637269577</v>
      </c>
      <c r="AO179" s="59">
        <f t="shared" si="144"/>
        <v>611.43967996341894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5.4542297737145438</v>
      </c>
      <c r="AV179" s="21">
        <f>EXP(-LN(2)/25)*AV178+(1-EXP(-LN(2)/25))/(LN(2)/25)*Calculateur!AQ179*Calculateur!AS179*VLOOKUP('Données projet'!$B$10,Paramètres!$A$1:$I$89,3,0)*0.475*44/12</f>
        <v>1.1453948058753658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6.5996245795899098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4.4337866711430253E-14</v>
      </c>
      <c r="BF179" s="13">
        <f t="shared" si="167"/>
        <v>7.3222115536967035E-13</v>
      </c>
      <c r="BG179" s="20">
        <f t="shared" si="168"/>
        <v>1.3525069634579169E-12</v>
      </c>
      <c r="BH179" s="59">
        <f t="shared" si="116"/>
        <v>293.33333333333468</v>
      </c>
      <c r="BI179" s="59">
        <f ca="1">AVERAGE(OFFSET($BH$3,0,0,'Données projet'!$E$11+1,1))-AVERAGE(OFFSET($H$3,0,0,'Données projet'!$E$11+1,1))</f>
        <v>288.82868507674738</v>
      </c>
      <c r="BJ179" s="59">
        <f t="shared" si="146"/>
        <v>283.48738729114024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10.626351395117299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10.626351395117299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2.1316282072803006E-14</v>
      </c>
      <c r="BZ179" s="13">
        <f>BY179*VLOOKUP('Données projet'!$B$12,Paramètres!$A$1:$I$89,3,0)*VLOOKUP('Données projet'!$B$12,Paramètres!$A$1:$I$89,5,0)</f>
        <v>1.8621904018800709E-14</v>
      </c>
      <c r="CA179" s="13">
        <f t="shared" si="170"/>
        <v>3.40208645124969E-13</v>
      </c>
      <c r="CB179" s="20">
        <f t="shared" si="171"/>
        <v>6.2496320642539887E-13</v>
      </c>
      <c r="CC179" s="59">
        <f t="shared" si="119"/>
        <v>293.33333333333394</v>
      </c>
      <c r="CD179" s="59">
        <f ca="1">AVERAGE(OFFSET($CC$3,0,0,'Données projet'!$E$12+1,1))-AVERAGE(OFFSET($H$3,0,0,'Données projet'!$E$12+1,1))</f>
        <v>93.329407403816901</v>
      </c>
      <c r="CE179" s="59">
        <f t="shared" si="148"/>
        <v>90.925148357295313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2.5980578107946299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2.5980578107946299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-2.2737367544323206E-13</v>
      </c>
      <c r="CU179" s="17">
        <f>CT179*VLOOKUP('Données projet'!$B$13,Paramètres!$A$1:$I$89,3,0)*VLOOKUP('Données projet'!$B$13,Paramètres!$A$1:$I$89,5,0)</f>
        <v>-2.1636878955177963E-13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805.04572055352492</v>
      </c>
      <c r="CZ179" s="59">
        <f t="shared" si="150"/>
        <v>708.66645042414962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60.762052217383086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60.762052217383086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-1.1368683772161603E-13</v>
      </c>
      <c r="DP179" s="17">
        <f>DO179*VLOOKUP('Données projet'!$B$14,Paramètres!$A$1:$I$89,3,0)*VLOOKUP('Données projet'!$B$14,Paramètres!$A$1:$I$89,5,0)</f>
        <v>-7.626113074366004E-14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482.69499576870095</v>
      </c>
      <c r="DU179" s="59">
        <f t="shared" si="152"/>
        <v>384.28918352579575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37.587081270167474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37.587081270167474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1.7053025658242404E-13</v>
      </c>
      <c r="EK179" s="17">
        <f>EJ179*VLOOKUP('Données projet'!$B$15,Paramètres!$A$1:$I$89,3,0)*VLOOKUP('Données projet'!$B$15,Paramètres!$A$1:$I$89,5,0)</f>
        <v>1.250327841262333E-13</v>
      </c>
      <c r="EL179" s="13">
        <f t="shared" si="179"/>
        <v>1.8301318724634299E-12</v>
      </c>
      <c r="EM179" s="20">
        <f t="shared" si="180"/>
        <v>3.405245110226996E-12</v>
      </c>
      <c r="EN179" s="59">
        <f t="shared" si="128"/>
        <v>293.33333333333672</v>
      </c>
      <c r="EO179" s="59">
        <f ca="1">AVERAGE(OFFSET($EN$3,0,0,'Données projet'!$E$15+1,1))-AVERAGE(OFFSET($H$3,0,0,'Données projet'!$E$15+1,1))</f>
        <v>197.34725966440715</v>
      </c>
      <c r="EP179" s="59">
        <f t="shared" si="154"/>
        <v>240.16326570529532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3.6081865480268012</v>
      </c>
      <c r="EW179" s="21">
        <f>EXP(-LN(2)/25)*EW178+(1-EXP(-LN(2)/25))/(LN(2)/25)*Calculateur!ER179*Calculateur!ET179*VLOOKUP('Données projet'!$B$15,Paramètres!$A$1:$I$89,3,0)*0.475*44/12</f>
        <v>0.93614842820795963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4.5443349762347607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2.2737367544323206E-13</v>
      </c>
      <c r="FF179" s="17">
        <f>FE179*VLOOKUP('Données projet'!$B$16,Paramètres!$A$1:$I$89,3,0)*VLOOKUP('Données projet'!$B$16,Paramètres!$A$1:$I$89,5,0)</f>
        <v>1.2710188457276673E-13</v>
      </c>
      <c r="FG179" s="13">
        <f t="shared" si="182"/>
        <v>1.856866851063998E-12</v>
      </c>
      <c r="FH179" s="20">
        <f t="shared" si="183"/>
        <v>3.4554122145673649E-12</v>
      </c>
      <c r="FI179" s="59">
        <f t="shared" si="131"/>
        <v>293.33333333333678</v>
      </c>
      <c r="FJ179" s="59">
        <f ca="1">AVERAGE(OFFSET($FI$3,0,0,'Données projet'!$E$16+1,1))-AVERAGE(OFFSET($H$3,0,0,'Données projet'!$E$16+1,1))</f>
        <v>346.42094266871379</v>
      </c>
      <c r="FK179" s="59">
        <f t="shared" si="156"/>
        <v>453.48153556975973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17.217248166416958</v>
      </c>
      <c r="FR179" s="21">
        <f>EXP(-LN(2)/25)*FR178+(1-EXP(-LN(2)/25))/(LN(2)/25)*Calculateur!FM179*Calculateur!FO179*VLOOKUP('Données projet'!$B$16,Paramètres!$A$1:$I$89,3,0)*0.475*44/12</f>
        <v>4.2315117056666081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21.448759872083567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-1.1368683772161603E-13</v>
      </c>
      <c r="GA179" s="17">
        <f>FZ179*VLOOKUP('Données projet'!$B$17,Paramètres!$A$1:$I$89,3,0)*VLOOKUP('Données projet'!$B$17,Paramètres!$A$1:$I$89,5,0)</f>
        <v>-5.3205440053716299E-14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198.26255998041</v>
      </c>
      <c r="GF179" s="59">
        <f t="shared" si="158"/>
        <v>238.62101708181166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11.035726841857853</v>
      </c>
      <c r="GM179" s="21">
        <f>EXP(-LN(2)/25)*GM178+(1-EXP(-LN(2)/25))/(LN(2)/25)*Calculateur!GH179*Calculateur!GJ179*VLOOKUP('Données projet'!$B$17,Paramètres!$A$1:$I$89,3,0)*0.475*44/12</f>
        <v>2.4973204827417184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13.533047324599572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>
        <f>GU179*VLOOKUP('Données projet'!$B$18,Paramètres!$A$1:$I$89,3,0)*VLOOKUP('Données projet'!$B$18,Paramètres!$A$1:$I$89,5,0)</f>
        <v>0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604.0566904089452</v>
      </c>
      <c r="HA179" s="59">
        <f t="shared" si="160"/>
        <v>369.5187835902687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32.27901745424424</v>
      </c>
      <c r="HH179" s="21">
        <f>EXP(-LN(2)/25)*HH178+(1-EXP(-LN(2)/25))/(LN(2)/25)*Calculateur!HC179*Calculateur!HE179*VLOOKUP('Données projet'!$B$18,Paramètres!$A$1:$I$89,3,0)*0.475*44/12</f>
        <v>7.056806198569519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39.335823652813758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-5.1431925385259088E-14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528.20489749461376</v>
      </c>
      <c r="T180" s="59">
        <f t="shared" si="142"/>
        <v>276.26988364830532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106.70013709356542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106.70013709356542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2.0572770154103635E-13</v>
      </c>
      <c r="AK180" s="13">
        <f t="shared" si="164"/>
        <v>2.8416956338469711E-12</v>
      </c>
      <c r="AL180" s="20">
        <f t="shared" si="165"/>
        <v>5.3075956424674458E-12</v>
      </c>
      <c r="AM180" s="59">
        <f t="shared" si="113"/>
        <v>293.3333333333386</v>
      </c>
      <c r="AN180" s="59">
        <f ca="1">AVERAGE(OFFSET($AM$3,0,0,'Données projet'!$E$10+1,1))-AVERAGE(OFFSET($H$3,0,0,'Données projet'!$E$10+1,1))</f>
        <v>436.23918637269577</v>
      </c>
      <c r="AO180" s="59">
        <f t="shared" si="144"/>
        <v>611.43967996341894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5.3472756546036742</v>
      </c>
      <c r="AV180" s="21">
        <f>EXP(-LN(2)/25)*AV179+(1-EXP(-LN(2)/25))/(LN(2)/25)*Calculateur!AQ180*Calculateur!AS180*VLOOKUP('Données projet'!$B$10,Paramètres!$A$1:$I$89,3,0)*0.475*44/12</f>
        <v>1.1140739246750089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6.461349579278683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4.4337866711430253E-14</v>
      </c>
      <c r="BF180" s="13">
        <f t="shared" si="167"/>
        <v>7.3222115536967035E-13</v>
      </c>
      <c r="BG180" s="20">
        <f t="shared" si="168"/>
        <v>1.3525069634579169E-12</v>
      </c>
      <c r="BH180" s="59">
        <f t="shared" si="116"/>
        <v>293.33333333333468</v>
      </c>
      <c r="BI180" s="59">
        <f ca="1">AVERAGE(OFFSET($BH$3,0,0,'Données projet'!$E$11+1,1))-AVERAGE(OFFSET($H$3,0,0,'Données projet'!$E$11+1,1))</f>
        <v>288.82868507674738</v>
      </c>
      <c r="BJ180" s="59">
        <f t="shared" si="146"/>
        <v>283.48738729114024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10.417975125693411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10.417975125693411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2.1316282072803006E-14</v>
      </c>
      <c r="BZ180" s="13">
        <f>BY180*VLOOKUP('Données projet'!$B$12,Paramètres!$A$1:$I$89,3,0)*VLOOKUP('Données projet'!$B$12,Paramètres!$A$1:$I$89,5,0)</f>
        <v>1.8621904018800709E-14</v>
      </c>
      <c r="CA180" s="13">
        <f t="shared" si="170"/>
        <v>3.40208645124969E-13</v>
      </c>
      <c r="CB180" s="20">
        <f t="shared" si="171"/>
        <v>6.2496320642539887E-13</v>
      </c>
      <c r="CC180" s="59">
        <f t="shared" si="119"/>
        <v>293.33333333333394</v>
      </c>
      <c r="CD180" s="59">
        <f ca="1">AVERAGE(OFFSET($CC$3,0,0,'Données projet'!$E$12+1,1))-AVERAGE(OFFSET($H$3,0,0,'Données projet'!$E$12+1,1))</f>
        <v>93.329407403816901</v>
      </c>
      <c r="CE180" s="59">
        <f t="shared" si="148"/>
        <v>90.925148357295313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2.5471114817837397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2.5471114817837397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-2.2737367544323206E-13</v>
      </c>
      <c r="CU180" s="17">
        <f>CT180*VLOOKUP('Données projet'!$B$13,Paramètres!$A$1:$I$89,3,0)*VLOOKUP('Données projet'!$B$13,Paramètres!$A$1:$I$89,5,0)</f>
        <v>-2.1636878955177963E-13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805.04572055352492</v>
      </c>
      <c r="CZ180" s="59">
        <f t="shared" si="150"/>
        <v>708.66645042414962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59.570545434592567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59.570545434592567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-1.1368683772161603E-13</v>
      </c>
      <c r="DP180" s="17">
        <f>DO180*VLOOKUP('Données projet'!$B$14,Paramètres!$A$1:$I$89,3,0)*VLOOKUP('Données projet'!$B$14,Paramètres!$A$1:$I$89,5,0)</f>
        <v>-7.626113074366004E-14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482.69499576870095</v>
      </c>
      <c r="DU180" s="59">
        <f t="shared" si="152"/>
        <v>384.28918352579575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36.850021532315324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36.850021532315324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1.7053025658242404E-13</v>
      </c>
      <c r="EK180" s="17">
        <f>EJ180*VLOOKUP('Données projet'!$B$15,Paramètres!$A$1:$I$89,3,0)*VLOOKUP('Données projet'!$B$15,Paramètres!$A$1:$I$89,5,0)</f>
        <v>1.250327841262333E-13</v>
      </c>
      <c r="EL180" s="13">
        <f t="shared" si="179"/>
        <v>1.8301318724634299E-12</v>
      </c>
      <c r="EM180" s="20">
        <f t="shared" si="180"/>
        <v>3.405245110226996E-12</v>
      </c>
      <c r="EN180" s="59">
        <f t="shared" si="128"/>
        <v>293.33333333333672</v>
      </c>
      <c r="EO180" s="59">
        <f ca="1">AVERAGE(OFFSET($EN$3,0,0,'Données projet'!$E$15+1,1))-AVERAGE(OFFSET($H$3,0,0,'Données projet'!$E$15+1,1))</f>
        <v>197.34725966440715</v>
      </c>
      <c r="EP180" s="59">
        <f t="shared" si="154"/>
        <v>240.16326570529532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3.5374322105964811</v>
      </c>
      <c r="EW180" s="21">
        <f>EXP(-LN(2)/25)*EW179+(1-EXP(-LN(2)/25))/(LN(2)/25)*Calculateur!ER180*Calculateur!ET180*VLOOKUP('Données projet'!$B$15,Paramètres!$A$1:$I$89,3,0)*0.475*44/12</f>
        <v>0.91054940020870667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4.4479816108051882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2.2737367544323206E-13</v>
      </c>
      <c r="FF180" s="17">
        <f>FE180*VLOOKUP('Données projet'!$B$16,Paramètres!$A$1:$I$89,3,0)*VLOOKUP('Données projet'!$B$16,Paramètres!$A$1:$I$89,5,0)</f>
        <v>1.2710188457276673E-13</v>
      </c>
      <c r="FG180" s="13">
        <f t="shared" si="182"/>
        <v>1.856866851063998E-12</v>
      </c>
      <c r="FH180" s="20">
        <f t="shared" si="183"/>
        <v>3.4554122145673649E-12</v>
      </c>
      <c r="FI180" s="59">
        <f t="shared" si="131"/>
        <v>293.33333333333678</v>
      </c>
      <c r="FJ180" s="59">
        <f ca="1">AVERAGE(OFFSET($FI$3,0,0,'Données projet'!$E$16+1,1))-AVERAGE(OFFSET($H$3,0,0,'Données projet'!$E$16+1,1))</f>
        <v>346.42094266871379</v>
      </c>
      <c r="FK180" s="59">
        <f t="shared" si="156"/>
        <v>453.48153556975973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16.879628431357968</v>
      </c>
      <c r="FR180" s="21">
        <f>EXP(-LN(2)/25)*FR179+(1-EXP(-LN(2)/25))/(LN(2)/25)*Calculateur!FM180*Calculateur!FO180*VLOOKUP('Données projet'!$B$16,Paramètres!$A$1:$I$89,3,0)*0.475*44/12</f>
        <v>4.1158007955496254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20.995429226907593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-1.1368683772161603E-13</v>
      </c>
      <c r="GA180" s="17">
        <f>FZ180*VLOOKUP('Données projet'!$B$17,Paramètres!$A$1:$I$89,3,0)*VLOOKUP('Données projet'!$B$17,Paramètres!$A$1:$I$89,5,0)</f>
        <v>-5.3205440053716299E-14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198.26255998041</v>
      </c>
      <c r="GF180" s="59">
        <f t="shared" si="158"/>
        <v>238.62101708181166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10.819322969617751</v>
      </c>
      <c r="GM180" s="21">
        <f>EXP(-LN(2)/25)*GM179+(1-EXP(-LN(2)/25))/(LN(2)/25)*Calculateur!GH180*Calculateur!GJ180*VLOOKUP('Données projet'!$B$17,Paramètres!$A$1:$I$89,3,0)*0.475*44/12</f>
        <v>2.4290311228127694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13.248354092430521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>
        <f>GU180*VLOOKUP('Données projet'!$B$18,Paramètres!$A$1:$I$89,3,0)*VLOOKUP('Données projet'!$B$18,Paramètres!$A$1:$I$89,5,0)</f>
        <v>0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604.0566904089452</v>
      </c>
      <c r="HA180" s="59">
        <f t="shared" si="160"/>
        <v>369.5187835902687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31.646045610223105</v>
      </c>
      <c r="HH180" s="21">
        <f>EXP(-LN(2)/25)*HH179+(1-EXP(-LN(2)/25))/(LN(2)/25)*Calculateur!HC180*Calculateur!HE180*VLOOKUP('Données projet'!$B$18,Paramètres!$A$1:$I$89,3,0)*0.475*44/12</f>
        <v>6.863837461968326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38.509883072191428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-5.1431925385259088E-14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528.20489749461376</v>
      </c>
      <c r="T181" s="59">
        <f t="shared" si="142"/>
        <v>276.26988364830532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104.60781248581804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104.60781248581804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2.0572770154103635E-13</v>
      </c>
      <c r="AK181" s="13">
        <f t="shared" si="164"/>
        <v>2.8416956338469711E-12</v>
      </c>
      <c r="AL181" s="20">
        <f t="shared" si="165"/>
        <v>5.3075956424674458E-12</v>
      </c>
      <c r="AM181" s="59">
        <f t="shared" si="113"/>
        <v>293.3333333333386</v>
      </c>
      <c r="AN181" s="59">
        <f ca="1">AVERAGE(OFFSET($AM$3,0,0,'Données projet'!$E$10+1,1))-AVERAGE(OFFSET($H$3,0,0,'Données projet'!$E$10+1,1))</f>
        <v>436.23918637269577</v>
      </c>
      <c r="AO181" s="59">
        <f t="shared" si="144"/>
        <v>611.43967996341894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5.2424188405329977</v>
      </c>
      <c r="AV181" s="21">
        <f>EXP(-LN(2)/25)*AV180+(1-EXP(-LN(2)/25))/(LN(2)/25)*Calculateur!AQ181*Calculateur!AS181*VLOOKUP('Données projet'!$B$10,Paramètres!$A$1:$I$89,3,0)*0.475*44/12</f>
        <v>1.0836095146181692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6.3260283551511671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4.4337866711430253E-14</v>
      </c>
      <c r="BF181" s="13">
        <f t="shared" si="167"/>
        <v>7.3222115536967035E-13</v>
      </c>
      <c r="BG181" s="20">
        <f t="shared" si="168"/>
        <v>1.3525069634579169E-12</v>
      </c>
      <c r="BH181" s="59">
        <f t="shared" si="116"/>
        <v>293.33333333333468</v>
      </c>
      <c r="BI181" s="59">
        <f ca="1">AVERAGE(OFFSET($BH$3,0,0,'Données projet'!$E$11+1,1))-AVERAGE(OFFSET($H$3,0,0,'Données projet'!$E$11+1,1))</f>
        <v>288.82868507674738</v>
      </c>
      <c r="BJ181" s="59">
        <f t="shared" si="146"/>
        <v>283.48738729114024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10.213684987815952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10.213684987815952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2.1316282072803006E-14</v>
      </c>
      <c r="BZ181" s="13">
        <f>BY181*VLOOKUP('Données projet'!$B$12,Paramètres!$A$1:$I$89,3,0)*VLOOKUP('Données projet'!$B$12,Paramètres!$A$1:$I$89,5,0)</f>
        <v>1.8621904018800709E-14</v>
      </c>
      <c r="CA181" s="13">
        <f t="shared" si="170"/>
        <v>3.40208645124969E-13</v>
      </c>
      <c r="CB181" s="20">
        <f t="shared" si="171"/>
        <v>6.2496320642539887E-13</v>
      </c>
      <c r="CC181" s="59">
        <f t="shared" si="119"/>
        <v>293.33333333333394</v>
      </c>
      <c r="CD181" s="59">
        <f ca="1">AVERAGE(OFFSET($CC$3,0,0,'Données projet'!$E$12+1,1))-AVERAGE(OFFSET($H$3,0,0,'Données projet'!$E$12+1,1))</f>
        <v>93.329407403816901</v>
      </c>
      <c r="CE181" s="59">
        <f t="shared" si="148"/>
        <v>90.925148357295313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2.4971641792105608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2.4971641792105608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-2.2737367544323206E-13</v>
      </c>
      <c r="CU181" s="17">
        <f>CT181*VLOOKUP('Données projet'!$B$13,Paramètres!$A$1:$I$89,3,0)*VLOOKUP('Données projet'!$B$13,Paramètres!$A$1:$I$89,5,0)</f>
        <v>-2.1636878955177963E-13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805.04572055352492</v>
      </c>
      <c r="CZ181" s="59">
        <f t="shared" si="150"/>
        <v>708.66645042414962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58.402403373065191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58.402403373065191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-1.1368683772161603E-13</v>
      </c>
      <c r="DP181" s="17">
        <f>DO181*VLOOKUP('Données projet'!$B$14,Paramètres!$A$1:$I$89,3,0)*VLOOKUP('Données projet'!$B$14,Paramètres!$A$1:$I$89,5,0)</f>
        <v>-7.626113074366004E-14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482.69499576870095</v>
      </c>
      <c r="DU181" s="59">
        <f t="shared" si="152"/>
        <v>384.28918352579575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36.127415086360408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36.127415086360408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1.7053025658242404E-13</v>
      </c>
      <c r="EK181" s="17">
        <f>EJ181*VLOOKUP('Données projet'!$B$15,Paramètres!$A$1:$I$89,3,0)*VLOOKUP('Données projet'!$B$15,Paramètres!$A$1:$I$89,5,0)</f>
        <v>1.250327841262333E-13</v>
      </c>
      <c r="EL181" s="13">
        <f t="shared" si="179"/>
        <v>1.8301318724634299E-12</v>
      </c>
      <c r="EM181" s="20">
        <f t="shared" si="180"/>
        <v>3.405245110226996E-12</v>
      </c>
      <c r="EN181" s="59">
        <f t="shared" si="128"/>
        <v>293.33333333333672</v>
      </c>
      <c r="EO181" s="59">
        <f ca="1">AVERAGE(OFFSET($EN$3,0,0,'Données projet'!$E$15+1,1))-AVERAGE(OFFSET($H$3,0,0,'Données projet'!$E$15+1,1))</f>
        <v>197.34725966440715</v>
      </c>
      <c r="EP181" s="59">
        <f t="shared" si="154"/>
        <v>240.16326570529532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3.4680653225672851</v>
      </c>
      <c r="EW181" s="21">
        <f>EXP(-LN(2)/25)*EW180+(1-EXP(-LN(2)/25))/(LN(2)/25)*Calculateur!ER181*Calculateur!ET181*VLOOKUP('Données projet'!$B$15,Paramètres!$A$1:$I$89,3,0)*0.475*44/12</f>
        <v>0.88565037897628773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4.3537157015435728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2.2737367544323206E-13</v>
      </c>
      <c r="FF181" s="17">
        <f>FE181*VLOOKUP('Données projet'!$B$16,Paramètres!$A$1:$I$89,3,0)*VLOOKUP('Données projet'!$B$16,Paramètres!$A$1:$I$89,5,0)</f>
        <v>1.2710188457276673E-13</v>
      </c>
      <c r="FG181" s="13">
        <f t="shared" si="182"/>
        <v>1.856866851063998E-12</v>
      </c>
      <c r="FH181" s="20">
        <f t="shared" si="183"/>
        <v>3.4554122145673649E-12</v>
      </c>
      <c r="FI181" s="59">
        <f t="shared" si="131"/>
        <v>293.33333333333678</v>
      </c>
      <c r="FJ181" s="59">
        <f ca="1">AVERAGE(OFFSET($FI$3,0,0,'Données projet'!$E$16+1,1))-AVERAGE(OFFSET($H$3,0,0,'Données projet'!$E$16+1,1))</f>
        <v>346.42094266871379</v>
      </c>
      <c r="FK181" s="59">
        <f t="shared" si="156"/>
        <v>453.48153556975973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16.548629213375779</v>
      </c>
      <c r="FR181" s="21">
        <f>EXP(-LN(2)/25)*FR180+(1-EXP(-LN(2)/25))/(LN(2)/25)*Calculateur!FM181*Calculateur!FO181*VLOOKUP('Données projet'!$B$16,Paramètres!$A$1:$I$89,3,0)*0.475*44/12</f>
        <v>4.0032540063547639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20.551883219730541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-1.1368683772161603E-13</v>
      </c>
      <c r="GA181" s="17">
        <f>FZ181*VLOOKUP('Données projet'!$B$17,Paramètres!$A$1:$I$89,3,0)*VLOOKUP('Données projet'!$B$17,Paramètres!$A$1:$I$89,5,0)</f>
        <v>-5.3205440053716299E-14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198.26255998041</v>
      </c>
      <c r="GF181" s="59">
        <f t="shared" si="158"/>
        <v>238.62101708181166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10.607162645318947</v>
      </c>
      <c r="GM181" s="21">
        <f>EXP(-LN(2)/25)*GM180+(1-EXP(-LN(2)/25))/(LN(2)/25)*Calculateur!GH181*Calculateur!GJ181*VLOOKUP('Données projet'!$B$17,Paramètres!$A$1:$I$89,3,0)*0.475*44/12</f>
        <v>2.362609139022259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12.969771784341207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>
        <f>GU181*VLOOKUP('Données projet'!$B$18,Paramètres!$A$1:$I$89,3,0)*VLOOKUP('Données projet'!$B$18,Paramètres!$A$1:$I$89,5,0)</f>
        <v>0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604.0566904089452</v>
      </c>
      <c r="HA181" s="59">
        <f t="shared" si="160"/>
        <v>369.5187835902687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31.025485957988518</v>
      </c>
      <c r="HH181" s="21">
        <f>EXP(-LN(2)/25)*HH180+(1-EXP(-LN(2)/25))/(LN(2)/25)*Calculateur!HC181*Calculateur!HE181*VLOOKUP('Données projet'!$B$18,Paramètres!$A$1:$I$89,3,0)*0.475*44/12</f>
        <v>6.6761454656172772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37.701631423605797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-5.1431925385259088E-14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528.20489749461376</v>
      </c>
      <c r="T182" s="59">
        <f t="shared" si="142"/>
        <v>276.26988364830532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102.5565170874366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102.5565170874366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2.0572770154103635E-13</v>
      </c>
      <c r="AK182" s="13">
        <f t="shared" si="164"/>
        <v>2.8416956338469711E-12</v>
      </c>
      <c r="AL182" s="20">
        <f t="shared" si="165"/>
        <v>5.3075956424674458E-12</v>
      </c>
      <c r="AM182" s="59">
        <f t="shared" si="113"/>
        <v>293.3333333333386</v>
      </c>
      <c r="AN182" s="59">
        <f ca="1">AVERAGE(OFFSET($AM$3,0,0,'Données projet'!$E$10+1,1))-AVERAGE(OFFSET($H$3,0,0,'Données projet'!$E$10+1,1))</f>
        <v>436.23918637269577</v>
      </c>
      <c r="AO182" s="59">
        <f t="shared" si="144"/>
        <v>611.43967996341894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5.1396182046299055</v>
      </c>
      <c r="AV182" s="21">
        <f>EXP(-LN(2)/25)*AV181+(1-EXP(-LN(2)/25))/(LN(2)/25)*Calculateur!AQ182*Calculateur!AS182*VLOOKUP('Données projet'!$B$10,Paramètres!$A$1:$I$89,3,0)*0.475*44/12</f>
        <v>1.0539781554563876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6.1935963600862927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4.4337866711430253E-14</v>
      </c>
      <c r="BF182" s="13">
        <f t="shared" si="167"/>
        <v>7.3222115536967035E-13</v>
      </c>
      <c r="BG182" s="20">
        <f t="shared" si="168"/>
        <v>1.3525069634579169E-12</v>
      </c>
      <c r="BH182" s="59">
        <f t="shared" si="116"/>
        <v>293.33333333333468</v>
      </c>
      <c r="BI182" s="59">
        <f ca="1">AVERAGE(OFFSET($BH$3,0,0,'Données projet'!$E$11+1,1))-AVERAGE(OFFSET($H$3,0,0,'Données projet'!$E$11+1,1))</f>
        <v>288.82868507674738</v>
      </c>
      <c r="BJ182" s="59">
        <f t="shared" si="146"/>
        <v>283.48738729114024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10.01340085493759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10.01340085493759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2.1316282072803006E-14</v>
      </c>
      <c r="BZ182" s="13">
        <f>BY182*VLOOKUP('Données projet'!$B$12,Paramètres!$A$1:$I$89,3,0)*VLOOKUP('Données projet'!$B$12,Paramètres!$A$1:$I$89,5,0)</f>
        <v>1.8621904018800709E-14</v>
      </c>
      <c r="CA182" s="13">
        <f t="shared" si="170"/>
        <v>3.40208645124969E-13</v>
      </c>
      <c r="CB182" s="20">
        <f t="shared" si="171"/>
        <v>6.2496320642539887E-13</v>
      </c>
      <c r="CC182" s="59">
        <f t="shared" si="119"/>
        <v>293.33333333333394</v>
      </c>
      <c r="CD182" s="59">
        <f ca="1">AVERAGE(OFFSET($CC$3,0,0,'Données projet'!$E$12+1,1))-AVERAGE(OFFSET($H$3,0,0,'Données projet'!$E$12+1,1))</f>
        <v>93.329407403816901</v>
      </c>
      <c r="CE182" s="59">
        <f t="shared" si="148"/>
        <v>90.925148357295313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2.4481963127759956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2.4481963127759956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-2.2737367544323206E-13</v>
      </c>
      <c r="CU182" s="17">
        <f>CT182*VLOOKUP('Données projet'!$B$13,Paramètres!$A$1:$I$89,3,0)*VLOOKUP('Données projet'!$B$13,Paramètres!$A$1:$I$89,5,0)</f>
        <v>-2.1636878955177963E-13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805.04572055352492</v>
      </c>
      <c r="CZ182" s="59">
        <f t="shared" si="150"/>
        <v>708.66645042414962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57.257167864868066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57.257167864868066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-1.1368683772161603E-13</v>
      </c>
      <c r="DP182" s="17">
        <f>DO182*VLOOKUP('Données projet'!$B$14,Paramètres!$A$1:$I$89,3,0)*VLOOKUP('Données projet'!$B$14,Paramètres!$A$1:$I$89,5,0)</f>
        <v>-7.626113074366004E-14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482.69499576870095</v>
      </c>
      <c r="DU182" s="59">
        <f t="shared" si="152"/>
        <v>384.28918352579575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35.41897851206425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35.41897851206425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1.7053025658242404E-13</v>
      </c>
      <c r="EK182" s="17">
        <f>EJ182*VLOOKUP('Données projet'!$B$15,Paramètres!$A$1:$I$89,3,0)*VLOOKUP('Données projet'!$B$15,Paramètres!$A$1:$I$89,5,0)</f>
        <v>1.250327841262333E-13</v>
      </c>
      <c r="EL182" s="13">
        <f t="shared" si="179"/>
        <v>1.8301318724634299E-12</v>
      </c>
      <c r="EM182" s="20">
        <f t="shared" si="180"/>
        <v>3.405245110226996E-12</v>
      </c>
      <c r="EN182" s="59">
        <f t="shared" si="128"/>
        <v>293.33333333333672</v>
      </c>
      <c r="EO182" s="59">
        <f ca="1">AVERAGE(OFFSET($EN$3,0,0,'Données projet'!$E$15+1,1))-AVERAGE(OFFSET($H$3,0,0,'Données projet'!$E$15+1,1))</f>
        <v>197.34725966440715</v>
      </c>
      <c r="EP182" s="59">
        <f t="shared" si="154"/>
        <v>240.16326570529532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3.4000586769027179</v>
      </c>
      <c r="EW182" s="21">
        <f>EXP(-LN(2)/25)*EW181+(1-EXP(-LN(2)/25))/(LN(2)/25)*Calculateur!ER182*Calculateur!ET182*VLOOKUP('Données projet'!$B$15,Paramètres!$A$1:$I$89,3,0)*0.475*44/12</f>
        <v>0.8614322227888519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4.2614908996915695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2.2737367544323206E-13</v>
      </c>
      <c r="FF182" s="17">
        <f>FE182*VLOOKUP('Données projet'!$B$16,Paramètres!$A$1:$I$89,3,0)*VLOOKUP('Données projet'!$B$16,Paramètres!$A$1:$I$89,5,0)</f>
        <v>1.2710188457276673E-13</v>
      </c>
      <c r="FG182" s="13">
        <f t="shared" si="182"/>
        <v>1.856866851063998E-12</v>
      </c>
      <c r="FH182" s="20">
        <f t="shared" si="183"/>
        <v>3.4554122145673649E-12</v>
      </c>
      <c r="FI182" s="59">
        <f t="shared" si="131"/>
        <v>293.33333333333678</v>
      </c>
      <c r="FJ182" s="59">
        <f ca="1">AVERAGE(OFFSET($FI$3,0,0,'Données projet'!$E$16+1,1))-AVERAGE(OFFSET($H$3,0,0,'Données projet'!$E$16+1,1))</f>
        <v>346.42094266871379</v>
      </c>
      <c r="FK182" s="59">
        <f t="shared" si="156"/>
        <v>453.48153556975973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16.224120688168632</v>
      </c>
      <c r="FR182" s="21">
        <f>EXP(-LN(2)/25)*FR181+(1-EXP(-LN(2)/25))/(LN(2)/25)*Calculateur!FM182*Calculateur!FO182*VLOOKUP('Données projet'!$B$16,Paramètres!$A$1:$I$89,3,0)*0.475*44/12</f>
        <v>3.8937848150290142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20.117905503197647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-1.1368683772161603E-13</v>
      </c>
      <c r="GA182" s="17">
        <f>FZ182*VLOOKUP('Données projet'!$B$17,Paramètres!$A$1:$I$89,3,0)*VLOOKUP('Données projet'!$B$17,Paramètres!$A$1:$I$89,5,0)</f>
        <v>-5.3205440053716299E-14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198.26255998041</v>
      </c>
      <c r="GF182" s="59">
        <f t="shared" si="158"/>
        <v>238.62101708181166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10.399162655574624</v>
      </c>
      <c r="GM182" s="21">
        <f>EXP(-LN(2)/25)*GM181+(1-EXP(-LN(2)/25))/(LN(2)/25)*Calculateur!GH182*Calculateur!GJ182*VLOOKUP('Données projet'!$B$17,Paramètres!$A$1:$I$89,3,0)*0.475*44/12</f>
        <v>2.2980034678714807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12.697166123446106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>
        <f>GU182*VLOOKUP('Données projet'!$B$18,Paramètres!$A$1:$I$89,3,0)*VLOOKUP('Données projet'!$B$18,Paramètres!$A$1:$I$89,5,0)</f>
        <v>0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604.0566904089452</v>
      </c>
      <c r="HA182" s="59">
        <f t="shared" si="160"/>
        <v>369.5187835902687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30.417095102030238</v>
      </c>
      <c r="HH182" s="21">
        <f>EXP(-LN(2)/25)*HH181+(1-EXP(-LN(2)/25))/(LN(2)/25)*Calculateur!HC182*Calculateur!HE182*VLOOKUP('Données projet'!$B$18,Paramètres!$A$1:$I$89,3,0)*0.475*44/12</f>
        <v>6.4935859167767411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36.910681018806983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-5.1431925385259088E-14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528.20489749461376</v>
      </c>
      <c r="T183" s="59">
        <f t="shared" si="142"/>
        <v>276.26988364830532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100.54544634065077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100.54544634065077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2.0572770154103635E-13</v>
      </c>
      <c r="AK183" s="13">
        <f t="shared" si="164"/>
        <v>2.8416956338469711E-12</v>
      </c>
      <c r="AL183" s="20">
        <f t="shared" si="165"/>
        <v>5.3075956424674458E-12</v>
      </c>
      <c r="AM183" s="59">
        <f t="shared" si="113"/>
        <v>293.3333333333386</v>
      </c>
      <c r="AN183" s="59">
        <f ca="1">AVERAGE(OFFSET($AM$3,0,0,'Données projet'!$E$10+1,1))-AVERAGE(OFFSET($H$3,0,0,'Données projet'!$E$10+1,1))</f>
        <v>436.23918637269577</v>
      </c>
      <c r="AO183" s="59">
        <f t="shared" si="144"/>
        <v>611.43967996341894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5.0388334264946764</v>
      </c>
      <c r="AV183" s="21">
        <f>EXP(-LN(2)/25)*AV182+(1-EXP(-LN(2)/25))/(LN(2)/25)*Calculateur!AQ183*Calculateur!AS183*VLOOKUP('Données projet'!$B$10,Paramètres!$A$1:$I$89,3,0)*0.475*44/12</f>
        <v>1.0251570673691304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6.0639904938638072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4.4337866711430253E-14</v>
      </c>
      <c r="BF183" s="13">
        <f t="shared" si="167"/>
        <v>7.3222115536967035E-13</v>
      </c>
      <c r="BG183" s="20">
        <f t="shared" si="168"/>
        <v>1.3525069634579169E-12</v>
      </c>
      <c r="BH183" s="59">
        <f t="shared" si="116"/>
        <v>293.33333333333468</v>
      </c>
      <c r="BI183" s="59">
        <f ca="1">AVERAGE(OFFSET($BH$3,0,0,'Données projet'!$E$11+1,1))-AVERAGE(OFFSET($H$3,0,0,'Données projet'!$E$11+1,1))</f>
        <v>288.82868507674738</v>
      </c>
      <c r="BJ183" s="59">
        <f t="shared" si="146"/>
        <v>283.48738729114024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9.8170441717437136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9.8170441717437136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2.1316282072803006E-14</v>
      </c>
      <c r="BZ183" s="13">
        <f>BY183*VLOOKUP('Données projet'!$B$12,Paramètres!$A$1:$I$89,3,0)*VLOOKUP('Données projet'!$B$12,Paramètres!$A$1:$I$89,5,0)</f>
        <v>1.8621904018800709E-14</v>
      </c>
      <c r="CA183" s="13">
        <f t="shared" si="170"/>
        <v>3.40208645124969E-13</v>
      </c>
      <c r="CB183" s="20">
        <f t="shared" si="171"/>
        <v>6.2496320642539887E-13</v>
      </c>
      <c r="CC183" s="59">
        <f t="shared" si="119"/>
        <v>293.33333333333394</v>
      </c>
      <c r="CD183" s="59">
        <f ca="1">AVERAGE(OFFSET($CC$3,0,0,'Données projet'!$E$12+1,1))-AVERAGE(OFFSET($H$3,0,0,'Données projet'!$E$12+1,1))</f>
        <v>93.329407403816901</v>
      </c>
      <c r="CE183" s="59">
        <f t="shared" si="148"/>
        <v>90.925148357295313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2.4001886763347628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2.4001886763347628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-2.2737367544323206E-13</v>
      </c>
      <c r="CU183" s="17">
        <f>CT183*VLOOKUP('Données projet'!$B$13,Paramètres!$A$1:$I$89,3,0)*VLOOKUP('Données projet'!$B$13,Paramètres!$A$1:$I$89,5,0)</f>
        <v>-2.1636878955177963E-13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805.04572055352492</v>
      </c>
      <c r="CZ183" s="59">
        <f t="shared" si="150"/>
        <v>708.66645042414962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56.134389726461997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56.134389726461997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-1.1368683772161603E-13</v>
      </c>
      <c r="DP183" s="17">
        <f>DO183*VLOOKUP('Données projet'!$B$14,Paramètres!$A$1:$I$89,3,0)*VLOOKUP('Données projet'!$B$14,Paramètres!$A$1:$I$89,5,0)</f>
        <v>-7.626113074366004E-14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482.69499576870095</v>
      </c>
      <c r="DU183" s="59">
        <f t="shared" si="152"/>
        <v>384.28918352579575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34.7244339468864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34.7244339468864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1.7053025658242404E-13</v>
      </c>
      <c r="EK183" s="17">
        <f>EJ183*VLOOKUP('Données projet'!$B$15,Paramètres!$A$1:$I$89,3,0)*VLOOKUP('Données projet'!$B$15,Paramètres!$A$1:$I$89,5,0)</f>
        <v>1.250327841262333E-13</v>
      </c>
      <c r="EL183" s="13">
        <f t="shared" si="179"/>
        <v>1.8301318724634299E-12</v>
      </c>
      <c r="EM183" s="20">
        <f t="shared" si="180"/>
        <v>3.405245110226996E-12</v>
      </c>
      <c r="EN183" s="59">
        <f t="shared" si="128"/>
        <v>293.33333333333672</v>
      </c>
      <c r="EO183" s="59">
        <f ca="1">AVERAGE(OFFSET($EN$3,0,0,'Données projet'!$E$15+1,1))-AVERAGE(OFFSET($H$3,0,0,'Données projet'!$E$15+1,1))</f>
        <v>197.34725966440715</v>
      </c>
      <c r="EP183" s="59">
        <f t="shared" si="154"/>
        <v>240.16326570529532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3.3333856000796747</v>
      </c>
      <c r="EW183" s="21">
        <f>EXP(-LN(2)/25)*EW182+(1-EXP(-LN(2)/25))/(LN(2)/25)*Calculateur!ER183*Calculateur!ET183*VLOOKUP('Données projet'!$B$15,Paramètres!$A$1:$I$89,3,0)*0.475*44/12</f>
        <v>0.83787631335593893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4.1712619134356137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2.2737367544323206E-13</v>
      </c>
      <c r="FF183" s="17">
        <f>FE183*VLOOKUP('Données projet'!$B$16,Paramètres!$A$1:$I$89,3,0)*VLOOKUP('Données projet'!$B$16,Paramètres!$A$1:$I$89,5,0)</f>
        <v>1.2710188457276673E-13</v>
      </c>
      <c r="FG183" s="13">
        <f t="shared" si="182"/>
        <v>1.856866851063998E-12</v>
      </c>
      <c r="FH183" s="20">
        <f t="shared" si="183"/>
        <v>3.4554122145673649E-12</v>
      </c>
      <c r="FI183" s="59">
        <f t="shared" si="131"/>
        <v>293.33333333333678</v>
      </c>
      <c r="FJ183" s="59">
        <f ca="1">AVERAGE(OFFSET($FI$3,0,0,'Données projet'!$E$16+1,1))-AVERAGE(OFFSET($H$3,0,0,'Données projet'!$E$16+1,1))</f>
        <v>346.42094266871379</v>
      </c>
      <c r="FK183" s="59">
        <f t="shared" si="156"/>
        <v>453.48153556975973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15.905975577210143</v>
      </c>
      <c r="FR183" s="21">
        <f>EXP(-LN(2)/25)*FR182+(1-EXP(-LN(2)/25))/(LN(2)/25)*Calculateur!FM183*Calculateur!FO183*VLOOKUP('Données projet'!$B$16,Paramètres!$A$1:$I$89,3,0)*0.475*44/12</f>
        <v>3.7873090644968017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19.693284641706946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-1.1368683772161603E-13</v>
      </c>
      <c r="GA183" s="17">
        <f>FZ183*VLOOKUP('Données projet'!$B$17,Paramètres!$A$1:$I$89,3,0)*VLOOKUP('Données projet'!$B$17,Paramètres!$A$1:$I$89,5,0)</f>
        <v>-5.3205440053716299E-14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198.26255998041</v>
      </c>
      <c r="GF183" s="59">
        <f t="shared" si="158"/>
        <v>238.62101708181166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10.19524141876172</v>
      </c>
      <c r="GM183" s="21">
        <f>EXP(-LN(2)/25)*GM182+(1-EXP(-LN(2)/25))/(LN(2)/25)*Calculateur!GH183*Calculateur!GJ183*VLOOKUP('Données projet'!$B$17,Paramètres!$A$1:$I$89,3,0)*0.475*44/12</f>
        <v>2.235164442195785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12.430405860957505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>
        <f>GU183*VLOOKUP('Données projet'!$B$18,Paramètres!$A$1:$I$89,3,0)*VLOOKUP('Données projet'!$B$18,Paramètres!$A$1:$I$89,5,0)</f>
        <v>0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604.0566904089452</v>
      </c>
      <c r="HA183" s="59">
        <f t="shared" si="160"/>
        <v>369.5187835902687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29.820634419675521</v>
      </c>
      <c r="HH183" s="21">
        <f>EXP(-LN(2)/25)*HH182+(1-EXP(-LN(2)/25))/(LN(2)/25)*Calculateur!HC183*Calculateur!HE183*VLOOKUP('Données projet'!$B$18,Paramètres!$A$1:$I$89,3,0)*0.475*44/12</f>
        <v>6.3160184683996388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36.136652888075162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-5.1431925385259088E-14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528.20489749461376</v>
      </c>
      <c r="T184" s="59">
        <f t="shared" si="142"/>
        <v>276.26988364830532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98.573811464577375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98.573811464577375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2.0572770154103635E-13</v>
      </c>
      <c r="AK184" s="13">
        <f t="shared" si="164"/>
        <v>2.8416956338469711E-12</v>
      </c>
      <c r="AL184" s="20">
        <f t="shared" si="165"/>
        <v>5.3075956424674458E-12</v>
      </c>
      <c r="AM184" s="59">
        <f t="shared" si="113"/>
        <v>293.3333333333386</v>
      </c>
      <c r="AN184" s="59">
        <f ca="1">AVERAGE(OFFSET($AM$3,0,0,'Données projet'!$E$10+1,1))-AVERAGE(OFFSET($H$3,0,0,'Données projet'!$E$10+1,1))</f>
        <v>436.23918637269577</v>
      </c>
      <c r="AO184" s="59">
        <f t="shared" si="144"/>
        <v>611.43967996341894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4.9400249763860344</v>
      </c>
      <c r="AV184" s="21">
        <f>EXP(-LN(2)/25)*AV183+(1-EXP(-LN(2)/25))/(LN(2)/25)*Calculateur!AQ184*Calculateur!AS184*VLOOKUP('Données projet'!$B$10,Paramètres!$A$1:$I$89,3,0)*0.475*44/12</f>
        <v>0.9971240934512543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5.9371490698372886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4.4337866711430253E-14</v>
      </c>
      <c r="BF184" s="13">
        <f t="shared" si="167"/>
        <v>7.3222115536967035E-13</v>
      </c>
      <c r="BG184" s="20">
        <f t="shared" si="168"/>
        <v>1.3525069634579169E-12</v>
      </c>
      <c r="BH184" s="59">
        <f t="shared" si="116"/>
        <v>293.33333333333468</v>
      </c>
      <c r="BI184" s="59">
        <f ca="1">AVERAGE(OFFSET($BH$3,0,0,'Données projet'!$E$11+1,1))-AVERAGE(OFFSET($H$3,0,0,'Données projet'!$E$11+1,1))</f>
        <v>288.82868507674738</v>
      </c>
      <c r="BJ184" s="59">
        <f t="shared" si="146"/>
        <v>283.48738729114024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9.6245379233415171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9.6245379233415171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2.1316282072803006E-14</v>
      </c>
      <c r="BZ184" s="13">
        <f>BY184*VLOOKUP('Données projet'!$B$12,Paramètres!$A$1:$I$89,3,0)*VLOOKUP('Données projet'!$B$12,Paramètres!$A$1:$I$89,5,0)</f>
        <v>1.8621904018800709E-14</v>
      </c>
      <c r="CA184" s="13">
        <f t="shared" si="170"/>
        <v>3.40208645124969E-13</v>
      </c>
      <c r="CB184" s="20">
        <f t="shared" si="171"/>
        <v>6.2496320642539887E-13</v>
      </c>
      <c r="CC184" s="59">
        <f t="shared" si="119"/>
        <v>293.33333333333394</v>
      </c>
      <c r="CD184" s="59">
        <f ca="1">AVERAGE(OFFSET($CC$3,0,0,'Données projet'!$E$12+1,1))-AVERAGE(OFFSET($H$3,0,0,'Données projet'!$E$12+1,1))</f>
        <v>93.329407403816901</v>
      </c>
      <c r="CE184" s="59">
        <f t="shared" si="148"/>
        <v>90.925148357295313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2.3531224403623758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2.3531224403623758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-2.2737367544323206E-13</v>
      </c>
      <c r="CU184" s="17">
        <f>CT184*VLOOKUP('Données projet'!$B$13,Paramètres!$A$1:$I$89,3,0)*VLOOKUP('Données projet'!$B$13,Paramètres!$A$1:$I$89,5,0)</f>
        <v>-2.1636878955177963E-13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805.04572055352492</v>
      </c>
      <c r="CZ184" s="59">
        <f t="shared" si="150"/>
        <v>708.66645042414962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55.033628582523029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55.033628582523029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-1.1368683772161603E-13</v>
      </c>
      <c r="DP184" s="17">
        <f>DO184*VLOOKUP('Données projet'!$B$14,Paramètres!$A$1:$I$89,3,0)*VLOOKUP('Données projet'!$B$14,Paramètres!$A$1:$I$89,5,0)</f>
        <v>-7.626113074366004E-14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482.69499576870095</v>
      </c>
      <c r="DU184" s="59">
        <f t="shared" si="152"/>
        <v>384.28918352579575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34.043508977001331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34.043508977001331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1.7053025658242404E-13</v>
      </c>
      <c r="EK184" s="17">
        <f>EJ184*VLOOKUP('Données projet'!$B$15,Paramètres!$A$1:$I$89,3,0)*VLOOKUP('Données projet'!$B$15,Paramètres!$A$1:$I$89,5,0)</f>
        <v>1.250327841262333E-13</v>
      </c>
      <c r="EL184" s="13">
        <f t="shared" si="179"/>
        <v>1.8301318724634299E-12</v>
      </c>
      <c r="EM184" s="20">
        <f t="shared" si="180"/>
        <v>3.405245110226996E-12</v>
      </c>
      <c r="EN184" s="59">
        <f t="shared" si="128"/>
        <v>293.33333333333672</v>
      </c>
      <c r="EO184" s="59">
        <f ca="1">AVERAGE(OFFSET($EN$3,0,0,'Données projet'!$E$15+1,1))-AVERAGE(OFFSET($H$3,0,0,'Données projet'!$E$15+1,1))</f>
        <v>197.34725966440715</v>
      </c>
      <c r="EP184" s="59">
        <f t="shared" si="154"/>
        <v>240.16326570529532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3.2680199416265698</v>
      </c>
      <c r="EW184" s="21">
        <f>EXP(-LN(2)/25)*EW183+(1-EXP(-LN(2)/25))/(LN(2)/25)*Calculateur!ER184*Calculateur!ET184*VLOOKUP('Données projet'!$B$15,Paramètres!$A$1:$I$89,3,0)*0.475*44/12</f>
        <v>0.81496454150522046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4.0829844831317903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2.2737367544323206E-13</v>
      </c>
      <c r="FF184" s="17">
        <f>FE184*VLOOKUP('Données projet'!$B$16,Paramètres!$A$1:$I$89,3,0)*VLOOKUP('Données projet'!$B$16,Paramètres!$A$1:$I$89,5,0)</f>
        <v>1.2710188457276673E-13</v>
      </c>
      <c r="FG184" s="13">
        <f t="shared" si="182"/>
        <v>1.856866851063998E-12</v>
      </c>
      <c r="FH184" s="20">
        <f t="shared" si="183"/>
        <v>3.4554122145673649E-12</v>
      </c>
      <c r="FI184" s="59">
        <f t="shared" si="131"/>
        <v>293.33333333333678</v>
      </c>
      <c r="FJ184" s="59">
        <f ca="1">AVERAGE(OFFSET($FI$3,0,0,'Données projet'!$E$16+1,1))-AVERAGE(OFFSET($H$3,0,0,'Données projet'!$E$16+1,1))</f>
        <v>346.42094266871379</v>
      </c>
      <c r="FK184" s="59">
        <f t="shared" si="156"/>
        <v>453.48153556975973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15.594069097828191</v>
      </c>
      <c r="FR184" s="21">
        <f>EXP(-LN(2)/25)*FR183+(1-EXP(-LN(2)/25))/(LN(2)/25)*Calculateur!FM184*Calculateur!FO184*VLOOKUP('Données projet'!$B$16,Paramètres!$A$1:$I$89,3,0)*0.475*44/12</f>
        <v>3.683744898962209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19.2778139967904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-1.1368683772161603E-13</v>
      </c>
      <c r="GA184" s="17">
        <f>FZ184*VLOOKUP('Données projet'!$B$17,Paramètres!$A$1:$I$89,3,0)*VLOOKUP('Données projet'!$B$17,Paramètres!$A$1:$I$89,5,0)</f>
        <v>-5.3205440053716299E-14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198.26255998041</v>
      </c>
      <c r="GF184" s="59">
        <f t="shared" si="158"/>
        <v>238.62101708181166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9.9953189530230429</v>
      </c>
      <c r="GM184" s="21">
        <f>EXP(-LN(2)/25)*GM183+(1-EXP(-LN(2)/25))/(LN(2)/25)*Calculateur!GH184*Calculateur!GJ184*VLOOKUP('Données projet'!$B$17,Paramètres!$A$1:$I$89,3,0)*0.475*44/12</f>
        <v>2.1740437529817518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12.169362706004794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>
        <f>GU184*VLOOKUP('Données projet'!$B$18,Paramètres!$A$1:$I$89,3,0)*VLOOKUP('Données projet'!$B$18,Paramètres!$A$1:$I$89,5,0)</f>
        <v>0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604.0566904089452</v>
      </c>
      <c r="HA184" s="59">
        <f t="shared" si="160"/>
        <v>369.5187835902687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29.235869967496686</v>
      </c>
      <c r="HH184" s="21">
        <f>EXP(-LN(2)/25)*HH183+(1-EXP(-LN(2)/25))/(LN(2)/25)*Calculateur!HC184*Calculateur!HE184*VLOOKUP('Données projet'!$B$18,Paramètres!$A$1:$I$89,3,0)*0.475*44/12</f>
        <v>6.1433066112362749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35.37917657873296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-5.1431925385259088E-14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528.20489749461376</v>
      </c>
      <c r="T185" s="59">
        <f t="shared" si="142"/>
        <v>276.26988364830532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96.640839145845248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96.640839145845248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2.0572770154103635E-13</v>
      </c>
      <c r="AK185" s="13">
        <f t="shared" si="164"/>
        <v>2.8416956338469711E-12</v>
      </c>
      <c r="AL185" s="20">
        <f t="shared" si="165"/>
        <v>5.3075956424674458E-12</v>
      </c>
      <c r="AM185" s="59">
        <f t="shared" si="113"/>
        <v>293.3333333333386</v>
      </c>
      <c r="AN185" s="59">
        <f ca="1">AVERAGE(OFFSET($AM$3,0,0,'Données projet'!$E$10+1,1))-AVERAGE(OFFSET($H$3,0,0,'Données projet'!$E$10+1,1))</f>
        <v>436.23918637269577</v>
      </c>
      <c r="AO185" s="59">
        <f t="shared" si="144"/>
        <v>611.43967996341894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4.843154099716819</v>
      </c>
      <c r="AV185" s="21">
        <f>EXP(-LN(2)/25)*AV184+(1-EXP(-LN(2)/25))/(LN(2)/25)*Calculateur!AQ185*Calculateur!AS185*VLOOKUP('Données projet'!$B$10,Paramètres!$A$1:$I$89,3,0)*0.475*44/12</f>
        <v>0.96985768267935268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5.8130117823961713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4.4337866711430253E-14</v>
      </c>
      <c r="BF185" s="13">
        <f t="shared" si="167"/>
        <v>7.3222115536967035E-13</v>
      </c>
      <c r="BG185" s="20">
        <f t="shared" si="168"/>
        <v>1.3525069634579169E-12</v>
      </c>
      <c r="BH185" s="59">
        <f t="shared" si="116"/>
        <v>293.33333333333468</v>
      </c>
      <c r="BI185" s="59">
        <f ca="1">AVERAGE(OFFSET($BH$3,0,0,'Données projet'!$E$11+1,1))-AVERAGE(OFFSET($H$3,0,0,'Données projet'!$E$11+1,1))</f>
        <v>288.82868507674738</v>
      </c>
      <c r="BJ185" s="59">
        <f t="shared" si="146"/>
        <v>283.48738729114024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9.435806605053271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9.435806605053271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2.1316282072803006E-14</v>
      </c>
      <c r="BZ185" s="13">
        <f>BY185*VLOOKUP('Données projet'!$B$12,Paramètres!$A$1:$I$89,3,0)*VLOOKUP('Données projet'!$B$12,Paramètres!$A$1:$I$89,5,0)</f>
        <v>1.8621904018800709E-14</v>
      </c>
      <c r="CA185" s="13">
        <f t="shared" si="170"/>
        <v>3.40208645124969E-13</v>
      </c>
      <c r="CB185" s="20">
        <f t="shared" si="171"/>
        <v>6.2496320642539887E-13</v>
      </c>
      <c r="CC185" s="59">
        <f t="shared" si="119"/>
        <v>293.33333333333394</v>
      </c>
      <c r="CD185" s="59">
        <f ca="1">AVERAGE(OFFSET($CC$3,0,0,'Données projet'!$E$12+1,1))-AVERAGE(OFFSET($H$3,0,0,'Données projet'!$E$12+1,1))</f>
        <v>93.329407403816901</v>
      </c>
      <c r="CE185" s="59">
        <f t="shared" si="148"/>
        <v>90.925148357295313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2.306979144569838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2.306979144569838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-2.2737367544323206E-13</v>
      </c>
      <c r="CU185" s="17">
        <f>CT185*VLOOKUP('Données projet'!$B$13,Paramètres!$A$1:$I$89,3,0)*VLOOKUP('Données projet'!$B$13,Paramètres!$A$1:$I$89,5,0)</f>
        <v>-2.1636878955177963E-13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805.04572055352492</v>
      </c>
      <c r="CZ185" s="59">
        <f t="shared" si="150"/>
        <v>708.66645042414962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53.954452693218705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53.954452693218705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-1.1368683772161603E-13</v>
      </c>
      <c r="DP185" s="17">
        <f>DO185*VLOOKUP('Données projet'!$B$14,Paramètres!$A$1:$I$89,3,0)*VLOOKUP('Données projet'!$B$14,Paramètres!$A$1:$I$89,5,0)</f>
        <v>-7.626113074366004E-14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482.69499576870095</v>
      </c>
      <c r="DU185" s="59">
        <f t="shared" si="152"/>
        <v>384.28918352579575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33.375936530452485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33.375936530452485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1.7053025658242404E-13</v>
      </c>
      <c r="EK185" s="17">
        <f>EJ185*VLOOKUP('Données projet'!$B$15,Paramètres!$A$1:$I$89,3,0)*VLOOKUP('Données projet'!$B$15,Paramètres!$A$1:$I$89,5,0)</f>
        <v>1.250327841262333E-13</v>
      </c>
      <c r="EL185" s="13">
        <f t="shared" si="179"/>
        <v>1.8301318724634299E-12</v>
      </c>
      <c r="EM185" s="20">
        <f t="shared" si="180"/>
        <v>3.405245110226996E-12</v>
      </c>
      <c r="EN185" s="59">
        <f t="shared" si="128"/>
        <v>293.33333333333672</v>
      </c>
      <c r="EO185" s="59">
        <f ca="1">AVERAGE(OFFSET($EN$3,0,0,'Données projet'!$E$15+1,1))-AVERAGE(OFFSET($H$3,0,0,'Données projet'!$E$15+1,1))</f>
        <v>197.34725966440715</v>
      </c>
      <c r="EP185" s="59">
        <f t="shared" si="154"/>
        <v>240.16326570529532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3.2039360638666157</v>
      </c>
      <c r="EW185" s="21">
        <f>EXP(-LN(2)/25)*EW184+(1-EXP(-LN(2)/25))/(LN(2)/25)*Calculateur!ER185*Calculateur!ET185*VLOOKUP('Données projet'!$B$15,Paramètres!$A$1:$I$89,3,0)*0.475*44/12</f>
        <v>0.79267929326063757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3.9966153571272534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2.2737367544323206E-13</v>
      </c>
      <c r="FF185" s="17">
        <f>FE185*VLOOKUP('Données projet'!$B$16,Paramètres!$A$1:$I$89,3,0)*VLOOKUP('Données projet'!$B$16,Paramètres!$A$1:$I$89,5,0)</f>
        <v>1.2710188457276673E-13</v>
      </c>
      <c r="FG185" s="13">
        <f t="shared" si="182"/>
        <v>1.856866851063998E-12</v>
      </c>
      <c r="FH185" s="20">
        <f t="shared" si="183"/>
        <v>3.4554122145673649E-12</v>
      </c>
      <c r="FI185" s="59">
        <f t="shared" si="131"/>
        <v>293.33333333333678</v>
      </c>
      <c r="FJ185" s="59">
        <f ca="1">AVERAGE(OFFSET($FI$3,0,0,'Données projet'!$E$16+1,1))-AVERAGE(OFFSET($H$3,0,0,'Données projet'!$E$16+1,1))</f>
        <v>346.42094266871379</v>
      </c>
      <c r="FK185" s="59">
        <f t="shared" si="156"/>
        <v>453.48153556975973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15.288278914262753</v>
      </c>
      <c r="FR185" s="21">
        <f>EXP(-LN(2)/25)*FR184+(1-EXP(-LN(2)/25))/(LN(2)/25)*Calculateur!FM185*Calculateur!FO185*VLOOKUP('Données projet'!$B$16,Paramètres!$A$1:$I$89,3,0)*0.475*44/12</f>
        <v>3.5830127009803623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18.871291615243116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-1.1368683772161603E-13</v>
      </c>
      <c r="GA185" s="17">
        <f>FZ185*VLOOKUP('Données projet'!$B$17,Paramètres!$A$1:$I$89,3,0)*VLOOKUP('Données projet'!$B$17,Paramètres!$A$1:$I$89,5,0)</f>
        <v>-5.3205440053716299E-14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198.26255998041</v>
      </c>
      <c r="GF185" s="59">
        <f t="shared" si="158"/>
        <v>238.62101708181166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9.799316844896838</v>
      </c>
      <c r="GM185" s="21">
        <f>EXP(-LN(2)/25)*GM184+(1-EXP(-LN(2)/25))/(LN(2)/25)*Calculateur!GH185*Calculateur!GJ185*VLOOKUP('Données projet'!$B$17,Paramètres!$A$1:$I$89,3,0)*0.475*44/12</f>
        <v>2.1145944122284734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11.913911257125312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>
        <f>GU185*VLOOKUP('Données projet'!$B$18,Paramètres!$A$1:$I$89,3,0)*VLOOKUP('Données projet'!$B$18,Paramètres!$A$1:$I$89,5,0)</f>
        <v>0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604.0566904089452</v>
      </c>
      <c r="HA185" s="59">
        <f t="shared" si="160"/>
        <v>369.5187835902687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28.662572389553979</v>
      </c>
      <c r="HH185" s="21">
        <f>EXP(-LN(2)/25)*HH184+(1-EXP(-LN(2)/25))/(LN(2)/25)*Calculateur!HC185*Calculateur!HE185*VLOOKUP('Données projet'!$B$18,Paramètres!$A$1:$I$89,3,0)*0.475*44/12</f>
        <v>5.9753175688895652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34.637889958443544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-5.1431925385259088E-14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528.20489749461376</v>
      </c>
      <c r="T186" s="59">
        <f t="shared" si="142"/>
        <v>276.26988364830532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94.745771235286753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94.745771235286753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2.0572770154103635E-13</v>
      </c>
      <c r="AK186" s="13">
        <f t="shared" si="164"/>
        <v>2.8416956338469711E-12</v>
      </c>
      <c r="AL186" s="20">
        <f t="shared" si="165"/>
        <v>5.3075956424674458E-12</v>
      </c>
      <c r="AM186" s="59">
        <f t="shared" si="113"/>
        <v>293.3333333333386</v>
      </c>
      <c r="AN186" s="59">
        <f ca="1">AVERAGE(OFFSET($AM$3,0,0,'Données projet'!$E$10+1,1))-AVERAGE(OFFSET($H$3,0,0,'Données projet'!$E$10+1,1))</f>
        <v>436.23918637269577</v>
      </c>
      <c r="AO186" s="59">
        <f t="shared" si="144"/>
        <v>611.43967996341894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4.7481828018536865</v>
      </c>
      <c r="AV186" s="21">
        <f>EXP(-LN(2)/25)*AV185+(1-EXP(-LN(2)/25))/(LN(2)/25)*Calculateur!AQ186*Calculateur!AS186*VLOOKUP('Données projet'!$B$10,Paramètres!$A$1:$I$89,3,0)*0.475*44/12</f>
        <v>0.94333687334388694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5.6915196751975738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4.4337866711430253E-14</v>
      </c>
      <c r="BF186" s="13">
        <f t="shared" si="167"/>
        <v>7.3222115536967035E-13</v>
      </c>
      <c r="BG186" s="20">
        <f t="shared" si="168"/>
        <v>1.3525069634579169E-12</v>
      </c>
      <c r="BH186" s="59">
        <f t="shared" si="116"/>
        <v>293.33333333333468</v>
      </c>
      <c r="BI186" s="59">
        <f ca="1">AVERAGE(OFFSET($BH$3,0,0,'Données projet'!$E$11+1,1))-AVERAGE(OFFSET($H$3,0,0,'Données projet'!$E$11+1,1))</f>
        <v>288.82868507674738</v>
      </c>
      <c r="BJ186" s="59">
        <f t="shared" si="146"/>
        <v>283.48738729114024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9.2507761928019185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9.2507761928019185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2.1316282072803006E-14</v>
      </c>
      <c r="BZ186" s="13">
        <f>BY186*VLOOKUP('Données projet'!$B$12,Paramètres!$A$1:$I$89,3,0)*VLOOKUP('Données projet'!$B$12,Paramètres!$A$1:$I$89,5,0)</f>
        <v>1.8621904018800709E-14</v>
      </c>
      <c r="CA186" s="13">
        <f t="shared" si="170"/>
        <v>3.40208645124969E-13</v>
      </c>
      <c r="CB186" s="20">
        <f t="shared" si="171"/>
        <v>6.2496320642539887E-13</v>
      </c>
      <c r="CC186" s="59">
        <f t="shared" si="119"/>
        <v>293.33333333333394</v>
      </c>
      <c r="CD186" s="59">
        <f ca="1">AVERAGE(OFFSET($CC$3,0,0,'Données projet'!$E$12+1,1))-AVERAGE(OFFSET($H$3,0,0,'Données projet'!$E$12+1,1))</f>
        <v>93.329407403816901</v>
      </c>
      <c r="CE186" s="59">
        <f t="shared" si="148"/>
        <v>90.925148357295313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2.2617406906631601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2.2617406906631601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-2.2737367544323206E-13</v>
      </c>
      <c r="CU186" s="17">
        <f>CT186*VLOOKUP('Données projet'!$B$13,Paramètres!$A$1:$I$89,3,0)*VLOOKUP('Données projet'!$B$13,Paramètres!$A$1:$I$89,5,0)</f>
        <v>-2.1636878955177963E-13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805.04572055352492</v>
      </c>
      <c r="CZ186" s="59">
        <f t="shared" si="150"/>
        <v>708.66645042414962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52.896438784871336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52.896438784871336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-1.1368683772161603E-13</v>
      </c>
      <c r="DP186" s="17">
        <f>DO186*VLOOKUP('Données projet'!$B$14,Paramètres!$A$1:$I$89,3,0)*VLOOKUP('Données projet'!$B$14,Paramètres!$A$1:$I$89,5,0)</f>
        <v>-7.626113074366004E-14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482.69499576870095</v>
      </c>
      <c r="DU186" s="59">
        <f t="shared" si="152"/>
        <v>384.28918352579575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32.721454772401479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32.721454772401479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1.7053025658242404E-13</v>
      </c>
      <c r="EK186" s="17">
        <f>EJ186*VLOOKUP('Données projet'!$B$15,Paramètres!$A$1:$I$89,3,0)*VLOOKUP('Données projet'!$B$15,Paramètres!$A$1:$I$89,5,0)</f>
        <v>1.250327841262333E-13</v>
      </c>
      <c r="EL186" s="13">
        <f t="shared" si="179"/>
        <v>1.8301318724634299E-12</v>
      </c>
      <c r="EM186" s="20">
        <f t="shared" si="180"/>
        <v>3.405245110226996E-12</v>
      </c>
      <c r="EN186" s="59">
        <f t="shared" si="128"/>
        <v>293.33333333333672</v>
      </c>
      <c r="EO186" s="59">
        <f ca="1">AVERAGE(OFFSET($EN$3,0,0,'Données projet'!$E$15+1,1))-AVERAGE(OFFSET($H$3,0,0,'Données projet'!$E$15+1,1))</f>
        <v>197.34725966440715</v>
      </c>
      <c r="EP186" s="59">
        <f t="shared" si="154"/>
        <v>240.16326570529532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3.1411088318622284</v>
      </c>
      <c r="EW186" s="21">
        <f>EXP(-LN(2)/25)*EW185+(1-EXP(-LN(2)/25))/(LN(2)/25)*Calculateur!ER186*Calculateur!ET186*VLOOKUP('Données projet'!$B$15,Paramètres!$A$1:$I$89,3,0)*0.475*44/12</f>
        <v>0.77100343630123314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3.9121122681634617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2.2737367544323206E-13</v>
      </c>
      <c r="FF186" s="17">
        <f>FE186*VLOOKUP('Données projet'!$B$16,Paramètres!$A$1:$I$89,3,0)*VLOOKUP('Données projet'!$B$16,Paramètres!$A$1:$I$89,5,0)</f>
        <v>1.2710188457276673E-13</v>
      </c>
      <c r="FG186" s="13">
        <f t="shared" si="182"/>
        <v>1.856866851063998E-12</v>
      </c>
      <c r="FH186" s="20">
        <f t="shared" si="183"/>
        <v>3.4554122145673649E-12</v>
      </c>
      <c r="FI186" s="59">
        <f t="shared" si="131"/>
        <v>293.33333333333678</v>
      </c>
      <c r="FJ186" s="59">
        <f ca="1">AVERAGE(OFFSET($FI$3,0,0,'Données projet'!$E$16+1,1))-AVERAGE(OFFSET($H$3,0,0,'Données projet'!$E$16+1,1))</f>
        <v>346.42094266871379</v>
      </c>
      <c r="FK186" s="59">
        <f t="shared" si="156"/>
        <v>453.48153556975973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14.988485089683438</v>
      </c>
      <c r="FR186" s="21">
        <f>EXP(-LN(2)/25)*FR185+(1-EXP(-LN(2)/25))/(LN(2)/25)*Calculateur!FM186*Calculateur!FO186*VLOOKUP('Données projet'!$B$16,Paramètres!$A$1:$I$89,3,0)*0.475*44/12</f>
        <v>3.4850350302496054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18.473520119933042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-1.1368683772161603E-13</v>
      </c>
      <c r="GA186" s="17">
        <f>FZ186*VLOOKUP('Données projet'!$B$17,Paramètres!$A$1:$I$89,3,0)*VLOOKUP('Données projet'!$B$17,Paramètres!$A$1:$I$89,5,0)</f>
        <v>-5.3205440053716299E-14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198.26255998041</v>
      </c>
      <c r="GF186" s="59">
        <f t="shared" si="158"/>
        <v>238.62101708181166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9.6071582185615068</v>
      </c>
      <c r="GM186" s="21">
        <f>EXP(-LN(2)/25)*GM185+(1-EXP(-LN(2)/25))/(LN(2)/25)*Calculateur!GH186*Calculateur!GJ186*VLOOKUP('Données projet'!$B$17,Paramètres!$A$1:$I$89,3,0)*0.475*44/12</f>
        <v>2.0567707168243987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11.663928935385906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>
        <f>GU186*VLOOKUP('Données projet'!$B$18,Paramètres!$A$1:$I$89,3,0)*VLOOKUP('Données projet'!$B$18,Paramètres!$A$1:$I$89,5,0)</f>
        <v>0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604.0566904089452</v>
      </c>
      <c r="HA186" s="59">
        <f t="shared" si="160"/>
        <v>369.5187835902687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28.100516827437737</v>
      </c>
      <c r="HH186" s="21">
        <f>EXP(-LN(2)/25)*HH185+(1-EXP(-LN(2)/25))/(LN(2)/25)*Calculateur!HC186*Calculateur!HE186*VLOOKUP('Données projet'!$B$18,Paramètres!$A$1:$I$89,3,0)*0.475*44/12</f>
        <v>5.811922195739986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33.912439023177726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-5.1431925385259088E-14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528.20489749461376</v>
      </c>
      <c r="T187" s="59">
        <f t="shared" si="142"/>
        <v>276.26988364830532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92.887864450577027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92.887864450577027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2.0572770154103635E-13</v>
      </c>
      <c r="AK187" s="13">
        <f t="shared" si="164"/>
        <v>2.8416956338469711E-12</v>
      </c>
      <c r="AL187" s="20">
        <f t="shared" si="165"/>
        <v>5.3075956424674458E-12</v>
      </c>
      <c r="AM187" s="59">
        <f t="shared" si="113"/>
        <v>293.3333333333386</v>
      </c>
      <c r="AN187" s="59">
        <f ca="1">AVERAGE(OFFSET($AM$3,0,0,'Données projet'!$E$10+1,1))-AVERAGE(OFFSET($H$3,0,0,'Données projet'!$E$10+1,1))</f>
        <v>436.23918637269577</v>
      </c>
      <c r="AO187" s="59">
        <f t="shared" si="144"/>
        <v>611.43967996341894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4.6550738332148782</v>
      </c>
      <c r="AV187" s="21">
        <f>EXP(-LN(2)/25)*AV186+(1-EXP(-LN(2)/25))/(LN(2)/25)*Calculateur!AQ187*Calculateur!AS187*VLOOKUP('Données projet'!$B$10,Paramètres!$A$1:$I$89,3,0)*0.475*44/12</f>
        <v>0.91754127693436816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5.572615110149246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4.4337866711430253E-14</v>
      </c>
      <c r="BF187" s="13">
        <f t="shared" si="167"/>
        <v>7.3222115536967035E-13</v>
      </c>
      <c r="BG187" s="20">
        <f t="shared" si="168"/>
        <v>1.3525069634579169E-12</v>
      </c>
      <c r="BH187" s="59">
        <f t="shared" si="116"/>
        <v>293.33333333333468</v>
      </c>
      <c r="BI187" s="59">
        <f ca="1">AVERAGE(OFFSET($BH$3,0,0,'Données projet'!$E$11+1,1))-AVERAGE(OFFSET($H$3,0,0,'Données projet'!$E$11+1,1))</f>
        <v>288.82868507674738</v>
      </c>
      <c r="BJ187" s="59">
        <f t="shared" si="146"/>
        <v>283.48738729114024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9.0693741140774087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9.0693741140774087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2.1316282072803006E-14</v>
      </c>
      <c r="BZ187" s="13">
        <f>BY187*VLOOKUP('Données projet'!$B$12,Paramètres!$A$1:$I$89,3,0)*VLOOKUP('Données projet'!$B$12,Paramètres!$A$1:$I$89,5,0)</f>
        <v>1.8621904018800709E-14</v>
      </c>
      <c r="CA187" s="13">
        <f t="shared" si="170"/>
        <v>3.40208645124969E-13</v>
      </c>
      <c r="CB187" s="20">
        <f t="shared" si="171"/>
        <v>6.2496320642539887E-13</v>
      </c>
      <c r="CC187" s="59">
        <f t="shared" si="119"/>
        <v>293.33333333333394</v>
      </c>
      <c r="CD187" s="59">
        <f ca="1">AVERAGE(OFFSET($CC$3,0,0,'Données projet'!$E$12+1,1))-AVERAGE(OFFSET($H$3,0,0,'Données projet'!$E$12+1,1))</f>
        <v>93.329407403816901</v>
      </c>
      <c r="CE187" s="59">
        <f t="shared" si="148"/>
        <v>90.925148357295313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2.2173893352448601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2.2173893352448601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-2.2737367544323206E-13</v>
      </c>
      <c r="CU187" s="17">
        <f>CT187*VLOOKUP('Données projet'!$B$13,Paramètres!$A$1:$I$89,3,0)*VLOOKUP('Données projet'!$B$13,Paramètres!$A$1:$I$89,5,0)</f>
        <v>-2.1636878955177963E-13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805.04572055352492</v>
      </c>
      <c r="CZ187" s="59">
        <f t="shared" si="150"/>
        <v>708.66645042414962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51.859171883941897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51.859171883941897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-1.1368683772161603E-13</v>
      </c>
      <c r="DP187" s="17">
        <f>DO187*VLOOKUP('Données projet'!$B$14,Paramètres!$A$1:$I$89,3,0)*VLOOKUP('Données projet'!$B$14,Paramètres!$A$1:$I$89,5,0)</f>
        <v>-7.626113074366004E-14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482.69499576870095</v>
      </c>
      <c r="DU187" s="59">
        <f t="shared" si="152"/>
        <v>384.28918352579575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32.079807002431394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32.079807002431394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1.7053025658242404E-13</v>
      </c>
      <c r="EK187" s="17">
        <f>EJ187*VLOOKUP('Données projet'!$B$15,Paramètres!$A$1:$I$89,3,0)*VLOOKUP('Données projet'!$B$15,Paramètres!$A$1:$I$89,5,0)</f>
        <v>1.250327841262333E-13</v>
      </c>
      <c r="EL187" s="13">
        <f t="shared" si="179"/>
        <v>1.8301318724634299E-12</v>
      </c>
      <c r="EM187" s="20">
        <f t="shared" si="180"/>
        <v>3.405245110226996E-12</v>
      </c>
      <c r="EN187" s="59">
        <f t="shared" si="128"/>
        <v>293.33333333333672</v>
      </c>
      <c r="EO187" s="59">
        <f ca="1">AVERAGE(OFFSET($EN$3,0,0,'Données projet'!$E$15+1,1))-AVERAGE(OFFSET($H$3,0,0,'Données projet'!$E$15+1,1))</f>
        <v>197.34725966440715</v>
      </c>
      <c r="EP187" s="59">
        <f t="shared" si="154"/>
        <v>240.16326570529532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3.0795136035566193</v>
      </c>
      <c r="EW187" s="21">
        <f>EXP(-LN(2)/25)*EW186+(1-EXP(-LN(2)/25))/(LN(2)/25)*Calculateur!ER187*Calculateur!ET187*VLOOKUP('Données projet'!$B$15,Paramètres!$A$1:$I$89,3,0)*0.475*44/12</f>
        <v>0.74992030679026733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3.8294339103468866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2.2737367544323206E-13</v>
      </c>
      <c r="FF187" s="17">
        <f>FE187*VLOOKUP('Données projet'!$B$16,Paramètres!$A$1:$I$89,3,0)*VLOOKUP('Données projet'!$B$16,Paramètres!$A$1:$I$89,5,0)</f>
        <v>1.2710188457276673E-13</v>
      </c>
      <c r="FG187" s="13">
        <f t="shared" si="182"/>
        <v>1.856866851063998E-12</v>
      </c>
      <c r="FH187" s="20">
        <f t="shared" si="183"/>
        <v>3.4554122145673649E-12</v>
      </c>
      <c r="FI187" s="59">
        <f t="shared" si="131"/>
        <v>293.33333333333678</v>
      </c>
      <c r="FJ187" s="59">
        <f ca="1">AVERAGE(OFFSET($FI$3,0,0,'Données projet'!$E$16+1,1))-AVERAGE(OFFSET($H$3,0,0,'Données projet'!$E$16+1,1))</f>
        <v>346.42094266871379</v>
      </c>
      <c r="FK187" s="59">
        <f t="shared" si="156"/>
        <v>453.48153556975973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14.694570039147946</v>
      </c>
      <c r="FR187" s="21">
        <f>EXP(-LN(2)/25)*FR186+(1-EXP(-LN(2)/25))/(LN(2)/25)*Calculateur!FM187*Calculateur!FO187*VLOOKUP('Données projet'!$B$16,Paramètres!$A$1:$I$89,3,0)*0.475*44/12</f>
        <v>3.3897365640774026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18.08430660322535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-1.1368683772161603E-13</v>
      </c>
      <c r="GA187" s="17">
        <f>FZ187*VLOOKUP('Données projet'!$B$17,Paramètres!$A$1:$I$89,3,0)*VLOOKUP('Données projet'!$B$17,Paramètres!$A$1:$I$89,5,0)</f>
        <v>-5.3205440053716299E-14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198.26255998041</v>
      </c>
      <c r="GF187" s="59">
        <f t="shared" si="158"/>
        <v>238.62101708181166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9.4187677056834236</v>
      </c>
      <c r="GM187" s="21">
        <f>EXP(-LN(2)/25)*GM186+(1-EXP(-LN(2)/25))/(LN(2)/25)*Calculateur!GH187*Calculateur!GJ187*VLOOKUP('Données projet'!$B$17,Paramètres!$A$1:$I$89,3,0)*0.475*44/12</f>
        <v>2.0005282134119642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11.419295919095388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>
        <f>GU187*VLOOKUP('Données projet'!$B$18,Paramètres!$A$1:$I$89,3,0)*VLOOKUP('Données projet'!$B$18,Paramètres!$A$1:$I$89,5,0)</f>
        <v>0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604.0566904089452</v>
      </c>
      <c r="HA187" s="59">
        <f t="shared" si="160"/>
        <v>369.5187835902687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27.549482832074549</v>
      </c>
      <c r="HH187" s="21">
        <f>EXP(-LN(2)/25)*HH186+(1-EXP(-LN(2)/25))/(LN(2)/25)*Calculateur!HC187*Calculateur!HE187*VLOOKUP('Données projet'!$B$18,Paramètres!$A$1:$I$89,3,0)*0.475*44/12</f>
        <v>5.6529948776617713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33.202477709736321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-5.1431925385259088E-14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528.20489749461376</v>
      </c>
      <c r="T188" s="59">
        <f t="shared" si="142"/>
        <v>276.26988364830532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91.06639008470421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91.06639008470421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2.0572770154103635E-13</v>
      </c>
      <c r="AK188" s="13">
        <f t="shared" si="164"/>
        <v>2.8416956338469711E-12</v>
      </c>
      <c r="AL188" s="20">
        <f t="shared" si="165"/>
        <v>5.3075956424674458E-12</v>
      </c>
      <c r="AM188" s="59">
        <f t="shared" si="113"/>
        <v>293.3333333333386</v>
      </c>
      <c r="AN188" s="59">
        <f ca="1">AVERAGE(OFFSET($AM$3,0,0,'Données projet'!$E$10+1,1))-AVERAGE(OFFSET($H$3,0,0,'Données projet'!$E$10+1,1))</f>
        <v>436.23918637269577</v>
      </c>
      <c r="AO188" s="59">
        <f t="shared" si="144"/>
        <v>611.43967996341894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4.5637906746602139</v>
      </c>
      <c r="AV188" s="21">
        <f>EXP(-LN(2)/25)*AV187+(1-EXP(-LN(2)/25))/(LN(2)/25)*Calculateur!AQ188*Calculateur!AS188*VLOOKUP('Données projet'!$B$10,Paramètres!$A$1:$I$89,3,0)*0.475*44/12</f>
        <v>0.89245106246519912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5.4562417371254135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4.4337866711430253E-14</v>
      </c>
      <c r="BF188" s="13">
        <f t="shared" si="167"/>
        <v>7.3222115536967035E-13</v>
      </c>
      <c r="BG188" s="20">
        <f t="shared" si="168"/>
        <v>1.3525069634579169E-12</v>
      </c>
      <c r="BH188" s="59">
        <f t="shared" si="116"/>
        <v>293.33333333333468</v>
      </c>
      <c r="BI188" s="59">
        <f ca="1">AVERAGE(OFFSET($BH$3,0,0,'Données projet'!$E$11+1,1))-AVERAGE(OFFSET($H$3,0,0,'Données projet'!$E$11+1,1))</f>
        <v>288.82868507674738</v>
      </c>
      <c r="BJ188" s="59">
        <f t="shared" si="146"/>
        <v>283.48738729114024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8.8915292194723428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8.8915292194723428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2.1316282072803006E-14</v>
      </c>
      <c r="BZ188" s="13">
        <f>BY188*VLOOKUP('Données projet'!$B$12,Paramètres!$A$1:$I$89,3,0)*VLOOKUP('Données projet'!$B$12,Paramètres!$A$1:$I$89,5,0)</f>
        <v>1.8621904018800709E-14</v>
      </c>
      <c r="CA188" s="13">
        <f t="shared" si="170"/>
        <v>3.40208645124969E-13</v>
      </c>
      <c r="CB188" s="20">
        <f t="shared" si="171"/>
        <v>6.2496320642539887E-13</v>
      </c>
      <c r="CC188" s="59">
        <f t="shared" si="119"/>
        <v>293.33333333333394</v>
      </c>
      <c r="CD188" s="59">
        <f ca="1">AVERAGE(OFFSET($CC$3,0,0,'Données projet'!$E$12+1,1))-AVERAGE(OFFSET($H$3,0,0,'Données projet'!$E$12+1,1))</f>
        <v>93.329407403816901</v>
      </c>
      <c r="CE188" s="59">
        <f t="shared" si="148"/>
        <v>90.925148357295313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2.1739076828546571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2.1739076828546571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-2.2737367544323206E-13</v>
      </c>
      <c r="CU188" s="17">
        <f>CT188*VLOOKUP('Données projet'!$B$13,Paramètres!$A$1:$I$89,3,0)*VLOOKUP('Données projet'!$B$13,Paramètres!$A$1:$I$89,5,0)</f>
        <v>-2.1636878955177963E-13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805.04572055352492</v>
      </c>
      <c r="CZ188" s="59">
        <f t="shared" si="150"/>
        <v>708.66645042414962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50.842245154269349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50.842245154269349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-1.1368683772161603E-13</v>
      </c>
      <c r="DP188" s="17">
        <f>DO188*VLOOKUP('Données projet'!$B$14,Paramètres!$A$1:$I$89,3,0)*VLOOKUP('Données projet'!$B$14,Paramètres!$A$1:$I$89,5,0)</f>
        <v>-7.626113074366004E-14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482.69499576870095</v>
      </c>
      <c r="DU188" s="59">
        <f t="shared" si="152"/>
        <v>384.28918352579575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31.450741553863931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31.450741553863931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1.7053025658242404E-13</v>
      </c>
      <c r="EK188" s="17">
        <f>EJ188*VLOOKUP('Données projet'!$B$15,Paramètres!$A$1:$I$89,3,0)*VLOOKUP('Données projet'!$B$15,Paramètres!$A$1:$I$89,5,0)</f>
        <v>1.250327841262333E-13</v>
      </c>
      <c r="EL188" s="13">
        <f t="shared" si="179"/>
        <v>1.8301318724634299E-12</v>
      </c>
      <c r="EM188" s="20">
        <f t="shared" si="180"/>
        <v>3.405245110226996E-12</v>
      </c>
      <c r="EN188" s="59">
        <f t="shared" si="128"/>
        <v>293.33333333333672</v>
      </c>
      <c r="EO188" s="59">
        <f ca="1">AVERAGE(OFFSET($EN$3,0,0,'Données projet'!$E$15+1,1))-AVERAGE(OFFSET($H$3,0,0,'Données projet'!$E$15+1,1))</f>
        <v>197.34725966440715</v>
      </c>
      <c r="EP188" s="59">
        <f t="shared" si="154"/>
        <v>240.16326570529532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3.0191262201087037</v>
      </c>
      <c r="EW188" s="21">
        <f>EXP(-LN(2)/25)*EW187+(1-EXP(-LN(2)/25))/(LN(2)/25)*Calculateur!ER188*Calculateur!ET188*VLOOKUP('Données projet'!$B$15,Paramètres!$A$1:$I$89,3,0)*0.475*44/12</f>
        <v>0.72941369656449251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3.7485399166731961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2.2737367544323206E-13</v>
      </c>
      <c r="FF188" s="17">
        <f>FE188*VLOOKUP('Données projet'!$B$16,Paramètres!$A$1:$I$89,3,0)*VLOOKUP('Données projet'!$B$16,Paramètres!$A$1:$I$89,5,0)</f>
        <v>1.2710188457276673E-13</v>
      </c>
      <c r="FG188" s="13">
        <f t="shared" si="182"/>
        <v>1.856866851063998E-12</v>
      </c>
      <c r="FH188" s="20">
        <f t="shared" si="183"/>
        <v>3.4554122145673649E-12</v>
      </c>
      <c r="FI188" s="59">
        <f t="shared" si="131"/>
        <v>293.33333333333678</v>
      </c>
      <c r="FJ188" s="59">
        <f ca="1">AVERAGE(OFFSET($FI$3,0,0,'Données projet'!$E$16+1,1))-AVERAGE(OFFSET($H$3,0,0,'Données projet'!$E$16+1,1))</f>
        <v>346.42094266871379</v>
      </c>
      <c r="FK188" s="59">
        <f t="shared" si="156"/>
        <v>453.48153556975973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14.406418483482975</v>
      </c>
      <c r="FR188" s="21">
        <f>EXP(-LN(2)/25)*FR187+(1-EXP(-LN(2)/25))/(LN(2)/25)*Calculateur!FM188*Calculateur!FO188*VLOOKUP('Données projet'!$B$16,Paramètres!$A$1:$I$89,3,0)*0.475*44/12</f>
        <v>3.2970440394742075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17.703462522957182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-1.1368683772161603E-13</v>
      </c>
      <c r="GA188" s="17">
        <f>FZ188*VLOOKUP('Données projet'!$B$17,Paramètres!$A$1:$I$89,3,0)*VLOOKUP('Données projet'!$B$17,Paramètres!$A$1:$I$89,5,0)</f>
        <v>-5.3205440053716299E-14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198.26255998041</v>
      </c>
      <c r="GF188" s="59">
        <f t="shared" si="158"/>
        <v>238.62101708181166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9.2340714158560129</v>
      </c>
      <c r="GM188" s="21">
        <f>EXP(-LN(2)/25)*GM187+(1-EXP(-LN(2)/25))/(LN(2)/25)*Calculateur!GH188*Calculateur!GJ188*VLOOKUP('Données projet'!$B$17,Paramètres!$A$1:$I$89,3,0)*0.475*44/12</f>
        <v>1.9458236642130076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11.17989508006902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>
        <f>GU188*VLOOKUP('Données projet'!$B$18,Paramètres!$A$1:$I$89,3,0)*VLOOKUP('Données projet'!$B$18,Paramètres!$A$1:$I$89,5,0)</f>
        <v>0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604.0566904089452</v>
      </c>
      <c r="HA188" s="59">
        <f t="shared" si="160"/>
        <v>369.5187835902687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27.009254277262883</v>
      </c>
      <c r="HH188" s="21">
        <f>EXP(-LN(2)/25)*HH187+(1-EXP(-LN(2)/25))/(LN(2)/25)*Calculateur!HC188*Calculateur!HE188*VLOOKUP('Données projet'!$B$18,Paramètres!$A$1:$I$89,3,0)*0.475*44/12</f>
        <v>5.4984134354540295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32.507667712716909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-5.1431925385259088E-14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528.20489749461376</v>
      </c>
      <c r="T189" s="59">
        <f t="shared" si="142"/>
        <v>276.26988364830532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89.280633720156501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89.280633720156501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2.0572770154103635E-13</v>
      </c>
      <c r="AK189" s="13">
        <f t="shared" si="164"/>
        <v>2.8416956338469711E-12</v>
      </c>
      <c r="AL189" s="20">
        <f t="shared" si="165"/>
        <v>5.3075956424674458E-12</v>
      </c>
      <c r="AM189" s="59">
        <f t="shared" si="113"/>
        <v>293.3333333333386</v>
      </c>
      <c r="AN189" s="59">
        <f ca="1">AVERAGE(OFFSET($AM$3,0,0,'Données projet'!$E$10+1,1))-AVERAGE(OFFSET($H$3,0,0,'Données projet'!$E$10+1,1))</f>
        <v>436.23918637269577</v>
      </c>
      <c r="AO189" s="59">
        <f t="shared" si="144"/>
        <v>611.43967996341894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4.4742975231675777</v>
      </c>
      <c r="AV189" s="21">
        <f>EXP(-LN(2)/25)*AV188+(1-EXP(-LN(2)/25))/(LN(2)/25)*Calculateur!AQ189*Calculateur!AS189*VLOOKUP('Données projet'!$B$10,Paramètres!$A$1:$I$89,3,0)*0.475*44/12</f>
        <v>0.8680469412301266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5.3423444643977041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4.4337866711430253E-14</v>
      </c>
      <c r="BF189" s="13">
        <f t="shared" si="167"/>
        <v>7.3222115536967035E-13</v>
      </c>
      <c r="BG189" s="20">
        <f t="shared" si="168"/>
        <v>1.3525069634579169E-12</v>
      </c>
      <c r="BH189" s="59">
        <f t="shared" si="116"/>
        <v>293.33333333333468</v>
      </c>
      <c r="BI189" s="59">
        <f ca="1">AVERAGE(OFFSET($BH$3,0,0,'Données projet'!$E$11+1,1))-AVERAGE(OFFSET($H$3,0,0,'Données projet'!$E$11+1,1))</f>
        <v>288.82868507674738</v>
      </c>
      <c r="BJ189" s="59">
        <f t="shared" si="146"/>
        <v>283.48738729114024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8.7171717547758085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8.7171717547758085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2.1316282072803006E-14</v>
      </c>
      <c r="BZ189" s="13">
        <f>BY189*VLOOKUP('Données projet'!$B$12,Paramètres!$A$1:$I$89,3,0)*VLOOKUP('Données projet'!$B$12,Paramètres!$A$1:$I$89,5,0)</f>
        <v>1.8621904018800709E-14</v>
      </c>
      <c r="CA189" s="13">
        <f t="shared" si="170"/>
        <v>3.40208645124969E-13</v>
      </c>
      <c r="CB189" s="20">
        <f t="shared" si="171"/>
        <v>6.2496320642539887E-13</v>
      </c>
      <c r="CC189" s="59">
        <f t="shared" si="119"/>
        <v>293.33333333333394</v>
      </c>
      <c r="CD189" s="59">
        <f ca="1">AVERAGE(OFFSET($CC$3,0,0,'Données projet'!$E$12+1,1))-AVERAGE(OFFSET($H$3,0,0,'Données projet'!$E$12+1,1))</f>
        <v>93.329407403816901</v>
      </c>
      <c r="CE189" s="59">
        <f t="shared" si="148"/>
        <v>90.925148357295313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2.1312786791466367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2.1312786791466367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-2.2737367544323206E-13</v>
      </c>
      <c r="CU189" s="17">
        <f>CT189*VLOOKUP('Données projet'!$B$13,Paramètres!$A$1:$I$89,3,0)*VLOOKUP('Données projet'!$B$13,Paramètres!$A$1:$I$89,5,0)</f>
        <v>-2.1636878955177963E-13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805.04572055352492</v>
      </c>
      <c r="CZ189" s="59">
        <f t="shared" si="150"/>
        <v>708.66645042414962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49.845259737501621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49.845259737501621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-1.1368683772161603E-13</v>
      </c>
      <c r="DP189" s="17">
        <f>DO189*VLOOKUP('Données projet'!$B$14,Paramètres!$A$1:$I$89,3,0)*VLOOKUP('Données projet'!$B$14,Paramètres!$A$1:$I$89,5,0)</f>
        <v>-7.626113074366004E-14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482.69499576870095</v>
      </c>
      <c r="DU189" s="59">
        <f t="shared" si="152"/>
        <v>384.28918352579575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30.834011695050837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30.834011695050837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1.7053025658242404E-13</v>
      </c>
      <c r="EK189" s="17">
        <f>EJ189*VLOOKUP('Données projet'!$B$15,Paramètres!$A$1:$I$89,3,0)*VLOOKUP('Données projet'!$B$15,Paramètres!$A$1:$I$89,5,0)</f>
        <v>1.250327841262333E-13</v>
      </c>
      <c r="EL189" s="13">
        <f t="shared" si="179"/>
        <v>1.8301318724634299E-12</v>
      </c>
      <c r="EM189" s="20">
        <f t="shared" si="180"/>
        <v>3.405245110226996E-12</v>
      </c>
      <c r="EN189" s="59">
        <f t="shared" si="128"/>
        <v>293.33333333333672</v>
      </c>
      <c r="EO189" s="59">
        <f ca="1">AVERAGE(OFFSET($EN$3,0,0,'Données projet'!$E$15+1,1))-AVERAGE(OFFSET($H$3,0,0,'Données projet'!$E$15+1,1))</f>
        <v>197.34725966440715</v>
      </c>
      <c r="EP189" s="59">
        <f t="shared" si="154"/>
        <v>240.16326570529532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2.9599229964175349</v>
      </c>
      <c r="EW189" s="21">
        <f>EXP(-LN(2)/25)*EW188+(1-EXP(-LN(2)/25))/(LN(2)/25)*Calculateur!ER189*Calculateur!ET189*VLOOKUP('Données projet'!$B$15,Paramètres!$A$1:$I$89,3,0)*0.475*44/12</f>
        <v>0.70946784067373725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3.6693908370912722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2.2737367544323206E-13</v>
      </c>
      <c r="FF189" s="17">
        <f>FE189*VLOOKUP('Données projet'!$B$16,Paramètres!$A$1:$I$89,3,0)*VLOOKUP('Données projet'!$B$16,Paramètres!$A$1:$I$89,5,0)</f>
        <v>1.2710188457276673E-13</v>
      </c>
      <c r="FG189" s="13">
        <f t="shared" si="182"/>
        <v>1.856866851063998E-12</v>
      </c>
      <c r="FH189" s="20">
        <f t="shared" si="183"/>
        <v>3.4554122145673649E-12</v>
      </c>
      <c r="FI189" s="59">
        <f t="shared" si="131"/>
        <v>293.33333333333678</v>
      </c>
      <c r="FJ189" s="59">
        <f ca="1">AVERAGE(OFFSET($FI$3,0,0,'Données projet'!$E$16+1,1))-AVERAGE(OFFSET($H$3,0,0,'Données projet'!$E$16+1,1))</f>
        <v>346.42094266871379</v>
      </c>
      <c r="FK189" s="59">
        <f t="shared" si="156"/>
        <v>453.48153556975973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14.1239174040695</v>
      </c>
      <c r="FR189" s="21">
        <f>EXP(-LN(2)/25)*FR188+(1-EXP(-LN(2)/25))/(LN(2)/25)*Calculateur!FM189*Calculateur!FO189*VLOOKUP('Données projet'!$B$16,Paramètres!$A$1:$I$89,3,0)*0.475*44/12</f>
        <v>3.2068861968307747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17.330803600900275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-1.1368683772161603E-13</v>
      </c>
      <c r="GA189" s="17">
        <f>FZ189*VLOOKUP('Données projet'!$B$17,Paramètres!$A$1:$I$89,3,0)*VLOOKUP('Données projet'!$B$17,Paramètres!$A$1:$I$89,5,0)</f>
        <v>-5.3205440053716299E-14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198.26255998041</v>
      </c>
      <c r="GF189" s="59">
        <f t="shared" si="158"/>
        <v>238.62101708181166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9.0529969076185033</v>
      </c>
      <c r="GM189" s="21">
        <f>EXP(-LN(2)/25)*GM188+(1-EXP(-LN(2)/25))/(LN(2)/25)*Calculateur!GH189*Calculateur!GJ189*VLOOKUP('Données projet'!$B$17,Paramètres!$A$1:$I$89,3,0)*0.475*44/12</f>
        <v>1.8926150137886837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10.945611921407187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>
        <f>GU189*VLOOKUP('Données projet'!$B$18,Paramètres!$A$1:$I$89,3,0)*VLOOKUP('Données projet'!$B$18,Paramètres!$A$1:$I$89,5,0)</f>
        <v>0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604.0566904089452</v>
      </c>
      <c r="HA189" s="59">
        <f t="shared" si="160"/>
        <v>369.5187835902687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26.479619274904191</v>
      </c>
      <c r="HH189" s="21">
        <f>EXP(-LN(2)/25)*HH188+(1-EXP(-LN(2)/25))/(LN(2)/25)*Calculateur!HC189*Calculateur!HE189*VLOOKUP('Données projet'!$B$18,Paramètres!$A$1:$I$89,3,0)*0.475*44/12</f>
        <v>5.3480590309125429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31.827678305816733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-5.1431925385259088E-14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528.20489749461376</v>
      </c>
      <c r="T190" s="59">
        <f t="shared" si="142"/>
        <v>276.26988364830532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87.529894948713732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87.529894948713732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2.0572770154103635E-13</v>
      </c>
      <c r="AK190" s="13">
        <f t="shared" si="164"/>
        <v>2.8416956338469711E-12</v>
      </c>
      <c r="AL190" s="20">
        <f t="shared" si="165"/>
        <v>5.3075956424674458E-12</v>
      </c>
      <c r="AM190" s="59">
        <f t="shared" si="113"/>
        <v>293.3333333333386</v>
      </c>
      <c r="AN190" s="59">
        <f ca="1">AVERAGE(OFFSET($AM$3,0,0,'Données projet'!$E$10+1,1))-AVERAGE(OFFSET($H$3,0,0,'Données projet'!$E$10+1,1))</f>
        <v>436.23918637269577</v>
      </c>
      <c r="AO190" s="59">
        <f t="shared" si="144"/>
        <v>611.43967996341894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4.3865592777902789</v>
      </c>
      <c r="AV190" s="21">
        <f>EXP(-LN(2)/25)*AV189+(1-EXP(-LN(2)/25))/(LN(2)/25)*Calculateur!AQ190*Calculateur!AS190*VLOOKUP('Données projet'!$B$10,Paramètres!$A$1:$I$89,3,0)*0.475*44/12</f>
        <v>0.84431015197358406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5.2308694297638629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4.4337866711430253E-14</v>
      </c>
      <c r="BF190" s="13">
        <f t="shared" si="167"/>
        <v>7.3222115536967035E-13</v>
      </c>
      <c r="BG190" s="20">
        <f t="shared" si="168"/>
        <v>1.3525069634579169E-12</v>
      </c>
      <c r="BH190" s="59">
        <f t="shared" si="116"/>
        <v>293.33333333333468</v>
      </c>
      <c r="BI190" s="59">
        <f ca="1">AVERAGE(OFFSET($BH$3,0,0,'Données projet'!$E$11+1,1))-AVERAGE(OFFSET($H$3,0,0,'Données projet'!$E$11+1,1))</f>
        <v>288.82868507674738</v>
      </c>
      <c r="BJ190" s="59">
        <f t="shared" si="146"/>
        <v>283.48738729114024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8.5462333336144205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8.5462333336144205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2.1316282072803006E-14</v>
      </c>
      <c r="BZ190" s="13">
        <f>BY190*VLOOKUP('Données projet'!$B$12,Paramètres!$A$1:$I$89,3,0)*VLOOKUP('Données projet'!$B$12,Paramètres!$A$1:$I$89,5,0)</f>
        <v>1.8621904018800709E-14</v>
      </c>
      <c r="CA190" s="13">
        <f t="shared" si="170"/>
        <v>3.40208645124969E-13</v>
      </c>
      <c r="CB190" s="20">
        <f t="shared" si="171"/>
        <v>6.2496320642539887E-13</v>
      </c>
      <c r="CC190" s="59">
        <f t="shared" si="119"/>
        <v>293.33333333333394</v>
      </c>
      <c r="CD190" s="59">
        <f ca="1">AVERAGE(OFFSET($CC$3,0,0,'Données projet'!$E$12+1,1))-AVERAGE(OFFSET($H$3,0,0,'Données projet'!$E$12+1,1))</f>
        <v>93.329407403816901</v>
      </c>
      <c r="CE190" s="59">
        <f t="shared" si="148"/>
        <v>90.925148357295313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2.0894856042002057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2.0894856042002057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-2.2737367544323206E-13</v>
      </c>
      <c r="CU190" s="17">
        <f>CT190*VLOOKUP('Données projet'!$B$13,Paramètres!$A$1:$I$89,3,0)*VLOOKUP('Données projet'!$B$13,Paramètres!$A$1:$I$89,5,0)</f>
        <v>-2.1636878955177963E-13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805.04572055352492</v>
      </c>
      <c r="CZ190" s="59">
        <f t="shared" si="150"/>
        <v>708.66645042414962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48.867824596655645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48.867824596655645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-1.1368683772161603E-13</v>
      </c>
      <c r="DP190" s="17">
        <f>DO190*VLOOKUP('Données projet'!$B$14,Paramètres!$A$1:$I$89,3,0)*VLOOKUP('Données projet'!$B$14,Paramètres!$A$1:$I$89,5,0)</f>
        <v>-7.626113074366004E-14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482.69499576870095</v>
      </c>
      <c r="DU190" s="59">
        <f t="shared" si="152"/>
        <v>384.28918352579575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30.229375532600997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30.229375532600997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1.7053025658242404E-13</v>
      </c>
      <c r="EK190" s="17">
        <f>EJ190*VLOOKUP('Données projet'!$B$15,Paramètres!$A$1:$I$89,3,0)*VLOOKUP('Données projet'!$B$15,Paramètres!$A$1:$I$89,5,0)</f>
        <v>1.250327841262333E-13</v>
      </c>
      <c r="EL190" s="13">
        <f t="shared" si="179"/>
        <v>1.8301318724634299E-12</v>
      </c>
      <c r="EM190" s="20">
        <f t="shared" si="180"/>
        <v>3.405245110226996E-12</v>
      </c>
      <c r="EN190" s="59">
        <f t="shared" si="128"/>
        <v>293.33333333333672</v>
      </c>
      <c r="EO190" s="59">
        <f ca="1">AVERAGE(OFFSET($EN$3,0,0,'Données projet'!$E$15+1,1))-AVERAGE(OFFSET($H$3,0,0,'Données projet'!$E$15+1,1))</f>
        <v>197.34725966440715</v>
      </c>
      <c r="EP190" s="59">
        <f t="shared" si="154"/>
        <v>240.16326570529532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2.9018807118325487</v>
      </c>
      <c r="EW190" s="21">
        <f>EXP(-LN(2)/25)*EW189+(1-EXP(-LN(2)/25))/(LN(2)/25)*Calculateur!ER190*Calculateur!ET190*VLOOKUP('Données projet'!$B$15,Paramètres!$A$1:$I$89,3,0)*0.475*44/12</f>
        <v>0.69006740526122168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3.5919481170937706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2.2737367544323206E-13</v>
      </c>
      <c r="FF190" s="17">
        <f>FE190*VLOOKUP('Données projet'!$B$16,Paramètres!$A$1:$I$89,3,0)*VLOOKUP('Données projet'!$B$16,Paramètres!$A$1:$I$89,5,0)</f>
        <v>1.2710188457276673E-13</v>
      </c>
      <c r="FG190" s="13">
        <f t="shared" si="182"/>
        <v>1.856866851063998E-12</v>
      </c>
      <c r="FH190" s="20">
        <f t="shared" si="183"/>
        <v>3.4554122145673649E-12</v>
      </c>
      <c r="FI190" s="59">
        <f t="shared" si="131"/>
        <v>293.33333333333678</v>
      </c>
      <c r="FJ190" s="59">
        <f ca="1">AVERAGE(OFFSET($FI$3,0,0,'Données projet'!$E$16+1,1))-AVERAGE(OFFSET($H$3,0,0,'Données projet'!$E$16+1,1))</f>
        <v>346.42094266871379</v>
      </c>
      <c r="FK190" s="59">
        <f t="shared" si="156"/>
        <v>453.48153556975973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13.846955998514678</v>
      </c>
      <c r="FR190" s="21">
        <f>EXP(-LN(2)/25)*FR189+(1-EXP(-LN(2)/25))/(LN(2)/25)*Calculateur!FM190*Calculateur!FO190*VLOOKUP('Données projet'!$B$16,Paramètres!$A$1:$I$89,3,0)*0.475*44/12</f>
        <v>3.1191937251356214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16.9661497236503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-1.1368683772161603E-13</v>
      </c>
      <c r="GA190" s="17">
        <f>FZ190*VLOOKUP('Données projet'!$B$17,Paramètres!$A$1:$I$89,3,0)*VLOOKUP('Données projet'!$B$17,Paramètres!$A$1:$I$89,5,0)</f>
        <v>-5.3205440053716299E-14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198.26255998041</v>
      </c>
      <c r="GF190" s="59">
        <f t="shared" si="158"/>
        <v>238.62101708181166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8.8754731600429881</v>
      </c>
      <c r="GM190" s="21">
        <f>EXP(-LN(2)/25)*GM189+(1-EXP(-LN(2)/25))/(LN(2)/25)*Calculateur!GH190*Calculateur!GJ190*VLOOKUP('Données projet'!$B$17,Paramètres!$A$1:$I$89,3,0)*0.475*44/12</f>
        <v>1.8408613567083343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10.716334516751322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>
        <f>GU190*VLOOKUP('Données projet'!$B$18,Paramètres!$A$1:$I$89,3,0)*VLOOKUP('Données projet'!$B$18,Paramètres!$A$1:$I$89,5,0)</f>
        <v>0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604.0566904089452</v>
      </c>
      <c r="HA190" s="59">
        <f t="shared" si="160"/>
        <v>369.5187835902687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25.960370091896301</v>
      </c>
      <c r="HH190" s="21">
        <f>EXP(-LN(2)/25)*HH189+(1-EXP(-LN(2)/25))/(LN(2)/25)*Calculateur!HC190*Calculateur!HE190*VLOOKUP('Données projet'!$B$18,Paramètres!$A$1:$I$89,3,0)*0.475*44/12</f>
        <v>5.2018160754700382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31.16218616736634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-5.1431925385259088E-14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528.20489749461376</v>
      </c>
      <c r="T191" s="59">
        <f t="shared" si="142"/>
        <v>276.26988364830532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85.813487096733752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85.813487096733752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2.0572770154103635E-13</v>
      </c>
      <c r="AK191" s="13">
        <f t="shared" si="164"/>
        <v>2.8416956338469711E-12</v>
      </c>
      <c r="AL191" s="20">
        <f t="shared" si="165"/>
        <v>5.3075956424674458E-12</v>
      </c>
      <c r="AM191" s="59">
        <f t="shared" si="113"/>
        <v>293.3333333333386</v>
      </c>
      <c r="AN191" s="59">
        <f ca="1">AVERAGE(OFFSET($AM$3,0,0,'Données projet'!$E$10+1,1))-AVERAGE(OFFSET($H$3,0,0,'Données projet'!$E$10+1,1))</f>
        <v>436.23918637269577</v>
      </c>
      <c r="AO191" s="59">
        <f t="shared" si="144"/>
        <v>611.43967996341894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4.3005415258897832</v>
      </c>
      <c r="AV191" s="21">
        <f>EXP(-LN(2)/25)*AV190+(1-EXP(-LN(2)/25))/(LN(2)/25)*Calculateur!AQ191*Calculateur!AS191*VLOOKUP('Données projet'!$B$10,Paramètres!$A$1:$I$89,3,0)*0.475*44/12</f>
        <v>0.82122244646752518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5.1217639723573081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4.4337866711430253E-14</v>
      </c>
      <c r="BF191" s="13">
        <f t="shared" si="167"/>
        <v>7.3222115536967035E-13</v>
      </c>
      <c r="BG191" s="20">
        <f t="shared" si="168"/>
        <v>1.3525069634579169E-12</v>
      </c>
      <c r="BH191" s="59">
        <f t="shared" si="116"/>
        <v>293.33333333333468</v>
      </c>
      <c r="BI191" s="59">
        <f ca="1">AVERAGE(OFFSET($BH$3,0,0,'Données projet'!$E$11+1,1))-AVERAGE(OFFSET($H$3,0,0,'Données projet'!$E$11+1,1))</f>
        <v>288.82868507674738</v>
      </c>
      <c r="BJ191" s="59">
        <f t="shared" si="146"/>
        <v>283.48738729114024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8.3786469106298647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8.3786469106298647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2.1316282072803006E-14</v>
      </c>
      <c r="BZ191" s="13">
        <f>BY191*VLOOKUP('Données projet'!$B$12,Paramètres!$A$1:$I$89,3,0)*VLOOKUP('Données projet'!$B$12,Paramètres!$A$1:$I$89,5,0)</f>
        <v>1.8621904018800709E-14</v>
      </c>
      <c r="CA191" s="13">
        <f t="shared" si="170"/>
        <v>3.40208645124969E-13</v>
      </c>
      <c r="CB191" s="20">
        <f t="shared" si="171"/>
        <v>6.2496320642539887E-13</v>
      </c>
      <c r="CC191" s="59">
        <f t="shared" si="119"/>
        <v>293.33333333333394</v>
      </c>
      <c r="CD191" s="59">
        <f ca="1">AVERAGE(OFFSET($CC$3,0,0,'Données projet'!$E$12+1,1))-AVERAGE(OFFSET($H$3,0,0,'Données projet'!$E$12+1,1))</f>
        <v>93.329407403816901</v>
      </c>
      <c r="CE191" s="59">
        <f t="shared" si="148"/>
        <v>90.925148357295313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2.0485120659622158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2.0485120659622158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-2.2737367544323206E-13</v>
      </c>
      <c r="CU191" s="17">
        <f>CT191*VLOOKUP('Données projet'!$B$13,Paramètres!$A$1:$I$89,3,0)*VLOOKUP('Données projet'!$B$13,Paramètres!$A$1:$I$89,5,0)</f>
        <v>-2.1636878955177963E-13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805.04572055352492</v>
      </c>
      <c r="CZ191" s="59">
        <f t="shared" si="150"/>
        <v>708.66645042414962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47.909556362745093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47.909556362745093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-1.1368683772161603E-13</v>
      </c>
      <c r="DP191" s="17">
        <f>DO191*VLOOKUP('Données projet'!$B$14,Paramètres!$A$1:$I$89,3,0)*VLOOKUP('Données projet'!$B$14,Paramètres!$A$1:$I$89,5,0)</f>
        <v>-7.626113074366004E-14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482.69499576870095</v>
      </c>
      <c r="DU191" s="59">
        <f t="shared" si="152"/>
        <v>384.28918352579575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29.636595916505154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29.636595916505154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1.7053025658242404E-13</v>
      </c>
      <c r="EK191" s="17">
        <f>EJ191*VLOOKUP('Données projet'!$B$15,Paramètres!$A$1:$I$89,3,0)*VLOOKUP('Données projet'!$B$15,Paramètres!$A$1:$I$89,5,0)</f>
        <v>1.250327841262333E-13</v>
      </c>
      <c r="EL191" s="13">
        <f t="shared" si="179"/>
        <v>1.8301318724634299E-12</v>
      </c>
      <c r="EM191" s="20">
        <f t="shared" si="180"/>
        <v>3.405245110226996E-12</v>
      </c>
      <c r="EN191" s="59">
        <f t="shared" si="128"/>
        <v>293.33333333333672</v>
      </c>
      <c r="EO191" s="59">
        <f ca="1">AVERAGE(OFFSET($EN$3,0,0,'Données projet'!$E$15+1,1))-AVERAGE(OFFSET($H$3,0,0,'Données projet'!$E$15+1,1))</f>
        <v>197.34725966440715</v>
      </c>
      <c r="EP191" s="59">
        <f t="shared" si="154"/>
        <v>240.16326570529532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2.8449766010459765</v>
      </c>
      <c r="EW191" s="21">
        <f>EXP(-LN(2)/25)*EW190+(1-EXP(-LN(2)/25))/(LN(2)/25)*Calculateur!ER191*Calculateur!ET191*VLOOKUP('Données projet'!$B$15,Paramètres!$A$1:$I$89,3,0)*0.475*44/12</f>
        <v>0.67119747577528588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3.5161740768212626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2.2737367544323206E-13</v>
      </c>
      <c r="FF191" s="17">
        <f>FE191*VLOOKUP('Données projet'!$B$16,Paramètres!$A$1:$I$89,3,0)*VLOOKUP('Données projet'!$B$16,Paramètres!$A$1:$I$89,5,0)</f>
        <v>1.2710188457276673E-13</v>
      </c>
      <c r="FG191" s="13">
        <f t="shared" si="182"/>
        <v>1.856866851063998E-12</v>
      </c>
      <c r="FH191" s="20">
        <f t="shared" si="183"/>
        <v>3.4554122145673649E-12</v>
      </c>
      <c r="FI191" s="59">
        <f t="shared" si="131"/>
        <v>293.33333333333678</v>
      </c>
      <c r="FJ191" s="59">
        <f ca="1">AVERAGE(OFFSET($FI$3,0,0,'Données projet'!$E$16+1,1))-AVERAGE(OFFSET($H$3,0,0,'Données projet'!$E$16+1,1))</f>
        <v>346.42094266871379</v>
      </c>
      <c r="FK191" s="59">
        <f t="shared" si="156"/>
        <v>453.48153556975973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13.57542563719301</v>
      </c>
      <c r="FR191" s="21">
        <f>EXP(-LN(2)/25)*FR190+(1-EXP(-LN(2)/25))/(LN(2)/25)*Calculateur!FM191*Calculateur!FO191*VLOOKUP('Données projet'!$B$16,Paramètres!$A$1:$I$89,3,0)*0.475*44/12</f>
        <v>3.033899208690519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16.609324845883528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-1.1368683772161603E-13</v>
      </c>
      <c r="GA191" s="17">
        <f>FZ191*VLOOKUP('Données projet'!$B$17,Paramètres!$A$1:$I$89,3,0)*VLOOKUP('Données projet'!$B$17,Paramètres!$A$1:$I$89,5,0)</f>
        <v>-5.3205440053716299E-14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198.26255998041</v>
      </c>
      <c r="GF191" s="59">
        <f t="shared" si="158"/>
        <v>238.62101708181166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8.7014305448786331</v>
      </c>
      <c r="GM191" s="21">
        <f>EXP(-LN(2)/25)*GM190+(1-EXP(-LN(2)/25))/(LN(2)/25)*Calculateur!GH191*Calculateur!GJ191*VLOOKUP('Données projet'!$B$17,Paramètres!$A$1:$I$89,3,0)*0.475*44/12</f>
        <v>1.7905229061024535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10.491953450981086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>
        <f>GU191*VLOOKUP('Données projet'!$B$18,Paramètres!$A$1:$I$89,3,0)*VLOOKUP('Données projet'!$B$18,Paramètres!$A$1:$I$89,5,0)</f>
        <v>0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604.0566904089452</v>
      </c>
      <c r="HA191" s="59">
        <f t="shared" si="160"/>
        <v>369.5187835902687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25.451303068656468</v>
      </c>
      <c r="HH191" s="21">
        <f>EXP(-LN(2)/25)*HH190+(1-EXP(-LN(2)/25))/(LN(2)/25)*Calculateur!HC191*Calculateur!HE191*VLOOKUP('Données projet'!$B$18,Paramètres!$A$1:$I$89,3,0)*0.475*44/12</f>
        <v>5.0595721413346917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30.510875209991159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-5.1431925385259088E-14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528.20489749461376</v>
      </c>
      <c r="T192" s="59">
        <f t="shared" si="142"/>
        <v>276.26988364830532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84.130736955825682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84.130736955825682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2.0572770154103635E-13</v>
      </c>
      <c r="AK192" s="13">
        <f t="shared" si="164"/>
        <v>2.8416956338469711E-12</v>
      </c>
      <c r="AL192" s="20">
        <f t="shared" si="165"/>
        <v>5.3075956424674458E-12</v>
      </c>
      <c r="AM192" s="59">
        <f t="shared" si="113"/>
        <v>293.3333333333386</v>
      </c>
      <c r="AN192" s="59">
        <f ca="1">AVERAGE(OFFSET($AM$3,0,0,'Données projet'!$E$10+1,1))-AVERAGE(OFFSET($H$3,0,0,'Données projet'!$E$10+1,1))</f>
        <v>436.23918637269577</v>
      </c>
      <c r="AO192" s="59">
        <f t="shared" si="144"/>
        <v>611.43967996341894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4.2162105296384089</v>
      </c>
      <c r="AV192" s="21">
        <f>EXP(-LN(2)/25)*AV191+(1-EXP(-LN(2)/25))/(LN(2)/25)*Calculateur!AQ192*Calculateur!AS192*VLOOKUP('Données projet'!$B$10,Paramètres!$A$1:$I$89,3,0)*0.475*44/12</f>
        <v>0.79876607548265921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5.0149766051210678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4.4337866711430253E-14</v>
      </c>
      <c r="BF192" s="13">
        <f t="shared" si="167"/>
        <v>7.3222115536967035E-13</v>
      </c>
      <c r="BG192" s="20">
        <f t="shared" si="168"/>
        <v>1.3525069634579169E-12</v>
      </c>
      <c r="BH192" s="59">
        <f t="shared" si="116"/>
        <v>293.33333333333468</v>
      </c>
      <c r="BI192" s="59">
        <f ca="1">AVERAGE(OFFSET($BH$3,0,0,'Données projet'!$E$11+1,1))-AVERAGE(OFFSET($H$3,0,0,'Données projet'!$E$11+1,1))</f>
        <v>288.82868507674738</v>
      </c>
      <c r="BJ192" s="59">
        <f t="shared" si="146"/>
        <v>283.48738729114024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8.2143467551824116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8.2143467551824116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2.1316282072803006E-14</v>
      </c>
      <c r="BZ192" s="13">
        <f>BY192*VLOOKUP('Données projet'!$B$12,Paramètres!$A$1:$I$89,3,0)*VLOOKUP('Données projet'!$B$12,Paramètres!$A$1:$I$89,5,0)</f>
        <v>1.8621904018800709E-14</v>
      </c>
      <c r="CA192" s="13">
        <f t="shared" si="170"/>
        <v>3.40208645124969E-13</v>
      </c>
      <c r="CB192" s="20">
        <f t="shared" si="171"/>
        <v>6.2496320642539887E-13</v>
      </c>
      <c r="CC192" s="59">
        <f t="shared" si="119"/>
        <v>293.33333333333394</v>
      </c>
      <c r="CD192" s="59">
        <f ca="1">AVERAGE(OFFSET($CC$3,0,0,'Données projet'!$E$12+1,1))-AVERAGE(OFFSET($H$3,0,0,'Données projet'!$E$12+1,1))</f>
        <v>93.329407403816901</v>
      </c>
      <c r="CE192" s="59">
        <f t="shared" si="148"/>
        <v>90.925148357295313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2.0083419938176821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2.0083419938176821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-2.2737367544323206E-13</v>
      </c>
      <c r="CU192" s="17">
        <f>CT192*VLOOKUP('Données projet'!$B$13,Paramètres!$A$1:$I$89,3,0)*VLOOKUP('Données projet'!$B$13,Paramètres!$A$1:$I$89,5,0)</f>
        <v>-2.1636878955177963E-13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805.04572055352492</v>
      </c>
      <c r="CZ192" s="59">
        <f t="shared" si="150"/>
        <v>708.66645042414962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46.970079184415617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46.970079184415617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-1.1368683772161603E-13</v>
      </c>
      <c r="DP192" s="17">
        <f>DO192*VLOOKUP('Données projet'!$B$14,Paramètres!$A$1:$I$89,3,0)*VLOOKUP('Données projet'!$B$14,Paramètres!$A$1:$I$89,5,0)</f>
        <v>-7.626113074366004E-14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482.69499576870095</v>
      </c>
      <c r="DU192" s="59">
        <f t="shared" si="152"/>
        <v>384.28918352579575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29.055440347121088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29.055440347121088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1.7053025658242404E-13</v>
      </c>
      <c r="EK192" s="17">
        <f>EJ192*VLOOKUP('Données projet'!$B$15,Paramètres!$A$1:$I$89,3,0)*VLOOKUP('Données projet'!$B$15,Paramètres!$A$1:$I$89,5,0)</f>
        <v>1.250327841262333E-13</v>
      </c>
      <c r="EL192" s="13">
        <f t="shared" si="179"/>
        <v>1.8301318724634299E-12</v>
      </c>
      <c r="EM192" s="20">
        <f t="shared" si="180"/>
        <v>3.405245110226996E-12</v>
      </c>
      <c r="EN192" s="59">
        <f t="shared" si="128"/>
        <v>293.33333333333672</v>
      </c>
      <c r="EO192" s="59">
        <f ca="1">AVERAGE(OFFSET($EN$3,0,0,'Données projet'!$E$15+1,1))-AVERAGE(OFFSET($H$3,0,0,'Données projet'!$E$15+1,1))</f>
        <v>197.34725966440715</v>
      </c>
      <c r="EP192" s="59">
        <f t="shared" si="154"/>
        <v>240.16326570529532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2.7891883451638484</v>
      </c>
      <c r="EW192" s="21">
        <f>EXP(-LN(2)/25)*EW191+(1-EXP(-LN(2)/25))/(LN(2)/25)*Calculateur!ER192*Calculateur!ET192*VLOOKUP('Données projet'!$B$15,Paramètres!$A$1:$I$89,3,0)*0.475*44/12</f>
        <v>0.65284354550346946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3.4420318906673177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2.2737367544323206E-13</v>
      </c>
      <c r="FF192" s="17">
        <f>FE192*VLOOKUP('Données projet'!$B$16,Paramètres!$A$1:$I$89,3,0)*VLOOKUP('Données projet'!$B$16,Paramètres!$A$1:$I$89,5,0)</f>
        <v>1.2710188457276673E-13</v>
      </c>
      <c r="FG192" s="13">
        <f t="shared" si="182"/>
        <v>1.856866851063998E-12</v>
      </c>
      <c r="FH192" s="20">
        <f t="shared" si="183"/>
        <v>3.4554122145673649E-12</v>
      </c>
      <c r="FI192" s="59">
        <f t="shared" si="131"/>
        <v>293.33333333333678</v>
      </c>
      <c r="FJ192" s="59">
        <f ca="1">AVERAGE(OFFSET($FI$3,0,0,'Données projet'!$E$16+1,1))-AVERAGE(OFFSET($H$3,0,0,'Données projet'!$E$16+1,1))</f>
        <v>346.42094266871379</v>
      </c>
      <c r="FK192" s="59">
        <f t="shared" si="156"/>
        <v>453.48153556975973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13.309219820639694</v>
      </c>
      <c r="FR192" s="21">
        <f>EXP(-LN(2)/25)*FR191+(1-EXP(-LN(2)/25))/(LN(2)/25)*Calculateur!FM192*Calculateur!FO192*VLOOKUP('Données projet'!$B$16,Paramètres!$A$1:$I$89,3,0)*0.475*44/12</f>
        <v>2.9509370752830515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16.260156895922744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-1.1368683772161603E-13</v>
      </c>
      <c r="GA192" s="17">
        <f>FZ192*VLOOKUP('Données projet'!$B$17,Paramètres!$A$1:$I$89,3,0)*VLOOKUP('Données projet'!$B$17,Paramètres!$A$1:$I$89,5,0)</f>
        <v>-5.3205440053716299E-14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198.26255998041</v>
      </c>
      <c r="GF192" s="59">
        <f t="shared" si="158"/>
        <v>238.62101708181166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8.5308007992421384</v>
      </c>
      <c r="GM192" s="21">
        <f>EXP(-LN(2)/25)*GM191+(1-EXP(-LN(2)/25))/(LN(2)/25)*Calculateur!GH192*Calculateur!GJ192*VLOOKUP('Données projet'!$B$17,Paramètres!$A$1:$I$89,3,0)*0.475*44/12</f>
        <v>1.7415609630755746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10.272361762317713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>
        <f>GU192*VLOOKUP('Données projet'!$B$18,Paramètres!$A$1:$I$89,3,0)*VLOOKUP('Données projet'!$B$18,Paramètres!$A$1:$I$89,5,0)</f>
        <v>0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604.0566904089452</v>
      </c>
      <c r="HA192" s="59">
        <f t="shared" si="160"/>
        <v>369.5187835902687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24.952218539242143</v>
      </c>
      <c r="HH192" s="21">
        <f>EXP(-LN(2)/25)*HH191+(1-EXP(-LN(2)/25))/(LN(2)/25)*Calculateur!HC192*Calculateur!HE192*VLOOKUP('Données projet'!$B$18,Paramètres!$A$1:$I$89,3,0)*0.475*44/12</f>
        <v>4.9212178750585593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29.873436414300702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-5.1431925385259088E-14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528.20489749461376</v>
      </c>
      <c r="T193" s="59">
        <f t="shared" si="142"/>
        <v>276.26988364830532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82.480984518804576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82.480984518804576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2.0572770154103635E-13</v>
      </c>
      <c r="AK193" s="13">
        <f t="shared" si="164"/>
        <v>2.8416956338469711E-12</v>
      </c>
      <c r="AL193" s="20">
        <f t="shared" si="165"/>
        <v>5.3075956424674458E-12</v>
      </c>
      <c r="AM193" s="59">
        <f t="shared" si="113"/>
        <v>293.3333333333386</v>
      </c>
      <c r="AN193" s="59">
        <f ca="1">AVERAGE(OFFSET($AM$3,0,0,'Données projet'!$E$10+1,1))-AVERAGE(OFFSET($H$3,0,0,'Données projet'!$E$10+1,1))</f>
        <v>436.23918637269577</v>
      </c>
      <c r="AO193" s="59">
        <f t="shared" si="144"/>
        <v>611.43967996341894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4.1335332127866948</v>
      </c>
      <c r="AV193" s="21">
        <f>EXP(-LN(2)/25)*AV192+(1-EXP(-LN(2)/25))/(LN(2)/25)*Calculateur!AQ193*Calculateur!AS193*VLOOKUP('Données projet'!$B$10,Paramètres!$A$1:$I$89,3,0)*0.475*44/12</f>
        <v>0.77692377514330357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4.9104569879299982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4.4337866711430253E-14</v>
      </c>
      <c r="BF193" s="13">
        <f t="shared" si="167"/>
        <v>7.3222115536967035E-13</v>
      </c>
      <c r="BG193" s="20">
        <f t="shared" si="168"/>
        <v>1.3525069634579169E-12</v>
      </c>
      <c r="BH193" s="59">
        <f t="shared" si="116"/>
        <v>293.33333333333468</v>
      </c>
      <c r="BI193" s="59">
        <f ca="1">AVERAGE(OFFSET($BH$3,0,0,'Données projet'!$E$11+1,1))-AVERAGE(OFFSET($H$3,0,0,'Données projet'!$E$11+1,1))</f>
        <v>288.82868507674738</v>
      </c>
      <c r="BJ193" s="59">
        <f t="shared" si="146"/>
        <v>283.48738729114024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8.0532684255700833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8.0532684255700833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2.1316282072803006E-14</v>
      </c>
      <c r="BZ193" s="13">
        <f>BY193*VLOOKUP('Données projet'!$B$12,Paramètres!$A$1:$I$89,3,0)*VLOOKUP('Données projet'!$B$12,Paramètres!$A$1:$I$89,5,0)</f>
        <v>1.8621904018800709E-14</v>
      </c>
      <c r="CA193" s="13">
        <f t="shared" si="170"/>
        <v>3.40208645124969E-13</v>
      </c>
      <c r="CB193" s="20">
        <f t="shared" si="171"/>
        <v>6.2496320642539887E-13</v>
      </c>
      <c r="CC193" s="59">
        <f t="shared" si="119"/>
        <v>293.33333333333394</v>
      </c>
      <c r="CD193" s="59">
        <f ca="1">AVERAGE(OFFSET($CC$3,0,0,'Données projet'!$E$12+1,1))-AVERAGE(OFFSET($H$3,0,0,'Données projet'!$E$12+1,1))</f>
        <v>93.329407403816901</v>
      </c>
      <c r="CE193" s="59">
        <f t="shared" si="148"/>
        <v>90.925148357295313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1.9689596322865781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1.9689596322865781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-2.2737367544323206E-13</v>
      </c>
      <c r="CU193" s="17">
        <f>CT193*VLOOKUP('Données projet'!$B$13,Paramètres!$A$1:$I$89,3,0)*VLOOKUP('Données projet'!$B$13,Paramètres!$A$1:$I$89,5,0)</f>
        <v>-2.1636878955177963E-13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805.04572055352492</v>
      </c>
      <c r="CZ193" s="59">
        <f t="shared" si="150"/>
        <v>708.66645042414962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46.04902458052868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46.04902458052868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-1.1368683772161603E-13</v>
      </c>
      <c r="DP193" s="17">
        <f>DO193*VLOOKUP('Données projet'!$B$14,Paramètres!$A$1:$I$89,3,0)*VLOOKUP('Données projet'!$B$14,Paramètres!$A$1:$I$89,5,0)</f>
        <v>-7.626113074366004E-14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482.69499576870095</v>
      </c>
      <c r="DU193" s="59">
        <f t="shared" si="152"/>
        <v>384.28918352579575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28.485680883982745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28.485680883982745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1.7053025658242404E-13</v>
      </c>
      <c r="EK193" s="17">
        <f>EJ193*VLOOKUP('Données projet'!$B$15,Paramètres!$A$1:$I$89,3,0)*VLOOKUP('Données projet'!$B$15,Paramètres!$A$1:$I$89,5,0)</f>
        <v>1.250327841262333E-13</v>
      </c>
      <c r="EL193" s="13">
        <f t="shared" si="179"/>
        <v>1.8301318724634299E-12</v>
      </c>
      <c r="EM193" s="20">
        <f t="shared" si="180"/>
        <v>3.405245110226996E-12</v>
      </c>
      <c r="EN193" s="59">
        <f t="shared" si="128"/>
        <v>293.33333333333672</v>
      </c>
      <c r="EO193" s="59">
        <f ca="1">AVERAGE(OFFSET($EN$3,0,0,'Données projet'!$E$15+1,1))-AVERAGE(OFFSET($H$3,0,0,'Données projet'!$E$15+1,1))</f>
        <v>197.34725966440715</v>
      </c>
      <c r="EP193" s="59">
        <f t="shared" si="154"/>
        <v>240.16326570529532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2.7344940629520926</v>
      </c>
      <c r="EW193" s="21">
        <f>EXP(-LN(2)/25)*EW192+(1-EXP(-LN(2)/25))/(LN(2)/25)*Calculateur!ER193*Calculateur!ET193*VLOOKUP('Données projet'!$B$15,Paramètres!$A$1:$I$89,3,0)*0.475*44/12</f>
        <v>0.63499150442012708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3.3694855673722195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2.2737367544323206E-13</v>
      </c>
      <c r="FF193" s="17">
        <f>FE193*VLOOKUP('Données projet'!$B$16,Paramètres!$A$1:$I$89,3,0)*VLOOKUP('Données projet'!$B$16,Paramètres!$A$1:$I$89,5,0)</f>
        <v>1.2710188457276673E-13</v>
      </c>
      <c r="FG193" s="13">
        <f t="shared" si="182"/>
        <v>1.856866851063998E-12</v>
      </c>
      <c r="FH193" s="20">
        <f t="shared" si="183"/>
        <v>3.4554122145673649E-12</v>
      </c>
      <c r="FI193" s="59">
        <f t="shared" si="131"/>
        <v>293.33333333333678</v>
      </c>
      <c r="FJ193" s="59">
        <f ca="1">AVERAGE(OFFSET($FI$3,0,0,'Données projet'!$E$16+1,1))-AVERAGE(OFFSET($H$3,0,0,'Données projet'!$E$16+1,1))</f>
        <v>346.42094266871379</v>
      </c>
      <c r="FK193" s="59">
        <f t="shared" si="156"/>
        <v>453.48153556975973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13.048234137779472</v>
      </c>
      <c r="FR193" s="21">
        <f>EXP(-LN(2)/25)*FR192+(1-EXP(-LN(2)/25))/(LN(2)/25)*Calculateur!FM193*Calculateur!FO193*VLOOKUP('Données projet'!$B$16,Paramètres!$A$1:$I$89,3,0)*0.475*44/12</f>
        <v>2.8702435457764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15.918477683555873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-1.1368683772161603E-13</v>
      </c>
      <c r="GA193" s="17">
        <f>FZ193*VLOOKUP('Données projet'!$B$17,Paramètres!$A$1:$I$89,3,0)*VLOOKUP('Données projet'!$B$17,Paramètres!$A$1:$I$89,5,0)</f>
        <v>-5.3205440053716299E-14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198.26255998041</v>
      </c>
      <c r="GF193" s="59">
        <f t="shared" si="158"/>
        <v>238.62101708181166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8.363516998843707</v>
      </c>
      <c r="GM193" s="21">
        <f>EXP(-LN(2)/25)*GM192+(1-EXP(-LN(2)/25))/(LN(2)/25)*Calculateur!GH193*Calculateur!GJ193*VLOOKUP('Données projet'!$B$17,Paramètres!$A$1:$I$89,3,0)*0.475*44/12</f>
        <v>1.6939378869555624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10.05745488579927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>
        <f>GU193*VLOOKUP('Données projet'!$B$18,Paramètres!$A$1:$I$89,3,0)*VLOOKUP('Données projet'!$B$18,Paramètres!$A$1:$I$89,5,0)</f>
        <v>0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604.0566904089452</v>
      </c>
      <c r="HA193" s="59">
        <f t="shared" si="160"/>
        <v>369.5187835902687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24.462920753038127</v>
      </c>
      <c r="HH193" s="21">
        <f>EXP(-LN(2)/25)*HH192+(1-EXP(-LN(2)/25))/(LN(2)/25)*Calculateur!HC193*Calculateur!HE193*VLOOKUP('Données projet'!$B$18,Paramètres!$A$1:$I$89,3,0)*0.475*44/12</f>
        <v>4.7866469134694825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29.249567666507609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-5.1431925385259088E-14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528.20489749461376</v>
      </c>
      <c r="T194" s="59">
        <f t="shared" si="142"/>
        <v>276.26988364830532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80.863582720823828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80.863582720823828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2.0572770154103635E-13</v>
      </c>
      <c r="AK194" s="13">
        <f t="shared" si="164"/>
        <v>2.8416956338469711E-12</v>
      </c>
      <c r="AL194" s="20">
        <f t="shared" si="165"/>
        <v>5.3075956424674458E-12</v>
      </c>
      <c r="AM194" s="59">
        <f t="shared" si="113"/>
        <v>293.3333333333386</v>
      </c>
      <c r="AN194" s="59">
        <f ca="1">AVERAGE(OFFSET($AM$3,0,0,'Données projet'!$E$10+1,1))-AVERAGE(OFFSET($H$3,0,0,'Données projet'!$E$10+1,1))</f>
        <v>436.23918637269577</v>
      </c>
      <c r="AO194" s="59">
        <f t="shared" si="144"/>
        <v>611.43967996341894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4.0524771476902588</v>
      </c>
      <c r="AV194" s="21">
        <f>EXP(-LN(2)/25)*AV193+(1-EXP(-LN(2)/25))/(LN(2)/25)*Calculateur!AQ194*Calculateur!AS194*VLOOKUP('Données projet'!$B$10,Paramètres!$A$1:$I$89,3,0)*0.475*44/12</f>
        <v>0.7556787536553643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4.8081559013456232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4.4337866711430253E-14</v>
      </c>
      <c r="BF194" s="13">
        <f t="shared" si="167"/>
        <v>7.3222115536967035E-13</v>
      </c>
      <c r="BG194" s="20">
        <f t="shared" si="168"/>
        <v>1.3525069634579169E-12</v>
      </c>
      <c r="BH194" s="59">
        <f t="shared" si="116"/>
        <v>293.33333333333468</v>
      </c>
      <c r="BI194" s="59">
        <f ca="1">AVERAGE(OFFSET($BH$3,0,0,'Données projet'!$E$11+1,1))-AVERAGE(OFFSET($H$3,0,0,'Données projet'!$E$11+1,1))</f>
        <v>288.82868507674738</v>
      </c>
      <c r="BJ194" s="59">
        <f t="shared" si="146"/>
        <v>283.48738729114024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7.8953487437533729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7.8953487437533729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2.1316282072803006E-14</v>
      </c>
      <c r="BZ194" s="13">
        <f>BY194*VLOOKUP('Données projet'!$B$12,Paramètres!$A$1:$I$89,3,0)*VLOOKUP('Données projet'!$B$12,Paramètres!$A$1:$I$89,5,0)</f>
        <v>1.8621904018800709E-14</v>
      </c>
      <c r="CA194" s="13">
        <f t="shared" si="170"/>
        <v>3.40208645124969E-13</v>
      </c>
      <c r="CB194" s="20">
        <f t="shared" si="171"/>
        <v>6.2496320642539887E-13</v>
      </c>
      <c r="CC194" s="59">
        <f t="shared" si="119"/>
        <v>293.33333333333394</v>
      </c>
      <c r="CD194" s="59">
        <f ca="1">AVERAGE(OFFSET($CC$3,0,0,'Données projet'!$E$12+1,1))-AVERAGE(OFFSET($H$3,0,0,'Données projet'!$E$12+1,1))</f>
        <v>93.329407403816901</v>
      </c>
      <c r="CE194" s="59">
        <f t="shared" si="148"/>
        <v>90.925148357295313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1.9303495348442303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1.9303495348442303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-2.2737367544323206E-13</v>
      </c>
      <c r="CU194" s="17">
        <f>CT194*VLOOKUP('Données projet'!$B$13,Paramètres!$A$1:$I$89,3,0)*VLOOKUP('Données projet'!$B$13,Paramètres!$A$1:$I$89,5,0)</f>
        <v>-2.1636878955177963E-13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805.04572055352492</v>
      </c>
      <c r="CZ194" s="59">
        <f t="shared" si="150"/>
        <v>708.66645042414962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45.146031295636135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45.146031295636135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-1.1368683772161603E-13</v>
      </c>
      <c r="DP194" s="17">
        <f>DO194*VLOOKUP('Données projet'!$B$14,Paramètres!$A$1:$I$89,3,0)*VLOOKUP('Données projet'!$B$14,Paramètres!$A$1:$I$89,5,0)</f>
        <v>-7.626113074366004E-14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482.69499576870095</v>
      </c>
      <c r="DU194" s="59">
        <f t="shared" si="152"/>
        <v>384.28918352579575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27.927094056397589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27.927094056397589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1.7053025658242404E-13</v>
      </c>
      <c r="EK194" s="17">
        <f>EJ194*VLOOKUP('Données projet'!$B$15,Paramètres!$A$1:$I$89,3,0)*VLOOKUP('Données projet'!$B$15,Paramètres!$A$1:$I$89,5,0)</f>
        <v>1.250327841262333E-13</v>
      </c>
      <c r="EL194" s="13">
        <f t="shared" si="179"/>
        <v>1.8301318724634299E-12</v>
      </c>
      <c r="EM194" s="20">
        <f t="shared" si="180"/>
        <v>3.405245110226996E-12</v>
      </c>
      <c r="EN194" s="59">
        <f t="shared" si="128"/>
        <v>293.33333333333672</v>
      </c>
      <c r="EO194" s="59">
        <f ca="1">AVERAGE(OFFSET($EN$3,0,0,'Données projet'!$E$15+1,1))-AVERAGE(OFFSET($H$3,0,0,'Données projet'!$E$15+1,1))</f>
        <v>197.34725966440715</v>
      </c>
      <c r="EP194" s="59">
        <f t="shared" si="154"/>
        <v>240.16326570529532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2.6808723022542913</v>
      </c>
      <c r="EW194" s="21">
        <f>EXP(-LN(2)/25)*EW193+(1-EXP(-LN(2)/25))/(LN(2)/25)*Calculateur!ER194*Calculateur!ET194*VLOOKUP('Données projet'!$B$15,Paramètres!$A$1:$I$89,3,0)*0.475*44/12</f>
        <v>0.61762762833900675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3.298499930593298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2.2737367544323206E-13</v>
      </c>
      <c r="FF194" s="17">
        <f>FE194*VLOOKUP('Données projet'!$B$16,Paramètres!$A$1:$I$89,3,0)*VLOOKUP('Données projet'!$B$16,Paramètres!$A$1:$I$89,5,0)</f>
        <v>1.2710188457276673E-13</v>
      </c>
      <c r="FG194" s="13">
        <f t="shared" si="182"/>
        <v>1.856866851063998E-12</v>
      </c>
      <c r="FH194" s="20">
        <f t="shared" si="183"/>
        <v>3.4554122145673649E-12</v>
      </c>
      <c r="FI194" s="59">
        <f t="shared" si="131"/>
        <v>293.33333333333678</v>
      </c>
      <c r="FJ194" s="59">
        <f ca="1">AVERAGE(OFFSET($FI$3,0,0,'Données projet'!$E$16+1,1))-AVERAGE(OFFSET($H$3,0,0,'Données projet'!$E$16+1,1))</f>
        <v>346.42094266871379</v>
      </c>
      <c r="FK194" s="59">
        <f t="shared" si="156"/>
        <v>453.48153556975973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12.792366224974591</v>
      </c>
      <c r="FR194" s="21">
        <f>EXP(-LN(2)/25)*FR193+(1-EXP(-LN(2)/25))/(LN(2)/25)*Calculateur!FM194*Calculateur!FO194*VLOOKUP('Données projet'!$B$16,Paramètres!$A$1:$I$89,3,0)*0.475*44/12</f>
        <v>2.7917565850775961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15.584122810052188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-1.1368683772161603E-13</v>
      </c>
      <c r="GA194" s="17">
        <f>FZ194*VLOOKUP('Données projet'!$B$17,Paramètres!$A$1:$I$89,3,0)*VLOOKUP('Données projet'!$B$17,Paramètres!$A$1:$I$89,5,0)</f>
        <v>-5.3205440053716299E-14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198.26255998041</v>
      </c>
      <c r="GF194" s="59">
        <f t="shared" si="158"/>
        <v>238.62101708181166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8.1995135317380452</v>
      </c>
      <c r="GM194" s="21">
        <f>EXP(-LN(2)/25)*GM193+(1-EXP(-LN(2)/25))/(LN(2)/25)*Calculateur!GH194*Calculateur!GJ194*VLOOKUP('Données projet'!$B$17,Paramètres!$A$1:$I$89,3,0)*0.475*44/12</f>
        <v>1.6476170663564407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9.8471305980944859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>
        <f>GU194*VLOOKUP('Données projet'!$B$18,Paramètres!$A$1:$I$89,3,0)*VLOOKUP('Données projet'!$B$18,Paramètres!$A$1:$I$89,5,0)</f>
        <v>0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604.0566904089452</v>
      </c>
      <c r="HA194" s="59">
        <f t="shared" si="160"/>
        <v>369.5187835902687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23.983217797979393</v>
      </c>
      <c r="HH194" s="21">
        <f>EXP(-LN(2)/25)*HH193+(1-EXP(-LN(2)/25))/(LN(2)/25)*Calculateur!HC194*Calculateur!HE194*VLOOKUP('Données projet'!$B$18,Paramètres!$A$1:$I$89,3,0)*0.475*44/12</f>
        <v>4.6557558019018384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28.638973599881233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-5.1431925385259088E-14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528.20489749461376</v>
      </c>
      <c r="T195" s="59">
        <f t="shared" si="142"/>
        <v>276.26988364830532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79.277897185583797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79.277897185583797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2.0572770154103635E-13</v>
      </c>
      <c r="AK195" s="13">
        <f t="shared" si="164"/>
        <v>2.8416956338469711E-12</v>
      </c>
      <c r="AL195" s="20">
        <f t="shared" si="165"/>
        <v>5.3075956424674458E-12</v>
      </c>
      <c r="AM195" s="59">
        <f t="shared" si="113"/>
        <v>293.3333333333386</v>
      </c>
      <c r="AN195" s="59">
        <f ca="1">AVERAGE(OFFSET($AM$3,0,0,'Données projet'!$E$10+1,1))-AVERAGE(OFFSET($H$3,0,0,'Données projet'!$E$10+1,1))</f>
        <v>436.23918637269577</v>
      </c>
      <c r="AO195" s="59">
        <f t="shared" si="144"/>
        <v>611.43967996341894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3.9730105425910462</v>
      </c>
      <c r="AV195" s="21">
        <f>EXP(-LN(2)/25)*AV194+(1-EXP(-LN(2)/25))/(LN(2)/25)*Calculateur!AQ195*Calculateur!AS195*VLOOKUP('Données projet'!$B$10,Paramètres!$A$1:$I$89,3,0)*0.475*44/12</f>
        <v>0.73501467839723988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4.7080252209882865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4.4337866711430253E-14</v>
      </c>
      <c r="BF195" s="13">
        <f t="shared" si="167"/>
        <v>7.3222115536967035E-13</v>
      </c>
      <c r="BG195" s="20">
        <f t="shared" si="168"/>
        <v>1.3525069634579169E-12</v>
      </c>
      <c r="BH195" s="59">
        <f t="shared" si="116"/>
        <v>293.33333333333468</v>
      </c>
      <c r="BI195" s="59">
        <f ca="1">AVERAGE(OFFSET($BH$3,0,0,'Données projet'!$E$11+1,1))-AVERAGE(OFFSET($H$3,0,0,'Données projet'!$E$11+1,1))</f>
        <v>288.82868507674738</v>
      </c>
      <c r="BJ195" s="59">
        <f t="shared" si="146"/>
        <v>283.48738729114024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7.7405257705755934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7.7405257705755934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2.1316282072803006E-14</v>
      </c>
      <c r="BZ195" s="13">
        <f>BY195*VLOOKUP('Données projet'!$B$12,Paramètres!$A$1:$I$89,3,0)*VLOOKUP('Données projet'!$B$12,Paramètres!$A$1:$I$89,5,0)</f>
        <v>1.8621904018800709E-14</v>
      </c>
      <c r="CA195" s="13">
        <f t="shared" si="170"/>
        <v>3.40208645124969E-13</v>
      </c>
      <c r="CB195" s="20">
        <f t="shared" si="171"/>
        <v>6.2496320642539887E-13</v>
      </c>
      <c r="CC195" s="59">
        <f t="shared" si="119"/>
        <v>293.33333333333394</v>
      </c>
      <c r="CD195" s="59">
        <f ca="1">AVERAGE(OFFSET($CC$3,0,0,'Données projet'!$E$12+1,1))-AVERAGE(OFFSET($H$3,0,0,'Données projet'!$E$12+1,1))</f>
        <v>93.329407403816901</v>
      </c>
      <c r="CE195" s="59">
        <f t="shared" si="148"/>
        <v>90.925148357295313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1.8924965578628929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1.8924965578628929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-2.2737367544323206E-13</v>
      </c>
      <c r="CU195" s="17">
        <f>CT195*VLOOKUP('Données projet'!$B$13,Paramètres!$A$1:$I$89,3,0)*VLOOKUP('Données projet'!$B$13,Paramètres!$A$1:$I$89,5,0)</f>
        <v>-2.1636878955177963E-13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805.04572055352492</v>
      </c>
      <c r="CZ195" s="59">
        <f t="shared" si="150"/>
        <v>708.66645042414962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44.260745158288813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44.260745158288813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-1.1368683772161603E-13</v>
      </c>
      <c r="DP195" s="17">
        <f>DO195*VLOOKUP('Données projet'!$B$14,Paramètres!$A$1:$I$89,3,0)*VLOOKUP('Données projet'!$B$14,Paramètres!$A$1:$I$89,5,0)</f>
        <v>-7.626113074366004E-14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482.69499576870095</v>
      </c>
      <c r="DU195" s="59">
        <f t="shared" si="152"/>
        <v>384.28918352579575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27.379460775797053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27.379460775797053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1.7053025658242404E-13</v>
      </c>
      <c r="EK195" s="17">
        <f>EJ195*VLOOKUP('Données projet'!$B$15,Paramètres!$A$1:$I$89,3,0)*VLOOKUP('Données projet'!$B$15,Paramètres!$A$1:$I$89,5,0)</f>
        <v>1.250327841262333E-13</v>
      </c>
      <c r="EL195" s="13">
        <f t="shared" si="179"/>
        <v>1.8301318724634299E-12</v>
      </c>
      <c r="EM195" s="20">
        <f t="shared" si="180"/>
        <v>3.405245110226996E-12</v>
      </c>
      <c r="EN195" s="59">
        <f t="shared" si="128"/>
        <v>293.33333333333672</v>
      </c>
      <c r="EO195" s="59">
        <f ca="1">AVERAGE(OFFSET($EN$3,0,0,'Données projet'!$E$15+1,1))-AVERAGE(OFFSET($H$3,0,0,'Données projet'!$E$15+1,1))</f>
        <v>197.34725966440715</v>
      </c>
      <c r="EP195" s="59">
        <f t="shared" si="154"/>
        <v>240.16326570529532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2.6283020315777295</v>
      </c>
      <c r="EW195" s="21">
        <f>EXP(-LN(2)/25)*EW194+(1-EXP(-LN(2)/25))/(LN(2)/25)*Calculateur!ER195*Calculateur!ET195*VLOOKUP('Données projet'!$B$15,Paramètres!$A$1:$I$89,3,0)*0.475*44/12</f>
        <v>0.60073856836245121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3.2290405999401806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2.2737367544323206E-13</v>
      </c>
      <c r="FF195" s="17">
        <f>FE195*VLOOKUP('Données projet'!$B$16,Paramètres!$A$1:$I$89,3,0)*VLOOKUP('Données projet'!$B$16,Paramètres!$A$1:$I$89,5,0)</f>
        <v>1.2710188457276673E-13</v>
      </c>
      <c r="FG195" s="13">
        <f t="shared" si="182"/>
        <v>1.856866851063998E-12</v>
      </c>
      <c r="FH195" s="20">
        <f t="shared" si="183"/>
        <v>3.4554122145673649E-12</v>
      </c>
      <c r="FI195" s="59">
        <f t="shared" si="131"/>
        <v>293.33333333333678</v>
      </c>
      <c r="FJ195" s="59">
        <f ca="1">AVERAGE(OFFSET($FI$3,0,0,'Données projet'!$E$16+1,1))-AVERAGE(OFFSET($H$3,0,0,'Données projet'!$E$16+1,1))</f>
        <v>346.42094266871379</v>
      </c>
      <c r="FK195" s="59">
        <f t="shared" si="156"/>
        <v>453.48153556975973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12.541515725875797</v>
      </c>
      <c r="FR195" s="21">
        <f>EXP(-LN(2)/25)*FR194+(1-EXP(-LN(2)/25))/(LN(2)/25)*Calculateur!FM195*Calculateur!FO195*VLOOKUP('Données projet'!$B$16,Paramètres!$A$1:$I$89,3,0)*0.475*44/12</f>
        <v>2.715415854446551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15.256931580322348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-1.1368683772161603E-13</v>
      </c>
      <c r="GA195" s="17">
        <f>FZ195*VLOOKUP('Données projet'!$B$17,Paramètres!$A$1:$I$89,3,0)*VLOOKUP('Données projet'!$B$17,Paramètres!$A$1:$I$89,5,0)</f>
        <v>-5.3205440053716299E-14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198.26255998041</v>
      </c>
      <c r="GF195" s="59">
        <f t="shared" si="158"/>
        <v>238.62101708181166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8.0387260725900873</v>
      </c>
      <c r="GM195" s="21">
        <f>EXP(-LN(2)/25)*GM194+(1-EXP(-LN(2)/25))/(LN(2)/25)*Calculateur!GH195*Calculateur!GJ195*VLOOKUP('Données projet'!$B$17,Paramètres!$A$1:$I$89,3,0)*0.475*44/12</f>
        <v>1.602562891032508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9.6412889636225962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>
        <f>GU195*VLOOKUP('Données projet'!$B$18,Paramètres!$A$1:$I$89,3,0)*VLOOKUP('Données projet'!$B$18,Paramètres!$A$1:$I$89,5,0)</f>
        <v>0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604.0566904089452</v>
      </c>
      <c r="HA195" s="59">
        <f t="shared" si="160"/>
        <v>369.5187835902687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23.512921525279445</v>
      </c>
      <c r="HH195" s="21">
        <f>EXP(-LN(2)/25)*HH194+(1-EXP(-LN(2)/25))/(LN(2)/25)*Calculateur!HC195*Calculateur!HE195*VLOOKUP('Données projet'!$B$18,Paramètres!$A$1:$I$89,3,0)*0.475*44/12</f>
        <v>4.528443914663276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28.041365439942723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-5.1431925385259088E-14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528.20489749461376</v>
      </c>
      <c r="T196" s="59">
        <f t="shared" si="142"/>
        <v>276.26988364830532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77.723305976517153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77.723305976517153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2.0572770154103635E-13</v>
      </c>
      <c r="AK196" s="13">
        <f t="shared" si="164"/>
        <v>2.8416956338469711E-12</v>
      </c>
      <c r="AL196" s="20">
        <f t="shared" si="165"/>
        <v>5.3075956424674458E-12</v>
      </c>
      <c r="AM196" s="59">
        <f t="shared" ref="AM196:AM203" si="193">AL196+(AD196+AE196)*44/12</f>
        <v>293.3333333333386</v>
      </c>
      <c r="AN196" s="59">
        <f ca="1">AVERAGE(OFFSET($AM$3,0,0,'Données projet'!$E$10+1,1))-AVERAGE(OFFSET($H$3,0,0,'Données projet'!$E$10+1,1))</f>
        <v>436.23918637269577</v>
      </c>
      <c r="AO196" s="59">
        <f t="shared" si="144"/>
        <v>611.43967996341894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3.895102229147986</v>
      </c>
      <c r="AV196" s="21">
        <f>EXP(-LN(2)/25)*AV195+(1-EXP(-LN(2)/25))/(LN(2)/25)*Calculateur!AQ196*Calculateur!AS196*VLOOKUP('Données projet'!$B$10,Paramètres!$A$1:$I$89,3,0)*0.475*44/12</f>
        <v>0.71491566336372536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4.6100178925117117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4.4337866711430253E-14</v>
      </c>
      <c r="BF196" s="13">
        <f t="shared" si="167"/>
        <v>7.3222115536967035E-13</v>
      </c>
      <c r="BG196" s="20">
        <f t="shared" si="168"/>
        <v>1.3525069634579169E-12</v>
      </c>
      <c r="BH196" s="59">
        <f t="shared" ref="BH196:BH203" si="194">BG196+(AY196+AZ196)*44/12</f>
        <v>293.33333333333468</v>
      </c>
      <c r="BI196" s="59">
        <f ca="1">AVERAGE(OFFSET($BH$3,0,0,'Données projet'!$E$11+1,1))-AVERAGE(OFFSET($H$3,0,0,'Données projet'!$E$11+1,1))</f>
        <v>288.82868507674738</v>
      </c>
      <c r="BJ196" s="59">
        <f t="shared" si="146"/>
        <v>283.48738729114024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7.5887387814691412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7.5887387814691412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2.1316282072803006E-14</v>
      </c>
      <c r="BZ196" s="13">
        <f>BY196*VLOOKUP('Données projet'!$B$12,Paramètres!$A$1:$I$89,3,0)*VLOOKUP('Données projet'!$B$12,Paramètres!$A$1:$I$89,5,0)</f>
        <v>1.8621904018800709E-14</v>
      </c>
      <c r="CA196" s="13">
        <f t="shared" si="170"/>
        <v>3.40208645124969E-13</v>
      </c>
      <c r="CB196" s="20">
        <f t="shared" si="171"/>
        <v>6.2496320642539887E-13</v>
      </c>
      <c r="CC196" s="59">
        <f t="shared" ref="CC196:CC203" si="195">CB196+(BT196+BU196)*44/12</f>
        <v>293.33333333333394</v>
      </c>
      <c r="CD196" s="59">
        <f ca="1">AVERAGE(OFFSET($CC$3,0,0,'Données projet'!$E$12+1,1))-AVERAGE(OFFSET($H$3,0,0,'Données projet'!$E$12+1,1))</f>
        <v>93.329407403816901</v>
      </c>
      <c r="CE196" s="59">
        <f t="shared" si="148"/>
        <v>90.925148357295313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1.8553858546721234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1.8553858546721234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-2.2737367544323206E-13</v>
      </c>
      <c r="CU196" s="17">
        <f>CT196*VLOOKUP('Données projet'!$B$13,Paramètres!$A$1:$I$89,3,0)*VLOOKUP('Données projet'!$B$13,Paramètres!$A$1:$I$89,5,0)</f>
        <v>-2.1636878955177963E-13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805.04572055352492</v>
      </c>
      <c r="CZ196" s="59">
        <f t="shared" si="150"/>
        <v>708.66645042414962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43.392818942123647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43.392818942123647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-1.1368683772161603E-13</v>
      </c>
      <c r="DP196" s="17">
        <f>DO196*VLOOKUP('Données projet'!$B$14,Paramètres!$A$1:$I$89,3,0)*VLOOKUP('Données projet'!$B$14,Paramètres!$A$1:$I$89,5,0)</f>
        <v>-7.626113074366004E-14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482.69499576870095</v>
      </c>
      <c r="DU196" s="59">
        <f t="shared" si="152"/>
        <v>384.28918352579575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26.842566249805774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26.842566249805774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1.7053025658242404E-13</v>
      </c>
      <c r="EK196" s="17">
        <f>EJ196*VLOOKUP('Données projet'!$B$15,Paramètres!$A$1:$I$89,3,0)*VLOOKUP('Données projet'!$B$15,Paramètres!$A$1:$I$89,5,0)</f>
        <v>1.250327841262333E-13</v>
      </c>
      <c r="EL196" s="13">
        <f t="shared" si="179"/>
        <v>1.8301318724634299E-12</v>
      </c>
      <c r="EM196" s="20">
        <f t="shared" si="180"/>
        <v>3.405245110226996E-12</v>
      </c>
      <c r="EN196" s="59">
        <f t="shared" ref="EN196:EN203" si="198">EM196+(EE196+EF196)*44/12</f>
        <v>293.33333333333672</v>
      </c>
      <c r="EO196" s="59">
        <f ca="1">AVERAGE(OFFSET($EN$3,0,0,'Données projet'!$E$15+1,1))-AVERAGE(OFFSET($H$3,0,0,'Données projet'!$E$15+1,1))</f>
        <v>197.34725966440715</v>
      </c>
      <c r="EP196" s="59">
        <f t="shared" si="154"/>
        <v>240.16326570529532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2.5767626318444359</v>
      </c>
      <c r="EW196" s="21">
        <f>EXP(-LN(2)/25)*EW195+(1-EXP(-LN(2)/25))/(LN(2)/25)*Calculateur!ER196*Calculateur!ET196*VLOOKUP('Données projet'!$B$15,Paramètres!$A$1:$I$89,3,0)*0.475*44/12</f>
        <v>0.58431134061911172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3.1610739724635475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2.2737367544323206E-13</v>
      </c>
      <c r="FF196" s="17">
        <f>FE196*VLOOKUP('Données projet'!$B$16,Paramètres!$A$1:$I$89,3,0)*VLOOKUP('Données projet'!$B$16,Paramètres!$A$1:$I$89,5,0)</f>
        <v>1.2710188457276673E-13</v>
      </c>
      <c r="FG196" s="13">
        <f t="shared" si="182"/>
        <v>1.856866851063998E-12</v>
      </c>
      <c r="FH196" s="20">
        <f t="shared" si="183"/>
        <v>3.4554122145673649E-12</v>
      </c>
      <c r="FI196" s="59">
        <f t="shared" ref="FI196:FI203" si="199">FH196+(EZ196+FA196)*44/12</f>
        <v>293.33333333333678</v>
      </c>
      <c r="FJ196" s="59">
        <f ca="1">AVERAGE(OFFSET($FI$3,0,0,'Données projet'!$E$16+1,1))-AVERAGE(OFFSET($H$3,0,0,'Données projet'!$E$16+1,1))</f>
        <v>346.42094266871379</v>
      </c>
      <c r="FK196" s="59">
        <f t="shared" si="156"/>
        <v>453.48153556975973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12.295584252060634</v>
      </c>
      <c r="FR196" s="21">
        <f>EXP(-LN(2)/25)*FR195+(1-EXP(-LN(2)/25))/(LN(2)/25)*Calculateur!FM196*Calculateur!FO196*VLOOKUP('Données projet'!$B$16,Paramètres!$A$1:$I$89,3,0)*0.475*44/12</f>
        <v>2.6411626651091966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14.936746917169831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-1.1368683772161603E-13</v>
      </c>
      <c r="GA196" s="17">
        <f>FZ196*VLOOKUP('Données projet'!$B$17,Paramètres!$A$1:$I$89,3,0)*VLOOKUP('Données projet'!$B$17,Paramètres!$A$1:$I$89,5,0)</f>
        <v>-5.3205440053716299E-14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198.26255998041</v>
      </c>
      <c r="GF196" s="59">
        <f t="shared" si="158"/>
        <v>238.62101708181166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7.8810915574453553</v>
      </c>
      <c r="GM196" s="21">
        <f>EXP(-LN(2)/25)*GM195+(1-EXP(-LN(2)/25))/(LN(2)/25)*Calculateur!GH196*Calculateur!GJ196*VLOOKUP('Données projet'!$B$17,Paramètres!$A$1:$I$89,3,0)*0.475*44/12</f>
        <v>1.5587407245021043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9.43983228194746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>
        <f>GU196*VLOOKUP('Données projet'!$B$18,Paramètres!$A$1:$I$89,3,0)*VLOOKUP('Données projet'!$B$18,Paramètres!$A$1:$I$89,5,0)</f>
        <v>0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604.0566904089452</v>
      </c>
      <c r="HA196" s="59">
        <f t="shared" si="160"/>
        <v>369.5187835902687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23.051847475634744</v>
      </c>
      <c r="HH196" s="21">
        <f>EXP(-LN(2)/25)*HH195+(1-EXP(-LN(2)/25))/(LN(2)/25)*Calculateur!HC196*Calculateur!HE196*VLOOKUP('Données projet'!$B$18,Paramètres!$A$1:$I$89,3,0)*0.475*44/12</f>
        <v>4.4046133776762932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27.456460853311036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-5.1431925385259088E-14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528.20489749461376</v>
      </c>
      <c r="T197" s="59">
        <f t="shared" ref="T197:T203" si="204">$T$3</f>
        <v>276.26988364830532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76.199199352853284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76.199199352853284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2.0572770154103635E-13</v>
      </c>
      <c r="AK197" s="13">
        <f t="shared" si="164"/>
        <v>2.8416956338469711E-12</v>
      </c>
      <c r="AL197" s="20">
        <f t="shared" si="165"/>
        <v>5.3075956424674458E-12</v>
      </c>
      <c r="AM197" s="59">
        <f t="shared" si="193"/>
        <v>293.3333333333386</v>
      </c>
      <c r="AN197" s="59">
        <f ca="1">AVERAGE(OFFSET($AM$3,0,0,'Données projet'!$E$10+1,1))-AVERAGE(OFFSET($H$3,0,0,'Données projet'!$E$10+1,1))</f>
        <v>436.23918637269577</v>
      </c>
      <c r="AO197" s="59">
        <f t="shared" ref="AO197:AO203" si="205">$AO$3</f>
        <v>611.43967996341894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3.818721650212165</v>
      </c>
      <c r="AV197" s="21">
        <f>EXP(-LN(2)/25)*AV196+(1-EXP(-LN(2)/25))/(LN(2)/25)*Calculateur!AQ197*Calculateur!AS197*VLOOKUP('Données projet'!$B$10,Paramètres!$A$1:$I$89,3,0)*0.475*44/12</f>
        <v>0.69536625695326348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4.514087907165429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4.4337866711430253E-14</v>
      </c>
      <c r="BF197" s="13">
        <f t="shared" si="167"/>
        <v>7.3222115536967035E-13</v>
      </c>
      <c r="BG197" s="20">
        <f t="shared" si="168"/>
        <v>1.3525069634579169E-12</v>
      </c>
      <c r="BH197" s="59">
        <f t="shared" si="194"/>
        <v>293.33333333333468</v>
      </c>
      <c r="BI197" s="59">
        <f ca="1">AVERAGE(OFFSET($BH$3,0,0,'Données projet'!$E$11+1,1))-AVERAGE(OFFSET($H$3,0,0,'Données projet'!$E$11+1,1))</f>
        <v>288.82868507674738</v>
      </c>
      <c r="BJ197" s="59">
        <f t="shared" ref="BJ197:BJ203" si="206">$BJ$3</f>
        <v>283.48738729114024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7.4399282426381443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7.4399282426381443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2.1316282072803006E-14</v>
      </c>
      <c r="BZ197" s="13">
        <f>BY197*VLOOKUP('Données projet'!$B$12,Paramètres!$A$1:$I$89,3,0)*VLOOKUP('Données projet'!$B$12,Paramètres!$A$1:$I$89,5,0)</f>
        <v>1.8621904018800709E-14</v>
      </c>
      <c r="CA197" s="13">
        <f t="shared" si="170"/>
        <v>3.40208645124969E-13</v>
      </c>
      <c r="CB197" s="20">
        <f t="shared" si="171"/>
        <v>6.2496320642539887E-13</v>
      </c>
      <c r="CC197" s="59">
        <f t="shared" si="195"/>
        <v>293.33333333333394</v>
      </c>
      <c r="CD197" s="59">
        <f ca="1">AVERAGE(OFFSET($CC$3,0,0,'Données projet'!$E$12+1,1))-AVERAGE(OFFSET($H$3,0,0,'Données projet'!$E$12+1,1))</f>
        <v>93.329407403816901</v>
      </c>
      <c r="CE197" s="59">
        <f t="shared" ref="CE197:CE203" si="207">$CE$3</f>
        <v>90.925148357295313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1.8190028697356309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1.8190028697356309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-2.2737367544323206E-13</v>
      </c>
      <c r="CU197" s="17">
        <f>CT197*VLOOKUP('Données projet'!$B$13,Paramètres!$A$1:$I$89,3,0)*VLOOKUP('Données projet'!$B$13,Paramètres!$A$1:$I$89,5,0)</f>
        <v>-2.1636878955177963E-13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805.04572055352492</v>
      </c>
      <c r="CZ197" s="59">
        <f t="shared" ref="CZ197:CZ203" si="208">$CZ$3</f>
        <v>708.66645042414962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42.541912229674757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42.541912229674757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-1.1368683772161603E-13</v>
      </c>
      <c r="DP197" s="17">
        <f>DO197*VLOOKUP('Données projet'!$B$14,Paramètres!$A$1:$I$89,3,0)*VLOOKUP('Données projet'!$B$14,Paramètres!$A$1:$I$89,5,0)</f>
        <v>-7.626113074366004E-14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482.69499576870095</v>
      </c>
      <c r="DU197" s="59">
        <f t="shared" ref="DU197:DU203" si="209">$DU$3</f>
        <v>384.28918352579575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26.316199897995858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26.316199897995858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1.7053025658242404E-13</v>
      </c>
      <c r="EK197" s="17">
        <f>EJ197*VLOOKUP('Données projet'!$B$15,Paramètres!$A$1:$I$89,3,0)*VLOOKUP('Données projet'!$B$15,Paramètres!$A$1:$I$89,5,0)</f>
        <v>1.250327841262333E-13</v>
      </c>
      <c r="EL197" s="13">
        <f t="shared" si="179"/>
        <v>1.8301318724634299E-12</v>
      </c>
      <c r="EM197" s="20">
        <f t="shared" si="180"/>
        <v>3.405245110226996E-12</v>
      </c>
      <c r="EN197" s="59">
        <f t="shared" si="198"/>
        <v>293.33333333333672</v>
      </c>
      <c r="EO197" s="59">
        <f ca="1">AVERAGE(OFFSET($EN$3,0,0,'Données projet'!$E$15+1,1))-AVERAGE(OFFSET($H$3,0,0,'Données projet'!$E$15+1,1))</f>
        <v>197.34725966440715</v>
      </c>
      <c r="EP197" s="59">
        <f t="shared" ref="EP197:EP203" si="210">$EP$3</f>
        <v>240.16326570529532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2.5262338883039823</v>
      </c>
      <c r="EW197" s="21">
        <f>EXP(-LN(2)/25)*EW196+(1-EXP(-LN(2)/25))/(LN(2)/25)*Calculateur!ER197*Calculateur!ET197*VLOOKUP('Données projet'!$B$15,Paramètres!$A$1:$I$89,3,0)*0.475*44/12</f>
        <v>0.56833331628228412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3.0945672045862667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2.2737367544323206E-13</v>
      </c>
      <c r="FF197" s="17">
        <f>FE197*VLOOKUP('Données projet'!$B$16,Paramètres!$A$1:$I$89,3,0)*VLOOKUP('Données projet'!$B$16,Paramètres!$A$1:$I$89,5,0)</f>
        <v>1.2710188457276673E-13</v>
      </c>
      <c r="FG197" s="13">
        <f t="shared" si="182"/>
        <v>1.856866851063998E-12</v>
      </c>
      <c r="FH197" s="20">
        <f t="shared" si="183"/>
        <v>3.4554122145673649E-12</v>
      </c>
      <c r="FI197" s="59">
        <f t="shared" si="199"/>
        <v>293.33333333333678</v>
      </c>
      <c r="FJ197" s="59">
        <f ca="1">AVERAGE(OFFSET($FI$3,0,0,'Données projet'!$E$16+1,1))-AVERAGE(OFFSET($H$3,0,0,'Données projet'!$E$16+1,1))</f>
        <v>346.42094266871379</v>
      </c>
      <c r="FK197" s="59">
        <f t="shared" ref="FK197:FK203" si="211">$FK$3</f>
        <v>453.48153556975973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12.054475344443597</v>
      </c>
      <c r="FR197" s="21">
        <f>EXP(-LN(2)/25)*FR196+(1-EXP(-LN(2)/25))/(LN(2)/25)*Calculateur!FM197*Calculateur!FO197*VLOOKUP('Données projet'!$B$16,Paramètres!$A$1:$I$89,3,0)*0.475*44/12</f>
        <v>2.5689399331390774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14.623415277582675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-1.1368683772161603E-13</v>
      </c>
      <c r="GA197" s="17">
        <f>FZ197*VLOOKUP('Données projet'!$B$17,Paramètres!$A$1:$I$89,3,0)*VLOOKUP('Données projet'!$B$17,Paramètres!$A$1:$I$89,5,0)</f>
        <v>-5.3205440053716299E-14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198.26255998041</v>
      </c>
      <c r="GF197" s="59">
        <f t="shared" ref="GF197:GF203" si="212">$GF$3</f>
        <v>238.62101708181166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7.7265481589950511</v>
      </c>
      <c r="GM197" s="21">
        <f>EXP(-LN(2)/25)*GM196+(1-EXP(-LN(2)/25))/(LN(2)/25)*Calculateur!GH197*Calculateur!GJ197*VLOOKUP('Données projet'!$B$17,Paramètres!$A$1:$I$89,3,0)*0.475*44/12</f>
        <v>1.516116877419982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9.2426650364150333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>
        <f>GU197*VLOOKUP('Données projet'!$B$18,Paramètres!$A$1:$I$89,3,0)*VLOOKUP('Données projet'!$B$18,Paramètres!$A$1:$I$89,5,0)</f>
        <v>0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604.0566904089452</v>
      </c>
      <c r="HA197" s="59">
        <f t="shared" ref="HA197:HA203" si="213">$HA$3</f>
        <v>369.5187835902687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22.599814806876175</v>
      </c>
      <c r="HH197" s="21">
        <f>EXP(-LN(2)/25)*HH196+(1-EXP(-LN(2)/25))/(LN(2)/25)*Calculateur!HC197*Calculateur!HE197*VLOOKUP('Données projet'!$B$18,Paramètres!$A$1:$I$89,3,0)*0.475*44/12</f>
        <v>4.2841689932351841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26.883983800111359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-5.1431925385259088E-14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528.20489749461376</v>
      </c>
      <c r="T198" s="59">
        <f t="shared" si="204"/>
        <v>276.26988364830532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74.704979530466218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74.704979530466218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2.0572770154103635E-13</v>
      </c>
      <c r="AK198" s="13">
        <f t="shared" si="164"/>
        <v>2.8416956338469711E-12</v>
      </c>
      <c r="AL198" s="20">
        <f t="shared" si="165"/>
        <v>5.3075956424674458E-12</v>
      </c>
      <c r="AM198" s="59">
        <f t="shared" si="193"/>
        <v>293.3333333333386</v>
      </c>
      <c r="AN198" s="59">
        <f ca="1">AVERAGE(OFFSET($AM$3,0,0,'Données projet'!$E$10+1,1))-AVERAGE(OFFSET($H$3,0,0,'Données projet'!$E$10+1,1))</f>
        <v>436.23918637269577</v>
      </c>
      <c r="AO198" s="59">
        <f t="shared" si="205"/>
        <v>611.43967996341894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3.7438388478417228</v>
      </c>
      <c r="AV198" s="21">
        <f>EXP(-LN(2)/25)*AV197+(1-EXP(-LN(2)/25))/(LN(2)/25)*Calculateur!AQ198*Calculateur!AS198*VLOOKUP('Données projet'!$B$10,Paramètres!$A$1:$I$89,3,0)*0.475*44/12</f>
        <v>0.67635143008915433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4.4201902779308773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4.4337866711430253E-14</v>
      </c>
      <c r="BF198" s="13">
        <f t="shared" si="167"/>
        <v>7.3222115536967035E-13</v>
      </c>
      <c r="BG198" s="20">
        <f t="shared" si="168"/>
        <v>1.3525069634579169E-12</v>
      </c>
      <c r="BH198" s="59">
        <f t="shared" si="194"/>
        <v>293.33333333333468</v>
      </c>
      <c r="BI198" s="59">
        <f ca="1">AVERAGE(OFFSET($BH$3,0,0,'Données projet'!$E$11+1,1))-AVERAGE(OFFSET($H$3,0,0,'Données projet'!$E$11+1,1))</f>
        <v>288.82868507674738</v>
      </c>
      <c r="BJ198" s="59">
        <f t="shared" si="206"/>
        <v>283.48738729114024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7.2940357877081574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7.2940357877081574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2.1316282072803006E-14</v>
      </c>
      <c r="BZ198" s="13">
        <f>BY198*VLOOKUP('Données projet'!$B$12,Paramètres!$A$1:$I$89,3,0)*VLOOKUP('Données projet'!$B$12,Paramètres!$A$1:$I$89,5,0)</f>
        <v>1.8621904018800709E-14</v>
      </c>
      <c r="CA198" s="13">
        <f t="shared" si="170"/>
        <v>3.40208645124969E-13</v>
      </c>
      <c r="CB198" s="20">
        <f t="shared" si="171"/>
        <v>6.2496320642539887E-13</v>
      </c>
      <c r="CC198" s="59">
        <f t="shared" si="195"/>
        <v>293.33333333333394</v>
      </c>
      <c r="CD198" s="59">
        <f ca="1">AVERAGE(OFFSET($CC$3,0,0,'Données projet'!$E$12+1,1))-AVERAGE(OFFSET($H$3,0,0,'Données projet'!$E$12+1,1))</f>
        <v>93.329407403816901</v>
      </c>
      <c r="CE198" s="59">
        <f t="shared" si="207"/>
        <v>90.925148357295313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1.7833333329423133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1.7833333329423133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-2.2737367544323206E-13</v>
      </c>
      <c r="CU198" s="17">
        <f>CT198*VLOOKUP('Données projet'!$B$13,Paramètres!$A$1:$I$89,3,0)*VLOOKUP('Données projet'!$B$13,Paramètres!$A$1:$I$89,5,0)</f>
        <v>-2.1636878955177963E-13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805.04572055352492</v>
      </c>
      <c r="CZ198" s="59">
        <f t="shared" si="208"/>
        <v>708.66645042414962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41.707691278855144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41.707691278855144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-1.1368683772161603E-13</v>
      </c>
      <c r="DP198" s="17">
        <f>DO198*VLOOKUP('Données projet'!$B$14,Paramètres!$A$1:$I$89,3,0)*VLOOKUP('Données projet'!$B$14,Paramètres!$A$1:$I$89,5,0)</f>
        <v>-7.626113074366004E-14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482.69499576870095</v>
      </c>
      <c r="DU198" s="59">
        <f t="shared" si="209"/>
        <v>384.28918352579575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25.800155269293164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25.800155269293164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1.7053025658242404E-13</v>
      </c>
      <c r="EK198" s="17">
        <f>EJ198*VLOOKUP('Données projet'!$B$15,Paramètres!$A$1:$I$89,3,0)*VLOOKUP('Données projet'!$B$15,Paramètres!$A$1:$I$89,5,0)</f>
        <v>1.250327841262333E-13</v>
      </c>
      <c r="EL198" s="13">
        <f t="shared" si="179"/>
        <v>1.8301318724634299E-12</v>
      </c>
      <c r="EM198" s="20">
        <f t="shared" si="180"/>
        <v>3.405245110226996E-12</v>
      </c>
      <c r="EN198" s="59">
        <f t="shared" si="198"/>
        <v>293.33333333333672</v>
      </c>
      <c r="EO198" s="59">
        <f ca="1">AVERAGE(OFFSET($EN$3,0,0,'Données projet'!$E$15+1,1))-AVERAGE(OFFSET($H$3,0,0,'Données projet'!$E$15+1,1))</f>
        <v>197.34725966440715</v>
      </c>
      <c r="EP198" s="59">
        <f t="shared" si="210"/>
        <v>240.16326570529532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2.4766959826048667</v>
      </c>
      <c r="EW198" s="21">
        <f>EXP(-LN(2)/25)*EW197+(1-EXP(-LN(2)/25))/(LN(2)/25)*Calculateur!ER198*Calculateur!ET198*VLOOKUP('Données projet'!$B$15,Paramètres!$A$1:$I$89,3,0)*0.475*44/12</f>
        <v>0.55279221186119487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3.0294881944660617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2.2737367544323206E-13</v>
      </c>
      <c r="FF198" s="17">
        <f>FE198*VLOOKUP('Données projet'!$B$16,Paramètres!$A$1:$I$89,3,0)*VLOOKUP('Données projet'!$B$16,Paramètres!$A$1:$I$89,5,0)</f>
        <v>1.2710188457276673E-13</v>
      </c>
      <c r="FG198" s="13">
        <f t="shared" si="182"/>
        <v>1.856866851063998E-12</v>
      </c>
      <c r="FH198" s="20">
        <f t="shared" si="183"/>
        <v>3.4554122145673649E-12</v>
      </c>
      <c r="FI198" s="59">
        <f t="shared" si="199"/>
        <v>293.33333333333678</v>
      </c>
      <c r="FJ198" s="59">
        <f ca="1">AVERAGE(OFFSET($FI$3,0,0,'Données projet'!$E$16+1,1))-AVERAGE(OFFSET($H$3,0,0,'Données projet'!$E$16+1,1))</f>
        <v>346.42094266871379</v>
      </c>
      <c r="FK198" s="59">
        <f t="shared" si="211"/>
        <v>453.48153556975973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11.818094435443019</v>
      </c>
      <c r="FR198" s="21">
        <f>EXP(-LN(2)/25)*FR197+(1-EXP(-LN(2)/25))/(LN(2)/25)*Calculateur!FM198*Calculateur!FO198*VLOOKUP('Données projet'!$B$16,Paramètres!$A$1:$I$89,3,0)*0.475*44/12</f>
        <v>2.4986921355727096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14.316786571015729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-1.1368683772161603E-13</v>
      </c>
      <c r="GA198" s="17">
        <f>FZ198*VLOOKUP('Données projet'!$B$17,Paramètres!$A$1:$I$89,3,0)*VLOOKUP('Données projet'!$B$17,Paramètres!$A$1:$I$89,5,0)</f>
        <v>-5.3205440053716299E-14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198.26255998041</v>
      </c>
      <c r="GF198" s="59">
        <f t="shared" si="212"/>
        <v>238.62101708181166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7.5750352623261916</v>
      </c>
      <c r="GM198" s="21">
        <f>EXP(-LN(2)/25)*GM197+(1-EXP(-LN(2)/25))/(LN(2)/25)*Calculateur!GH198*Calculateur!GJ198*VLOOKUP('Données projet'!$B$17,Paramètres!$A$1:$I$89,3,0)*0.475*44/12</f>
        <v>1.4746585816778111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9.0496938440040022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>
        <f>GU198*VLOOKUP('Données projet'!$B$18,Paramètres!$A$1:$I$89,3,0)*VLOOKUP('Données projet'!$B$18,Paramètres!$A$1:$I$89,5,0)</f>
        <v>0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604.0566904089452</v>
      </c>
      <c r="HA198" s="59">
        <f t="shared" si="213"/>
        <v>369.5187835902687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22.156646223039257</v>
      </c>
      <c r="HH198" s="21">
        <f>EXP(-LN(2)/25)*HH197+(1-EXP(-LN(2)/25))/(LN(2)/25)*Calculateur!HC198*Calculateur!HE198*VLOOKUP('Données projet'!$B$18,Paramètres!$A$1:$I$89,3,0)*0.475*44/12</f>
        <v>4.1670181668205126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26.323664389859768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-5.1431925385259088E-14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528.20489749461376</v>
      </c>
      <c r="T199" s="59">
        <f t="shared" si="204"/>
        <v>276.26988364830532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73.240060447412063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73.240060447412063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2.0572770154103635E-13</v>
      </c>
      <c r="AK199" s="13">
        <f t="shared" si="164"/>
        <v>2.8416956338469711E-12</v>
      </c>
      <c r="AL199" s="20">
        <f t="shared" si="165"/>
        <v>5.3075956424674458E-12</v>
      </c>
      <c r="AM199" s="59">
        <f t="shared" si="193"/>
        <v>293.3333333333386</v>
      </c>
      <c r="AN199" s="59">
        <f ca="1">AVERAGE(OFFSET($AM$3,0,0,'Données projet'!$E$10+1,1))-AVERAGE(OFFSET($H$3,0,0,'Données projet'!$E$10+1,1))</f>
        <v>436.23918637269577</v>
      </c>
      <c r="AO199" s="59">
        <f t="shared" si="205"/>
        <v>611.43967996341894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3.6704244515517654</v>
      </c>
      <c r="AV199" s="21">
        <f>EXP(-LN(2)/25)*AV198+(1-EXP(-LN(2)/25))/(LN(2)/25)*Calculateur!AQ199*Calculateur!AS199*VLOOKUP('Données projet'!$B$10,Paramètres!$A$1:$I$89,3,0)*0.475*44/12</f>
        <v>0.6578565646655905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4.3282810162173559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4.4337866711430253E-14</v>
      </c>
      <c r="BF199" s="13">
        <f t="shared" si="167"/>
        <v>7.3222115536967035E-13</v>
      </c>
      <c r="BG199" s="20">
        <f t="shared" si="168"/>
        <v>1.3525069634579169E-12</v>
      </c>
      <c r="BH199" s="59">
        <f t="shared" si="194"/>
        <v>293.33333333333468</v>
      </c>
      <c r="BI199" s="59">
        <f ca="1">AVERAGE(OFFSET($BH$3,0,0,'Données projet'!$E$11+1,1))-AVERAGE(OFFSET($H$3,0,0,'Données projet'!$E$11+1,1))</f>
        <v>288.82868507674738</v>
      </c>
      <c r="BJ199" s="59">
        <f t="shared" si="206"/>
        <v>283.48738729114024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7.1510041948337362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7.1510041948337362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2.1316282072803006E-14</v>
      </c>
      <c r="BZ199" s="13">
        <f>BY199*VLOOKUP('Données projet'!$B$12,Paramètres!$A$1:$I$89,3,0)*VLOOKUP('Données projet'!$B$12,Paramètres!$A$1:$I$89,5,0)</f>
        <v>1.8621904018800709E-14</v>
      </c>
      <c r="CA199" s="13">
        <f t="shared" si="170"/>
        <v>3.40208645124969E-13</v>
      </c>
      <c r="CB199" s="20">
        <f t="shared" si="171"/>
        <v>6.2496320642539887E-13</v>
      </c>
      <c r="CC199" s="59">
        <f t="shared" si="195"/>
        <v>293.33333333333394</v>
      </c>
      <c r="CD199" s="59">
        <f ca="1">AVERAGE(OFFSET($CC$3,0,0,'Données projet'!$E$12+1,1))-AVERAGE(OFFSET($H$3,0,0,'Données projet'!$E$12+1,1))</f>
        <v>93.329407403816901</v>
      </c>
      <c r="CE199" s="59">
        <f t="shared" si="207"/>
        <v>90.925148357295313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1.7483632540092438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1.7483632540092438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-2.2737367544323206E-13</v>
      </c>
      <c r="CU199" s="17">
        <f>CT199*VLOOKUP('Données projet'!$B$13,Paramètres!$A$1:$I$89,3,0)*VLOOKUP('Données projet'!$B$13,Paramètres!$A$1:$I$89,5,0)</f>
        <v>-2.1636878955177963E-13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805.04572055352492</v>
      </c>
      <c r="CZ199" s="59">
        <f t="shared" si="208"/>
        <v>708.66645042414962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40.889828892056563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40.889828892056563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-1.1368683772161603E-13</v>
      </c>
      <c r="DP199" s="17">
        <f>DO199*VLOOKUP('Données projet'!$B$14,Paramètres!$A$1:$I$89,3,0)*VLOOKUP('Données projet'!$B$14,Paramètres!$A$1:$I$89,5,0)</f>
        <v>-7.626113074366004E-14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482.69499576870095</v>
      </c>
      <c r="DU199" s="59">
        <f t="shared" si="209"/>
        <v>384.28918352579575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25.294229961003186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25.294229961003186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1.7053025658242404E-13</v>
      </c>
      <c r="EK199" s="17">
        <f>EJ199*VLOOKUP('Données projet'!$B$15,Paramètres!$A$1:$I$89,3,0)*VLOOKUP('Données projet'!$B$15,Paramètres!$A$1:$I$89,5,0)</f>
        <v>1.250327841262333E-13</v>
      </c>
      <c r="EL199" s="13">
        <f t="shared" si="179"/>
        <v>1.8301318724634299E-12</v>
      </c>
      <c r="EM199" s="20">
        <f t="shared" si="180"/>
        <v>3.405245110226996E-12</v>
      </c>
      <c r="EN199" s="59">
        <f t="shared" si="198"/>
        <v>293.33333333333672</v>
      </c>
      <c r="EO199" s="59">
        <f ca="1">AVERAGE(OFFSET($EN$3,0,0,'Données projet'!$E$15+1,1))-AVERAGE(OFFSET($H$3,0,0,'Données projet'!$E$15+1,1))</f>
        <v>197.34725966440715</v>
      </c>
      <c r="EP199" s="59">
        <f t="shared" si="210"/>
        <v>240.16326570529532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2.4281294850213717</v>
      </c>
      <c r="EW199" s="21">
        <f>EXP(-LN(2)/25)*EW198+(1-EXP(-LN(2)/25))/(LN(2)/25)*Calculateur!ER199*Calculateur!ET199*VLOOKUP('Données projet'!$B$15,Paramètres!$A$1:$I$89,3,0)*0.475*44/12</f>
        <v>0.53767607975777154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2.965805564779143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2.2737367544323206E-13</v>
      </c>
      <c r="FF199" s="17">
        <f>FE199*VLOOKUP('Données projet'!$B$16,Paramètres!$A$1:$I$89,3,0)*VLOOKUP('Données projet'!$B$16,Paramètres!$A$1:$I$89,5,0)</f>
        <v>1.2710188457276673E-13</v>
      </c>
      <c r="FG199" s="13">
        <f t="shared" si="182"/>
        <v>1.856866851063998E-12</v>
      </c>
      <c r="FH199" s="20">
        <f t="shared" si="183"/>
        <v>3.4554122145673649E-12</v>
      </c>
      <c r="FI199" s="59">
        <f t="shared" si="199"/>
        <v>293.33333333333678</v>
      </c>
      <c r="FJ199" s="59">
        <f ca="1">AVERAGE(OFFSET($FI$3,0,0,'Données projet'!$E$16+1,1))-AVERAGE(OFFSET($H$3,0,0,'Données projet'!$E$16+1,1))</f>
        <v>346.42094266871379</v>
      </c>
      <c r="FK199" s="59">
        <f t="shared" si="211"/>
        <v>453.48153556975973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11.586348811889824</v>
      </c>
      <c r="FR199" s="21">
        <f>EXP(-LN(2)/25)*FR198+(1-EXP(-LN(2)/25))/(LN(2)/25)*Calculateur!FM199*Calculateur!FO199*VLOOKUP('Données projet'!$B$16,Paramètres!$A$1:$I$89,3,0)*0.475*44/12</f>
        <v>2.4303652677249654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14.01671407961479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-1.1368683772161603E-13</v>
      </c>
      <c r="GA199" s="17">
        <f>FZ199*VLOOKUP('Données projet'!$B$17,Paramètres!$A$1:$I$89,3,0)*VLOOKUP('Données projet'!$B$17,Paramètres!$A$1:$I$89,5,0)</f>
        <v>-5.3205440053716299E-14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198.26255998041</v>
      </c>
      <c r="GF199" s="59">
        <f t="shared" si="212"/>
        <v>238.62101708181166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7.4264934411472669</v>
      </c>
      <c r="GM199" s="21">
        <f>EXP(-LN(2)/25)*GM198+(1-EXP(-LN(2)/25))/(LN(2)/25)*Calculateur!GH199*Calculateur!GJ199*VLOOKUP('Données projet'!$B$17,Paramètres!$A$1:$I$89,3,0)*0.475*44/12</f>
        <v>1.4343339652129068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8.8608274063601744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>
        <f>GU199*VLOOKUP('Données projet'!$B$18,Paramètres!$A$1:$I$89,3,0)*VLOOKUP('Données projet'!$B$18,Paramètres!$A$1:$I$89,5,0)</f>
        <v>0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604.0566904089452</v>
      </c>
      <c r="HA199" s="59">
        <f t="shared" si="213"/>
        <v>369.5187835902687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21.722167904825234</v>
      </c>
      <c r="HH199" s="21">
        <f>EXP(-LN(2)/25)*HH198+(1-EXP(-LN(2)/25))/(LN(2)/25)*Calculateur!HC199*Calculateur!HE199*VLOOKUP('Données projet'!$B$18,Paramètres!$A$1:$I$89,3,0)*0.475*44/12</f>
        <v>4.053070835914844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25.775238740740079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-5.1431925385259088E-14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528.20489749461376</v>
      </c>
      <c r="T200" s="59">
        <f t="shared" si="204"/>
        <v>276.26988364830532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71.803867534064196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71.803867534064196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2.0572770154103635E-13</v>
      </c>
      <c r="AK200" s="13">
        <f t="shared" si="164"/>
        <v>2.8416956338469711E-12</v>
      </c>
      <c r="AL200" s="20">
        <f t="shared" si="165"/>
        <v>5.3075956424674458E-12</v>
      </c>
      <c r="AM200" s="59">
        <f t="shared" si="193"/>
        <v>293.3333333333386</v>
      </c>
      <c r="AN200" s="59">
        <f ca="1">AVERAGE(OFFSET($AM$3,0,0,'Données projet'!$E$10+1,1))-AVERAGE(OFFSET($H$3,0,0,'Données projet'!$E$10+1,1))</f>
        <v>436.23918637269577</v>
      </c>
      <c r="AO200" s="59">
        <f t="shared" si="205"/>
        <v>611.43967996341894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3.5984496667946937</v>
      </c>
      <c r="AV200" s="21">
        <f>EXP(-LN(2)/25)*AV199+(1-EXP(-LN(2)/25))/(LN(2)/25)*Calculateur!AQ200*Calculateur!AS200*VLOOKUP('Données projet'!$B$10,Paramètres!$A$1:$I$89,3,0)*0.475*44/12</f>
        <v>0.63986744230963677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4.2383171091043303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4.4337866711430253E-14</v>
      </c>
      <c r="BF200" s="13">
        <f t="shared" si="167"/>
        <v>7.3222115536967035E-13</v>
      </c>
      <c r="BG200" s="20">
        <f t="shared" si="168"/>
        <v>1.3525069634579169E-12</v>
      </c>
      <c r="BH200" s="59">
        <f t="shared" si="194"/>
        <v>293.33333333333468</v>
      </c>
      <c r="BI200" s="59">
        <f ca="1">AVERAGE(OFFSET($BH$3,0,0,'Données projet'!$E$11+1,1))-AVERAGE(OFFSET($H$3,0,0,'Données projet'!$E$11+1,1))</f>
        <v>288.82868507674738</v>
      </c>
      <c r="BJ200" s="59">
        <f t="shared" si="206"/>
        <v>283.48738729114024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7.0107773642549249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7.0107773642549249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2.1316282072803006E-14</v>
      </c>
      <c r="BZ200" s="13">
        <f>BY200*VLOOKUP('Données projet'!$B$12,Paramètres!$A$1:$I$89,3,0)*VLOOKUP('Données projet'!$B$12,Paramètres!$A$1:$I$89,5,0)</f>
        <v>1.8621904018800709E-14</v>
      </c>
      <c r="CA200" s="13">
        <f t="shared" si="170"/>
        <v>3.40208645124969E-13</v>
      </c>
      <c r="CB200" s="20">
        <f t="shared" si="171"/>
        <v>6.2496320642539887E-13</v>
      </c>
      <c r="CC200" s="59">
        <f t="shared" si="195"/>
        <v>293.33333333333394</v>
      </c>
      <c r="CD200" s="59">
        <f ca="1">AVERAGE(OFFSET($CC$3,0,0,'Données projet'!$E$12+1,1))-AVERAGE(OFFSET($H$3,0,0,'Données projet'!$E$12+1,1))</f>
        <v>93.329407403816901</v>
      </c>
      <c r="CE200" s="59">
        <f t="shared" si="207"/>
        <v>90.925148357295313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1.7140789169944095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1.7140789169944095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-2.2737367544323206E-13</v>
      </c>
      <c r="CU200" s="17">
        <f>CT200*VLOOKUP('Données projet'!$B$13,Paramètres!$A$1:$I$89,3,0)*VLOOKUP('Données projet'!$B$13,Paramètres!$A$1:$I$89,5,0)</f>
        <v>-2.1636878955177963E-13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805.04572055352492</v>
      </c>
      <c r="CZ200" s="59">
        <f t="shared" si="208"/>
        <v>708.66645042414962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40.088004287816304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40.088004287816304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-1.1368683772161603E-13</v>
      </c>
      <c r="DP200" s="17">
        <f>DO200*VLOOKUP('Données projet'!$B$14,Paramètres!$A$1:$I$89,3,0)*VLOOKUP('Données projet'!$B$14,Paramètres!$A$1:$I$89,5,0)</f>
        <v>-7.626113074366004E-14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482.69499576870095</v>
      </c>
      <c r="DU200" s="59">
        <f t="shared" si="209"/>
        <v>384.28918352579575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24.798225539424806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24.798225539424806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1.7053025658242404E-13</v>
      </c>
      <c r="EK200" s="17">
        <f>EJ200*VLOOKUP('Données projet'!$B$15,Paramètres!$A$1:$I$89,3,0)*VLOOKUP('Données projet'!$B$15,Paramètres!$A$1:$I$89,5,0)</f>
        <v>1.250327841262333E-13</v>
      </c>
      <c r="EL200" s="13">
        <f t="shared" si="179"/>
        <v>1.8301318724634299E-12</v>
      </c>
      <c r="EM200" s="20">
        <f t="shared" si="180"/>
        <v>3.405245110226996E-12</v>
      </c>
      <c r="EN200" s="59">
        <f t="shared" si="198"/>
        <v>293.33333333333672</v>
      </c>
      <c r="EO200" s="59">
        <f ca="1">AVERAGE(OFFSET($EN$3,0,0,'Données projet'!$E$15+1,1))-AVERAGE(OFFSET($H$3,0,0,'Données projet'!$E$15+1,1))</f>
        <v>197.34725966440715</v>
      </c>
      <c r="EP200" s="59">
        <f t="shared" si="210"/>
        <v>240.16326570529532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2.3805153468328508</v>
      </c>
      <c r="EW200" s="21">
        <f>EXP(-LN(2)/25)*EW199+(1-EXP(-LN(2)/25))/(LN(2)/25)*Calculateur!ER200*Calculateur!ET200*VLOOKUP('Données projet'!$B$15,Paramètres!$A$1:$I$89,3,0)*0.475*44/12</f>
        <v>0.52297329908163914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2.9034886459144902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2.2737367544323206E-13</v>
      </c>
      <c r="FF200" s="17">
        <f>FE200*VLOOKUP('Données projet'!$B$16,Paramètres!$A$1:$I$89,3,0)*VLOOKUP('Données projet'!$B$16,Paramètres!$A$1:$I$89,5,0)</f>
        <v>1.2710188457276673E-13</v>
      </c>
      <c r="FG200" s="13">
        <f t="shared" si="182"/>
        <v>1.856866851063998E-12</v>
      </c>
      <c r="FH200" s="20">
        <f t="shared" si="183"/>
        <v>3.4554122145673649E-12</v>
      </c>
      <c r="FI200" s="59">
        <f t="shared" si="199"/>
        <v>293.33333333333678</v>
      </c>
      <c r="FJ200" s="59">
        <f ca="1">AVERAGE(OFFSET($FI$3,0,0,'Données projet'!$E$16+1,1))-AVERAGE(OFFSET($H$3,0,0,'Données projet'!$E$16+1,1))</f>
        <v>346.42094266871379</v>
      </c>
      <c r="FK200" s="59">
        <f t="shared" si="211"/>
        <v>453.48153556975973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11.359147578663634</v>
      </c>
      <c r="FR200" s="21">
        <f>EXP(-LN(2)/25)*FR199+(1-EXP(-LN(2)/25))/(LN(2)/25)*Calculateur!FM200*Calculateur!FO200*VLOOKUP('Données projet'!$B$16,Paramètres!$A$1:$I$89,3,0)*0.475*44/12</f>
        <v>2.3639068016716713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13.723054380335306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-1.1368683772161603E-13</v>
      </c>
      <c r="GA200" s="17">
        <f>FZ200*VLOOKUP('Données projet'!$B$17,Paramètres!$A$1:$I$89,3,0)*VLOOKUP('Données projet'!$B$17,Paramètres!$A$1:$I$89,5,0)</f>
        <v>-5.3205440053716299E-14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198.26255998041</v>
      </c>
      <c r="GF200" s="59">
        <f t="shared" si="212"/>
        <v>238.62101708181166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7.2808644344800957</v>
      </c>
      <c r="GM200" s="21">
        <f>EXP(-LN(2)/25)*GM199+(1-EXP(-LN(2)/25))/(LN(2)/25)*Calculateur!GH200*Calculateur!GJ200*VLOOKUP('Données projet'!$B$17,Paramètres!$A$1:$I$89,3,0)*0.475*44/12</f>
        <v>1.3951120275058149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8.6759764619859112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>
        <f>GU200*VLOOKUP('Données projet'!$B$18,Paramètres!$A$1:$I$89,3,0)*VLOOKUP('Données projet'!$B$18,Paramètres!$A$1:$I$89,5,0)</f>
        <v>0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604.0566904089452</v>
      </c>
      <c r="HA200" s="59">
        <f t="shared" si="213"/>
        <v>369.5187835902687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21.296209441425781</v>
      </c>
      <c r="HH200" s="21">
        <f>EXP(-LN(2)/25)*HH199+(1-EXP(-LN(2)/25))/(LN(2)/25)*Calculateur!HC200*Calculateur!HE200*VLOOKUP('Données projet'!$B$18,Paramètres!$A$1:$I$89,3,0)*0.475*44/12</f>
        <v>3.9422394007650206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25.238448842190802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-5.1431925385259088E-14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528.20489749461376</v>
      </c>
      <c r="T201" s="59">
        <f t="shared" si="204"/>
        <v>276.26988364830532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70.395837487755898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70.395837487755898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2.0572770154103635E-13</v>
      </c>
      <c r="AK201" s="13">
        <f t="shared" si="164"/>
        <v>2.8416956338469711E-12</v>
      </c>
      <c r="AL201" s="20">
        <f t="shared" si="165"/>
        <v>5.3075956424674458E-12</v>
      </c>
      <c r="AM201" s="59">
        <f t="shared" si="193"/>
        <v>293.3333333333386</v>
      </c>
      <c r="AN201" s="59">
        <f ca="1">AVERAGE(OFFSET($AM$3,0,0,'Données projet'!$E$10+1,1))-AVERAGE(OFFSET($H$3,0,0,'Données projet'!$E$10+1,1))</f>
        <v>436.23918637269577</v>
      </c>
      <c r="AO201" s="59">
        <f t="shared" si="205"/>
        <v>611.43967996341894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3.5278862636664243</v>
      </c>
      <c r="AV201" s="21">
        <f>EXP(-LN(2)/25)*AV200+(1-EXP(-LN(2)/25))/(LN(2)/25)*Calculateur!AQ201*Calculateur!AS201*VLOOKUP('Données projet'!$B$10,Paramètres!$A$1:$I$89,3,0)*0.475*44/12</f>
        <v>0.62237023345051334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4.1502564971169376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4.4337866711430253E-14</v>
      </c>
      <c r="BF201" s="13">
        <f t="shared" si="167"/>
        <v>7.3222115536967035E-13</v>
      </c>
      <c r="BG201" s="20">
        <f t="shared" si="168"/>
        <v>1.3525069634579169E-12</v>
      </c>
      <c r="BH201" s="59">
        <f t="shared" si="194"/>
        <v>293.33333333333468</v>
      </c>
      <c r="BI201" s="59">
        <f ca="1">AVERAGE(OFFSET($BH$3,0,0,'Données projet'!$E$11+1,1))-AVERAGE(OFFSET($H$3,0,0,'Données projet'!$E$11+1,1))</f>
        <v>288.82868507674738</v>
      </c>
      <c r="BJ201" s="59">
        <f t="shared" si="206"/>
        <v>283.48738729114024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6.8733002962938432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6.8733002962938432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2.1316282072803006E-14</v>
      </c>
      <c r="BZ201" s="13">
        <f>BY201*VLOOKUP('Données projet'!$B$12,Paramètres!$A$1:$I$89,3,0)*VLOOKUP('Données projet'!$B$12,Paramètres!$A$1:$I$89,5,0)</f>
        <v>1.8621904018800709E-14</v>
      </c>
      <c r="CA201" s="13">
        <f t="shared" si="170"/>
        <v>3.40208645124969E-13</v>
      </c>
      <c r="CB201" s="20">
        <f t="shared" si="171"/>
        <v>6.2496320642539887E-13</v>
      </c>
      <c r="CC201" s="59">
        <f t="shared" si="195"/>
        <v>293.33333333333394</v>
      </c>
      <c r="CD201" s="59">
        <f ca="1">AVERAGE(OFFSET($CC$3,0,0,'Données projet'!$E$12+1,1))-AVERAGE(OFFSET($H$3,0,0,'Données projet'!$E$12+1,1))</f>
        <v>93.329407403816901</v>
      </c>
      <c r="CE201" s="59">
        <f t="shared" si="207"/>
        <v>90.925148357295313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1.6804668749170555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1.6804668749170555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-2.2737367544323206E-13</v>
      </c>
      <c r="CU201" s="17">
        <f>CT201*VLOOKUP('Données projet'!$B$13,Paramètres!$A$1:$I$89,3,0)*VLOOKUP('Données projet'!$B$13,Paramètres!$A$1:$I$89,5,0)</f>
        <v>-2.1636878955177963E-13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805.04572055352492</v>
      </c>
      <c r="CZ201" s="59">
        <f t="shared" si="208"/>
        <v>708.66645042414962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39.30190297500048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39.30190297500048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-1.1368683772161603E-13</v>
      </c>
      <c r="DP201" s="17">
        <f>DO201*VLOOKUP('Données projet'!$B$14,Paramètres!$A$1:$I$89,3,0)*VLOOKUP('Données projet'!$B$14,Paramètres!$A$1:$I$89,5,0)</f>
        <v>-7.626113074366004E-14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482.69499576870095</v>
      </c>
      <c r="DU201" s="59">
        <f t="shared" si="209"/>
        <v>384.28918352579575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24.311947462020754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24.311947462020754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1.7053025658242404E-13</v>
      </c>
      <c r="EK201" s="17">
        <f>EJ201*VLOOKUP('Données projet'!$B$15,Paramètres!$A$1:$I$89,3,0)*VLOOKUP('Données projet'!$B$15,Paramètres!$A$1:$I$89,5,0)</f>
        <v>1.250327841262333E-13</v>
      </c>
      <c r="EL201" s="13">
        <f t="shared" si="179"/>
        <v>1.8301318724634299E-12</v>
      </c>
      <c r="EM201" s="20">
        <f t="shared" si="180"/>
        <v>3.405245110226996E-12</v>
      </c>
      <c r="EN201" s="59">
        <f t="shared" si="198"/>
        <v>293.33333333333672</v>
      </c>
      <c r="EO201" s="59">
        <f ca="1">AVERAGE(OFFSET($EN$3,0,0,'Données projet'!$E$15+1,1))-AVERAGE(OFFSET($H$3,0,0,'Données projet'!$E$15+1,1))</f>
        <v>197.34725966440715</v>
      </c>
      <c r="EP201" s="59">
        <f t="shared" si="210"/>
        <v>240.16326570529532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2.3338348928524502</v>
      </c>
      <c r="EW201" s="21">
        <f>EXP(-LN(2)/25)*EW200+(1-EXP(-LN(2)/25))/(LN(2)/25)*Calculateur!ER201*Calculateur!ET201*VLOOKUP('Données projet'!$B$15,Paramètres!$A$1:$I$89,3,0)*0.475*44/12</f>
        <v>0.50867256671628114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2.8425074595687314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2.2737367544323206E-13</v>
      </c>
      <c r="FF201" s="17">
        <f>FE201*VLOOKUP('Données projet'!$B$16,Paramètres!$A$1:$I$89,3,0)*VLOOKUP('Données projet'!$B$16,Paramètres!$A$1:$I$89,5,0)</f>
        <v>1.2710188457276673E-13</v>
      </c>
      <c r="FG201" s="13">
        <f t="shared" si="182"/>
        <v>1.856866851063998E-12</v>
      </c>
      <c r="FH201" s="20">
        <f t="shared" si="183"/>
        <v>3.4554122145673649E-12</v>
      </c>
      <c r="FI201" s="59">
        <f t="shared" si="199"/>
        <v>293.33333333333678</v>
      </c>
      <c r="FJ201" s="59">
        <f ca="1">AVERAGE(OFFSET($FI$3,0,0,'Données projet'!$E$16+1,1))-AVERAGE(OFFSET($H$3,0,0,'Données projet'!$E$16+1,1))</f>
        <v>346.42094266871379</v>
      </c>
      <c r="FK201" s="59">
        <f t="shared" si="211"/>
        <v>453.48153556975973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11.136401623041941</v>
      </c>
      <c r="FR201" s="21">
        <f>EXP(-LN(2)/25)*FR200+(1-EXP(-LN(2)/25))/(LN(2)/25)*Calculateur!FM201*Calculateur!FO201*VLOOKUP('Données projet'!$B$16,Paramètres!$A$1:$I$89,3,0)*0.475*44/12</f>
        <v>2.2992656458675036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13.435667268909445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-1.1368683772161603E-13</v>
      </c>
      <c r="GA201" s="17">
        <f>FZ201*VLOOKUP('Données projet'!$B$17,Paramètres!$A$1:$I$89,3,0)*VLOOKUP('Données projet'!$B$17,Paramètres!$A$1:$I$89,5,0)</f>
        <v>-5.3205440053716299E-14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198.26255998041</v>
      </c>
      <c r="GF201" s="59">
        <f t="shared" si="212"/>
        <v>238.62101708181166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7.1380911238087448</v>
      </c>
      <c r="GM201" s="21">
        <f>EXP(-LN(2)/25)*GM200+(1-EXP(-LN(2)/25))/(LN(2)/25)*Calculateur!GH201*Calculateur!GJ201*VLOOKUP('Données projet'!$B$17,Paramètres!$A$1:$I$89,3,0)*0.475*44/12</f>
        <v>1.3569626157479153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8.4950537395566599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>
        <f>GU201*VLOOKUP('Données projet'!$B$18,Paramètres!$A$1:$I$89,3,0)*VLOOKUP('Données projet'!$B$18,Paramètres!$A$1:$I$89,5,0)</f>
        <v>0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604.0566904089452</v>
      </c>
      <c r="HA201" s="59">
        <f t="shared" si="213"/>
        <v>369.5187835902687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20.878603763684584</v>
      </c>
      <c r="HH201" s="21">
        <f>EXP(-LN(2)/25)*HH200+(1-EXP(-LN(2)/25))/(LN(2)/25)*Calculateur!HC201*Calculateur!HE201*VLOOKUP('Données projet'!$B$18,Paramètres!$A$1:$I$89,3,0)*0.475*44/12</f>
        <v>3.8344386570377411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24.713042420722324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-5.1431925385259088E-14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528.20489749461376</v>
      </c>
      <c r="T202" s="59">
        <f t="shared" si="204"/>
        <v>276.26988364830532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69.015418051842175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69.015418051842175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2.0572770154103635E-13</v>
      </c>
      <c r="AK202" s="13">
        <f t="shared" si="164"/>
        <v>2.8416956338469711E-12</v>
      </c>
      <c r="AL202" s="20">
        <f t="shared" si="165"/>
        <v>5.3075956424674458E-12</v>
      </c>
      <c r="AM202" s="59">
        <f t="shared" si="193"/>
        <v>293.3333333333386</v>
      </c>
      <c r="AN202" s="59">
        <f ca="1">AVERAGE(OFFSET($AM$3,0,0,'Données projet'!$E$10+1,1))-AVERAGE(OFFSET($H$3,0,0,'Données projet'!$E$10+1,1))</f>
        <v>436.23918637269577</v>
      </c>
      <c r="AO202" s="59">
        <f t="shared" si="205"/>
        <v>611.43967996341894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3.4587065658340741</v>
      </c>
      <c r="AV202" s="21">
        <f>EXP(-LN(2)/25)*AV201+(1-EXP(-LN(2)/25))/(LN(2)/25)*Calculateur!AQ202*Calculateur!AS202*VLOOKUP('Données projet'!$B$10,Paramètres!$A$1:$I$89,3,0)*0.475*44/12</f>
        <v>0.60535148668778094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4.0640580525218546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4.4337866711430253E-14</v>
      </c>
      <c r="BF202" s="13">
        <f t="shared" si="167"/>
        <v>7.3222115536967035E-13</v>
      </c>
      <c r="BG202" s="20">
        <f t="shared" si="168"/>
        <v>1.3525069634579169E-12</v>
      </c>
      <c r="BH202" s="59">
        <f t="shared" si="194"/>
        <v>293.33333333333468</v>
      </c>
      <c r="BI202" s="59">
        <f ca="1">AVERAGE(OFFSET($BH$3,0,0,'Données projet'!$E$11+1,1))-AVERAGE(OFFSET($H$3,0,0,'Données projet'!$E$11+1,1))</f>
        <v>288.82868507674738</v>
      </c>
      <c r="BJ202" s="59">
        <f t="shared" si="206"/>
        <v>283.48738729114024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6.7385190697827468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6.7385190697827468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2.1316282072803006E-14</v>
      </c>
      <c r="BZ202" s="13">
        <f>BY202*VLOOKUP('Données projet'!$B$12,Paramètres!$A$1:$I$89,3,0)*VLOOKUP('Données projet'!$B$12,Paramètres!$A$1:$I$89,5,0)</f>
        <v>1.8621904018800709E-14</v>
      </c>
      <c r="CA202" s="13">
        <f t="shared" si="170"/>
        <v>3.40208645124969E-13</v>
      </c>
      <c r="CB202" s="20">
        <f t="shared" si="171"/>
        <v>6.2496320642539887E-13</v>
      </c>
      <c r="CC202" s="59">
        <f t="shared" si="195"/>
        <v>293.33333333333394</v>
      </c>
      <c r="CD202" s="59">
        <f ca="1">AVERAGE(OFFSET($CC$3,0,0,'Données projet'!$E$12+1,1))-AVERAGE(OFFSET($H$3,0,0,'Données projet'!$E$12+1,1))</f>
        <v>93.329407403816901</v>
      </c>
      <c r="CE202" s="59">
        <f t="shared" si="207"/>
        <v>90.925148357295313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1.647513944483517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1.647513944483517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-2.2737367544323206E-13</v>
      </c>
      <c r="CU202" s="17">
        <f>CT202*VLOOKUP('Données projet'!$B$13,Paramètres!$A$1:$I$89,3,0)*VLOOKUP('Données projet'!$B$13,Paramètres!$A$1:$I$89,5,0)</f>
        <v>-2.1636878955177963E-13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805.04572055352492</v>
      </c>
      <c r="CZ202" s="59">
        <f t="shared" si="208"/>
        <v>708.66645042414962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38.531216629454519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38.531216629454519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-1.1368683772161603E-13</v>
      </c>
      <c r="DP202" s="17">
        <f>DO202*VLOOKUP('Données projet'!$B$14,Paramètres!$A$1:$I$89,3,0)*VLOOKUP('Données projet'!$B$14,Paramètres!$A$1:$I$89,5,0)</f>
        <v>-7.626113074366004E-14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482.69499576870095</v>
      </c>
      <c r="DU202" s="59">
        <f t="shared" si="209"/>
        <v>384.28918352579575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23.835205001114254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23.835205001114254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1.7053025658242404E-13</v>
      </c>
      <c r="EK202" s="17">
        <f>EJ202*VLOOKUP('Données projet'!$B$15,Paramètres!$A$1:$I$89,3,0)*VLOOKUP('Données projet'!$B$15,Paramètres!$A$1:$I$89,5,0)</f>
        <v>1.250327841262333E-13</v>
      </c>
      <c r="EL202" s="13">
        <f t="shared" si="179"/>
        <v>1.8301318724634299E-12</v>
      </c>
      <c r="EM202" s="20">
        <f t="shared" si="180"/>
        <v>3.405245110226996E-12</v>
      </c>
      <c r="EN202" s="59">
        <f t="shared" si="198"/>
        <v>293.33333333333672</v>
      </c>
      <c r="EO202" s="59">
        <f ca="1">AVERAGE(OFFSET($EN$3,0,0,'Données projet'!$E$15+1,1))-AVERAGE(OFFSET($H$3,0,0,'Données projet'!$E$15+1,1))</f>
        <v>197.34725966440715</v>
      </c>
      <c r="EP202" s="59">
        <f t="shared" si="210"/>
        <v>240.16326570529532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2.2880698141023394</v>
      </c>
      <c r="EW202" s="21">
        <f>EXP(-LN(2)/25)*EW201+(1-EXP(-LN(2)/25))/(LN(2)/25)*Calculateur!ER202*Calculateur!ET202*VLOOKUP('Données projet'!$B$15,Paramètres!$A$1:$I$89,3,0)*0.475*44/12</f>
        <v>0.49476288862949674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2.7828327027318362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2.2737367544323206E-13</v>
      </c>
      <c r="FF202" s="17">
        <f>FE202*VLOOKUP('Données projet'!$B$16,Paramètres!$A$1:$I$89,3,0)*VLOOKUP('Données projet'!$B$16,Paramètres!$A$1:$I$89,5,0)</f>
        <v>1.2710188457276673E-13</v>
      </c>
      <c r="FG202" s="13">
        <f t="shared" si="182"/>
        <v>1.856866851063998E-12</v>
      </c>
      <c r="FH202" s="20">
        <f t="shared" si="183"/>
        <v>3.4554122145673649E-12</v>
      </c>
      <c r="FI202" s="59">
        <f t="shared" si="199"/>
        <v>293.33333333333678</v>
      </c>
      <c r="FJ202" s="59">
        <f ca="1">AVERAGE(OFFSET($FI$3,0,0,'Données projet'!$E$16+1,1))-AVERAGE(OFFSET($H$3,0,0,'Données projet'!$E$16+1,1))</f>
        <v>346.42094266871379</v>
      </c>
      <c r="FK202" s="59">
        <f t="shared" si="211"/>
        <v>453.48153556975973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10.918023579748372</v>
      </c>
      <c r="FR202" s="21">
        <f>EXP(-LN(2)/25)*FR201+(1-EXP(-LN(2)/25))/(LN(2)/25)*Calculateur!FM202*Calculateur!FO202*VLOOKUP('Données projet'!$B$16,Paramètres!$A$1:$I$89,3,0)*0.475*44/12</f>
        <v>2.2363921058681315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13.154415685616502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-1.1368683772161603E-13</v>
      </c>
      <c r="GA202" s="17">
        <f>FZ202*VLOOKUP('Données projet'!$B$17,Paramètres!$A$1:$I$89,3,0)*VLOOKUP('Données projet'!$B$17,Paramètres!$A$1:$I$89,5,0)</f>
        <v>-5.3205440053716299E-14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198.26255998041</v>
      </c>
      <c r="GF202" s="59">
        <f t="shared" si="212"/>
        <v>238.62101708181166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6.9981175106765381</v>
      </c>
      <c r="GM202" s="21">
        <f>EXP(-LN(2)/25)*GM201+(1-EXP(-LN(2)/25))/(LN(2)/25)*Calculateur!GH202*Calculateur!GJ202*VLOOKUP('Données projet'!$B$17,Paramètres!$A$1:$I$89,3,0)*0.475*44/12</f>
        <v>1.3198564016607259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8.3179739123372638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>
        <f>GU202*VLOOKUP('Données projet'!$B$18,Paramètres!$A$1:$I$89,3,0)*VLOOKUP('Données projet'!$B$18,Paramètres!$A$1:$I$89,5,0)</f>
        <v>0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604.0566904089452</v>
      </c>
      <c r="HA202" s="59">
        <f t="shared" si="213"/>
        <v>369.5187835902687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20.469187078569579</v>
      </c>
      <c r="HH202" s="21">
        <f>EXP(-LN(2)/25)*HH201+(1-EXP(-LN(2)/25))/(LN(2)/25)*Calculateur!HC202*Calculateur!HE202*VLOOKUP('Données projet'!$B$18,Paramètres!$A$1:$I$89,3,0)*0.475*44/12</f>
        <v>3.7295857303166788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24.198772808886257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-5.1431925385259088E-14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528.20489749461376</v>
      </c>
      <c r="T203" s="59">
        <f t="shared" si="204"/>
        <v>276.26988364830532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67.662067799094004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67.662067799094004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2.0572770154103635E-13</v>
      </c>
      <c r="AK203" s="13">
        <f t="shared" si="164"/>
        <v>2.8416956338469711E-12</v>
      </c>
      <c r="AL203" s="20">
        <f t="shared" si="165"/>
        <v>5.3075956424674458E-12</v>
      </c>
      <c r="AM203" s="59">
        <f t="shared" si="193"/>
        <v>293.3333333333386</v>
      </c>
      <c r="AN203" s="59">
        <f ca="1">AVERAGE(OFFSET($AM$3,0,0,'Données projet'!$E$10+1,1))-AVERAGE(OFFSET($H$3,0,0,'Données projet'!$E$10+1,1))</f>
        <v>436.23918637269577</v>
      </c>
      <c r="AO203" s="59">
        <f t="shared" si="205"/>
        <v>611.43967996341894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3.390883439680767</v>
      </c>
      <c r="AV203" s="21">
        <f>EXP(-LN(2)/25)*AV202+(1-EXP(-LN(2)/25))/(LN(2)/25)*Calculateur!AQ203*Calculateur!AS203*VLOOKUP('Données projet'!$B$10,Paramètres!$A$1:$I$89,3,0)*0.475*44/12</f>
        <v>0.58879811845025243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3.9796815581310194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4.4337866711430253E-14</v>
      </c>
      <c r="BF203" s="13">
        <f t="shared" si="167"/>
        <v>7.3222115536967035E-13</v>
      </c>
      <c r="BG203" s="20">
        <f t="shared" si="168"/>
        <v>1.3525069634579169E-12</v>
      </c>
      <c r="BH203" s="59">
        <f t="shared" si="194"/>
        <v>293.33333333333468</v>
      </c>
      <c r="BI203" s="59">
        <f ca="1">AVERAGE(OFFSET($BH$3,0,0,'Données projet'!$E$11+1,1))-AVERAGE(OFFSET($H$3,0,0,'Données projet'!$E$11+1,1))</f>
        <v>288.82868507674738</v>
      </c>
      <c r="BJ203" s="59">
        <f t="shared" si="206"/>
        <v>283.48738729114024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6.6063808209151018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6.6063808209151018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2.1316282072803006E-14</v>
      </c>
      <c r="BZ203" s="13">
        <f>BY203*VLOOKUP('Données projet'!$B$12,Paramètres!$A$1:$I$89,3,0)*VLOOKUP('Données projet'!$B$12,Paramètres!$A$1:$I$89,5,0)</f>
        <v>1.8621904018800709E-14</v>
      </c>
      <c r="CA203" s="13">
        <f t="shared" si="170"/>
        <v>3.40208645124969E-13</v>
      </c>
      <c r="CB203" s="20">
        <f t="shared" si="171"/>
        <v>6.2496320642539887E-13</v>
      </c>
      <c r="CC203" s="59">
        <f t="shared" si="195"/>
        <v>293.33333333333394</v>
      </c>
      <c r="CD203" s="59">
        <f ca="1">AVERAGE(OFFSET($CC$3,0,0,'Données projet'!$E$12+1,1))-AVERAGE(OFFSET($H$3,0,0,'Données projet'!$E$12+1,1))</f>
        <v>93.329407403816901</v>
      </c>
      <c r="CE203" s="59">
        <f t="shared" si="207"/>
        <v>90.925148357295313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1.6152072009164773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1.6152072009164773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-2.2737367544323206E-13</v>
      </c>
      <c r="CU203" s="17">
        <f>CT203*VLOOKUP('Données projet'!$B$13,Paramètres!$A$1:$I$89,3,0)*VLOOKUP('Données projet'!$B$13,Paramètres!$A$1:$I$89,5,0)</f>
        <v>-2.1636878955177963E-13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805.04572055352492</v>
      </c>
      <c r="CZ203" s="59">
        <f t="shared" si="208"/>
        <v>708.66645042414962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37.775642973072458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37.775642973072458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-1.1368683772161603E-13</v>
      </c>
      <c r="DP203" s="17">
        <f>DO203*VLOOKUP('Données projet'!$B$14,Paramètres!$A$1:$I$89,3,0)*VLOOKUP('Données projet'!$B$14,Paramètres!$A$1:$I$89,5,0)</f>
        <v>-7.626113074366004E-14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482.69499576870095</v>
      </c>
      <c r="DU203" s="59">
        <f t="shared" si="209"/>
        <v>384.28918352579575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23.367811169081943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23.367811169081943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1.7053025658242404E-13</v>
      </c>
      <c r="EK203" s="17">
        <f>EJ203*VLOOKUP('Données projet'!$B$15,Paramètres!$A$1:$I$89,3,0)*VLOOKUP('Données projet'!$B$15,Paramètres!$A$1:$I$89,5,0)</f>
        <v>1.250327841262333E-13</v>
      </c>
      <c r="EL203" s="13">
        <f t="shared" si="179"/>
        <v>1.8301318724634299E-12</v>
      </c>
      <c r="EM203" s="20">
        <f t="shared" si="180"/>
        <v>3.405245110226996E-12</v>
      </c>
      <c r="EN203" s="59">
        <f t="shared" si="198"/>
        <v>293.33333333333672</v>
      </c>
      <c r="EO203" s="59">
        <f ca="1">AVERAGE(OFFSET($EN$3,0,0,'Données projet'!$E$15+1,1))-AVERAGE(OFFSET($H$3,0,0,'Données projet'!$E$15+1,1))</f>
        <v>197.34725966440715</v>
      </c>
      <c r="EP203" s="59">
        <f t="shared" si="210"/>
        <v>240.16326570529532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2.2432021606325767</v>
      </c>
      <c r="EW203" s="21">
        <f>EXP(-LN(2)/25)*EW202+(1-EXP(-LN(2)/25))/(LN(2)/25)*Calculateur!ER203*Calculateur!ET203*VLOOKUP('Données projet'!$B$15,Paramètres!$A$1:$I$89,3,0)*0.475*44/12</f>
        <v>0.48123357142147366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2.7244357320540504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2.2737367544323206E-13</v>
      </c>
      <c r="FF203" s="17">
        <f>FE203*VLOOKUP('Données projet'!$B$16,Paramètres!$A$1:$I$89,3,0)*VLOOKUP('Données projet'!$B$16,Paramètres!$A$1:$I$89,5,0)</f>
        <v>1.2710188457276673E-13</v>
      </c>
      <c r="FG203" s="13">
        <f t="shared" si="182"/>
        <v>1.856866851063998E-12</v>
      </c>
      <c r="FH203" s="20">
        <f t="shared" si="183"/>
        <v>3.4554122145673649E-12</v>
      </c>
      <c r="FI203" s="59">
        <f t="shared" si="199"/>
        <v>293.33333333333678</v>
      </c>
      <c r="FJ203" s="59">
        <f ca="1">AVERAGE(OFFSET($FI$3,0,0,'Données projet'!$E$16+1,1))-AVERAGE(OFFSET($H$3,0,0,'Données projet'!$E$16+1,1))</f>
        <v>346.42094266871379</v>
      </c>
      <c r="FK203" s="59">
        <f t="shared" si="211"/>
        <v>453.48153556975973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10.703927796686335</v>
      </c>
      <c r="FR203" s="21">
        <f>EXP(-LN(2)/25)*FR202+(1-EXP(-LN(2)/25))/(LN(2)/25)*Calculateur!FM203*Calculateur!FO203*VLOOKUP('Données projet'!$B$16,Paramètres!$A$1:$I$89,3,0)*0.475*44/12</f>
        <v>2.1752378461264179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12.879165642812753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-1.1368683772161603E-13</v>
      </c>
      <c r="GA203" s="17">
        <f>FZ203*VLOOKUP('Données projet'!$B$17,Paramètres!$A$1:$I$89,3,0)*VLOOKUP('Données projet'!$B$17,Paramètres!$A$1:$I$89,5,0)</f>
        <v>-5.3205440053716299E-14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198.26255998041</v>
      </c>
      <c r="GF203" s="59">
        <f t="shared" si="212"/>
        <v>238.62101708181166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6.8608886947223802</v>
      </c>
      <c r="GM203" s="21">
        <f>EXP(-LN(2)/25)*GM202+(1-EXP(-LN(2)/25))/(LN(2)/25)*Calculateur!GH203*Calculateur!GJ203*VLOOKUP('Données projet'!$B$17,Paramètres!$A$1:$I$89,3,0)*0.475*44/12</f>
        <v>1.2837648589490818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8.1446535536714624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>
        <f>GU203*VLOOKUP('Données projet'!$B$18,Paramètres!$A$1:$I$89,3,0)*VLOOKUP('Données projet'!$B$18,Paramètres!$A$1:$I$89,5,0)</f>
        <v>0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604.0566904089452</v>
      </c>
      <c r="HA203" s="59">
        <f t="shared" si="213"/>
        <v>369.5187835902687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20.06779880493016</v>
      </c>
      <c r="HH203" s="21">
        <f>EXP(-LN(2)/25)*HH202+(1-EXP(-LN(2)/25))/(LN(2)/25)*Calculateur!HC203*Calculateur!HE203*VLOOKUP('Données projet'!$B$18,Paramètres!$A$1:$I$89,3,0)*0.475*44/12</f>
        <v>3.6276000123907797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23.695398817320939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1.1480333746076383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2.1016324782757847</v>
      </c>
      <c r="BA205" s="82">
        <f>EXP(LN('Données projet'!B88)/'Données projet'!A88)</f>
        <v>1.2788040393997409</v>
      </c>
      <c r="BV205" s="82">
        <f>EXP(LN('Données projet'!B114)/'Données projet'!A114)</f>
        <v>1.1235153693328321</v>
      </c>
      <c r="CQ205" s="82">
        <f>EXP(LN('Données projet'!B140)/'Données projet'!A140)</f>
        <v>1.5008690410666499</v>
      </c>
      <c r="DL205" s="82">
        <f>EXP(LN('Données projet'!B166)/'Données projet'!A166)</f>
        <v>1.4566219347661553</v>
      </c>
      <c r="EG205" s="82">
        <f>EXP(LN('Données projet'!B192)/'Données projet'!A192)</f>
        <v>1.6071994829923506</v>
      </c>
      <c r="FB205" s="82">
        <f>EXP(LN('Données projet'!B218)/'Données projet'!A218)</f>
        <v>1.2999838295126607</v>
      </c>
      <c r="FW205" s="82">
        <f>EXP(LN('Données projet'!B244)/'Données projet'!A244)</f>
        <v>1.2880503926580862</v>
      </c>
      <c r="GR205" s="82">
        <f>EXP(LN('Données projet'!B270)/'Données projet'!A270)</f>
        <v>1.1932635389591795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5" sqref="M5:M1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6.5280000000000005</v>
      </c>
      <c r="C6" s="147">
        <f ca="1">IF(OR('Données projet'!B9="",'Données projet'!C9="",'Données projet'!C9=0%),0,Calculateur!S3)</f>
        <v>528.20489749461376</v>
      </c>
      <c r="D6" s="147">
        <f>IF(OR('Données projet'!B9="",'Données projet'!C9="",'Données projet'!C9=0%),0,Calculateur!T3)</f>
        <v>276.26988364830532</v>
      </c>
      <c r="E6" s="147">
        <f ca="1">MIN(C6,D6)</f>
        <v>276.26988364830532</v>
      </c>
      <c r="F6" s="147">
        <f ca="1">E6*B6</f>
        <v>1803.4898004561373</v>
      </c>
      <c r="G6" s="147">
        <f ca="1">F6*(100%-'Données projet'!$C$24)*(100%-'Données projet'!$C$25)*(100%-'Données projet'!$C$26)*(100%-'Données projet'!$C$27)</f>
        <v>1623.1408204105237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1623.1408204105237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Robinier faux-acacia</v>
      </c>
      <c r="B7" s="154">
        <f>'Données projet'!D10</f>
        <v>0.25559235668789804</v>
      </c>
      <c r="C7" s="147">
        <f ca="1">IF(OR('Données projet'!B10="",'Données projet'!C10="",'Données projet'!C10=0%),0,Calculateur!AN3)</f>
        <v>436.23918637269577</v>
      </c>
      <c r="D7" s="147">
        <f>IF(OR('Données projet'!B10="",'Données projet'!C10="",'Données projet'!C10=0%),0,Calculateur!AO3)</f>
        <v>611.43967996341894</v>
      </c>
      <c r="E7" s="147">
        <f t="shared" ref="E7:E15" ca="1" si="0">MIN(C7,D7)</f>
        <v>436.23918637269577</v>
      </c>
      <c r="F7" s="147">
        <f t="shared" ref="F7:F15" ca="1" si="1">E7*B7</f>
        <v>111.49940172460849</v>
      </c>
      <c r="G7" s="147">
        <f ca="1">F7*(100%-'Données projet'!$C$24)*(100%-'Données projet'!$C$25)*(100%-'Données projet'!$C$26)*(100%-'Données projet'!$C$27)</f>
        <v>100.34946155214764</v>
      </c>
      <c r="H7" s="155">
        <f>IF(OR('Données projet'!B10="",'Données projet'!C10="",'Données projet'!C10=0%),0,AVERAGE(Calculateur!$AX$3:$AX$33)*B7)</f>
        <v>1.8135817999837069</v>
      </c>
      <c r="I7" s="149">
        <f>H7*(100%-'Données projet'!$C$24)*(100%-'Données projet'!$C$25)*(100%-'Données projet'!$C$26)*(100%-'Données projet'!$C$27)</f>
        <v>1.6322236199853364</v>
      </c>
      <c r="J7" s="150">
        <f>IF(OR('Données projet'!B10="",'Données projet'!C10="",'Données projet'!C10=0%),0,SUM(Calculateur!$AQ$3:$AQ$33)*VLOOKUP('Données projet'!$B$10,Paramètres!$A$1:$I$89,9,0)*B7)</f>
        <v>8.2428535031847119</v>
      </c>
      <c r="K7" s="151">
        <f>J7*(100%-'Données projet'!$C$24)*(100%-'Données projet'!$C$25)*(100%-'Données projet'!$C$26)*(100%-'Données projet'!$C$27)</f>
        <v>7.418568152866241</v>
      </c>
      <c r="L7" s="152">
        <f t="shared" ref="L7:L15" ca="1" si="2">G7+I7+K7</f>
        <v>109.40025332499923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Merisier</v>
      </c>
      <c r="B8" s="154">
        <f>'Données projet'!D11</f>
        <v>0.38338853503184711</v>
      </c>
      <c r="C8" s="147">
        <f ca="1">IF(OR('Données projet'!B11="",'Données projet'!C11="",'Données projet'!C11=0%),0,Calculateur!BI3)</f>
        <v>288.82868507674738</v>
      </c>
      <c r="D8" s="147">
        <f>IF(OR('Données projet'!B11="",'Données projet'!C11="",'Données projet'!C11=0%),0,Calculateur!BJ3)</f>
        <v>283.48738729114024</v>
      </c>
      <c r="E8" s="147">
        <f t="shared" ca="1" si="0"/>
        <v>283.48738729114024</v>
      </c>
      <c r="F8" s="147">
        <f t="shared" ca="1" si="1"/>
        <v>108.68581411355613</v>
      </c>
      <c r="G8" s="147">
        <f ca="1">F8*(100%-'Données projet'!$C$24)*(100%-'Données projet'!$C$25)*(100%-'Données projet'!$C$26)*(100%-'Données projet'!$C$27)</f>
        <v>97.817232702200528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5.2715923566878979</v>
      </c>
      <c r="K8" s="151">
        <f>J8*(100%-'Données projet'!$C$24)*(100%-'Données projet'!$C$25)*(100%-'Données projet'!$C$26)*(100%-'Données projet'!$C$27)</f>
        <v>4.7444331210191084</v>
      </c>
      <c r="L8" s="152">
        <f t="shared" ca="1" si="2"/>
        <v>102.56166582321964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Frêne</v>
      </c>
      <c r="B9" s="154">
        <f>'Données projet'!D12</f>
        <v>0.38338853503184711</v>
      </c>
      <c r="C9" s="147">
        <f ca="1">IF(OR('Données projet'!B12="",'Données projet'!C12="",'Données projet'!C12=0%),0,Calculateur!CD3)</f>
        <v>93.329407403816901</v>
      </c>
      <c r="D9" s="147">
        <f>IF(OR('Données projet'!B12="",'Données projet'!C12="",'Données projet'!C12=0%),0,Calculateur!CE3)</f>
        <v>90.925148357295313</v>
      </c>
      <c r="E9" s="147">
        <f t="shared" ca="1" si="0"/>
        <v>90.925148357295313</v>
      </c>
      <c r="F9" s="147">
        <f t="shared" ca="1" si="1"/>
        <v>34.859659426256812</v>
      </c>
      <c r="G9" s="147">
        <f ca="1">F9*(100%-'Données projet'!$C$24)*(100%-'Données projet'!$C$25)*(100%-'Données projet'!$C$26)*(100%-'Données projet'!$C$27)</f>
        <v>31.373693483631133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0.96748096815286611</v>
      </c>
      <c r="K9" s="151">
        <f>J9*(100%-'Données projet'!$C$24)*(100%-'Données projet'!$C$25)*(100%-'Données projet'!$C$26)*(100%-'Données projet'!$C$27)</f>
        <v>0.87073287133757948</v>
      </c>
      <c r="L9" s="152">
        <f t="shared" ca="1" si="2"/>
        <v>32.244426354968709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Charme</v>
      </c>
      <c r="B10" s="154">
        <f>'Données projet'!D13</f>
        <v>0.63898089171974526</v>
      </c>
      <c r="C10" s="147">
        <f ca="1">IF(OR('Données projet'!B13="",'Données projet'!C13="",'Données projet'!C13=0%),0,Calculateur!CY3)</f>
        <v>805.04572055352492</v>
      </c>
      <c r="D10" s="147">
        <f>IF(OR('Données projet'!B13="",'Données projet'!C13="",'Données projet'!C13=0%),0,Calculateur!CZ3)</f>
        <v>708.66645042414962</v>
      </c>
      <c r="E10" s="147">
        <f t="shared" ca="1" si="0"/>
        <v>708.66645042414962</v>
      </c>
      <c r="F10" s="147">
        <f t="shared" ca="1" si="1"/>
        <v>452.82432042388979</v>
      </c>
      <c r="G10" s="147">
        <f ca="1">F10*(100%-'Données projet'!$C$24)*(100%-'Données projet'!$C$25)*(100%-'Données projet'!$C$26)*(100%-'Données projet'!$C$27)</f>
        <v>407.54188838150083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18.690191082802549</v>
      </c>
      <c r="K10" s="151">
        <f>J10*(100%-'Données projet'!$C$24)*(100%-'Données projet'!$C$25)*(100%-'Données projet'!$C$26)*(100%-'Données projet'!$C$27)</f>
        <v>16.821171974522294</v>
      </c>
      <c r="L10" s="152">
        <f t="shared" ca="1" si="2"/>
        <v>424.36306035602314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Tilleul</v>
      </c>
      <c r="B11" s="154">
        <f>'Données projet'!D14</f>
        <v>0.12779617834394902</v>
      </c>
      <c r="C11" s="147">
        <f ca="1">IF(OR('Données projet'!B14="",'Données projet'!C14="",'Données projet'!C14=0%),0,Calculateur!DT3)</f>
        <v>482.69499576870095</v>
      </c>
      <c r="D11" s="147">
        <f>IF(OR('Données projet'!B14="",'Données projet'!C14="",'Données projet'!C14=0%),0,Calculateur!DU3)</f>
        <v>384.28918352579575</v>
      </c>
      <c r="E11" s="147">
        <f t="shared" ca="1" si="0"/>
        <v>384.28918352579575</v>
      </c>
      <c r="F11" s="147">
        <f t="shared" ca="1" si="1"/>
        <v>49.110689033513147</v>
      </c>
      <c r="G11" s="147">
        <f ca="1">F11*(100%-'Données projet'!$C$24)*(100%-'Données projet'!$C$25)*(100%-'Données projet'!$C$26)*(100%-'Données projet'!$C$27)</f>
        <v>44.199620130161833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3.6102420382165596</v>
      </c>
      <c r="K11" s="151">
        <f>J11*(100%-'Données projet'!$C$24)*(100%-'Données projet'!$C$25)*(100%-'Données projet'!$C$26)*(100%-'Données projet'!$C$27)</f>
        <v>3.2492178343949036</v>
      </c>
      <c r="L11" s="152">
        <f t="shared" ca="1" si="2"/>
        <v>47.448837964556738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Châtaignier</v>
      </c>
      <c r="B12" s="154">
        <f>'Données projet'!D15</f>
        <v>0.12779617834394902</v>
      </c>
      <c r="C12" s="147">
        <f ca="1">IF(OR('Données projet'!B15="",'Données projet'!C15="",'Données projet'!C15=0%),0,Calculateur!EO3)</f>
        <v>197.34725966440715</v>
      </c>
      <c r="D12" s="147">
        <f>IF(OR('Données projet'!B15="",'Données projet'!C15="",'Données projet'!C15=0%),0,Calculateur!EP3)</f>
        <v>240.16326570529532</v>
      </c>
      <c r="E12" s="147">
        <f t="shared" ca="1" si="0"/>
        <v>197.34725966440715</v>
      </c>
      <c r="F12" s="147">
        <f t="shared" ca="1" si="1"/>
        <v>25.220225591762194</v>
      </c>
      <c r="G12" s="147">
        <f ca="1">F12*(100%-'Données projet'!$C$24)*(100%-'Données projet'!$C$25)*(100%-'Données projet'!$C$26)*(100%-'Données projet'!$C$27)</f>
        <v>22.698203032585976</v>
      </c>
      <c r="H12" s="155">
        <f>IF(OR('Données projet'!B15="",'Données projet'!C15="",'Données projet'!C15=0%),0,AVERAGE(Calculateur!$EY$3:$EY$33)*B12)</f>
        <v>1.2782555709692993</v>
      </c>
      <c r="I12" s="149">
        <f>H12*(100%-'Données projet'!$C$24)*(100%-'Données projet'!$C$25)*(100%-'Données projet'!$C$26)*(100%-'Données projet'!$C$27)</f>
        <v>1.1504300138723693</v>
      </c>
      <c r="J12" s="150">
        <f>IF(OR('Données projet'!B15="",'Données projet'!C15="",'Données projet'!C15=0%),0,SUM(Calculateur!$ER$3:$ER$33)*VLOOKUP('Données projet'!$B$15,Paramètres!$A$1:$I$89,9,0)*B12)</f>
        <v>4.6326114649681518</v>
      </c>
      <c r="K12" s="151">
        <f>J12*(100%-'Données projet'!$C$24)*(100%-'Données projet'!$C$25)*(100%-'Données projet'!$C$26)*(100%-'Données projet'!$C$27)</f>
        <v>4.169350318471337</v>
      </c>
      <c r="L12" s="152">
        <f t="shared" ca="1" si="2"/>
        <v>28.017983364929684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Douglas</v>
      </c>
      <c r="B13" s="154">
        <f>'Données projet'!D16</f>
        <v>0.25559235668789804</v>
      </c>
      <c r="C13" s="147">
        <f ca="1">IF(OR('Données projet'!B16="",'Données projet'!C16="",'Données projet'!C16=0%),0,Calculateur!FJ3)</f>
        <v>346.42094266871379</v>
      </c>
      <c r="D13" s="147">
        <f>IF(OR('Données projet'!B16="",'Données projet'!C16="",'Données projet'!C16=0%),0,Calculateur!FK3)</f>
        <v>453.48153556975973</v>
      </c>
      <c r="E13" s="147">
        <f t="shared" ca="1" si="0"/>
        <v>346.42094266871379</v>
      </c>
      <c r="F13" s="147">
        <f t="shared" ca="1" si="1"/>
        <v>88.542545142739769</v>
      </c>
      <c r="G13" s="147">
        <f ca="1">F13*(100%-'Données projet'!$C$24)*(100%-'Données projet'!$C$25)*(100%-'Données projet'!$C$26)*(100%-'Données projet'!$C$27)</f>
        <v>79.688290628465793</v>
      </c>
      <c r="H13" s="155">
        <f>IF(OR('Données projet'!B16="",'Données projet'!C16="",'Données projet'!C16=0%),0,AVERAGE(Calculateur!$FT$3:$FT$33)*B13)</f>
        <v>2.4134839580495213</v>
      </c>
      <c r="I13" s="149">
        <f>H13*(100%-'Données projet'!$C$24)*(100%-'Données projet'!$C$25)*(100%-'Données projet'!$C$26)*(100%-'Données projet'!$C$27)</f>
        <v>2.1721355622445691</v>
      </c>
      <c r="J13" s="150">
        <f>IF(OR('Données projet'!C16="",'Données projet'!C16=0%),0,SUM(Calculateur!$FM$3:$FM$33)*VLOOKUP('Données projet'!$B$16,Paramètres!$A$1:$I$89,9,0)*B13)</f>
        <v>14.947041019108276</v>
      </c>
      <c r="K13" s="151">
        <f>J13*(100%-'Données projet'!$C$24)*(100%-'Données projet'!$C$25)*(100%-'Données projet'!$C$26)*(100%-'Données projet'!$C$27)</f>
        <v>13.452336917197449</v>
      </c>
      <c r="L13" s="152">
        <f t="shared" ca="1" si="2"/>
        <v>95.312763107907813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Cèdre de l'Atlas</v>
      </c>
      <c r="B14" s="154">
        <f>'Données projet'!D17</f>
        <v>3.7060891719745217</v>
      </c>
      <c r="C14" s="147">
        <f ca="1">IF(OR('Données projet'!B17="",'Données projet'!C17="",'Données projet'!C17=0%),0,Calculateur!GE3)</f>
        <v>198.26255998041</v>
      </c>
      <c r="D14" s="147">
        <f>IF(OR('Données projet'!B17="",'Données projet'!C17="",'Données projet'!C17=0%),0,Calculateur!GF3)</f>
        <v>238.62101708181166</v>
      </c>
      <c r="E14" s="147">
        <f t="shared" ca="1" si="0"/>
        <v>198.26255998041</v>
      </c>
      <c r="F14" s="147">
        <f t="shared" ca="1" si="1"/>
        <v>734.77872675134665</v>
      </c>
      <c r="G14" s="147">
        <f ca="1">F14*(100%-'Données projet'!$C$24)*(100%-'Données projet'!$C$25)*(100%-'Données projet'!$C$26)*(100%-'Données projet'!$C$27)</f>
        <v>661.30085407621198</v>
      </c>
      <c r="H14" s="155">
        <f>IF(OR('Données projet'!B17="",'Données projet'!C17="",'Données projet'!C17=0%),0,AVERAGE(Calculateur!$GO$3:$GO$33)*B14)</f>
        <v>23.594284652465308</v>
      </c>
      <c r="I14" s="149">
        <f>H14*(100%-'Données projet'!$C$24)*(100%-'Données projet'!$C$25)*(100%-'Données projet'!$C$26)*(100%-'Données projet'!$C$27)</f>
        <v>21.234856187218778</v>
      </c>
      <c r="J14" s="150">
        <f>IF(OR('Données projet'!B17="",'Données projet'!C17="",'Données projet'!C17=0%),0,SUM(Calculateur!$GH$3:$GH$33)*VLOOKUP('Données projet'!$B$17,Paramètres!$A$1:$I$89,9,0)*B14)</f>
        <v>165.69646731210187</v>
      </c>
      <c r="K14" s="151">
        <f>J14*(100%-'Données projet'!$C$24)*(100%-'Données projet'!$C$25)*(100%-'Données projet'!$C$26)*(100%-'Données projet'!$C$27)</f>
        <v>149.12682058089169</v>
      </c>
      <c r="L14" s="152">
        <f t="shared" ca="1" si="2"/>
        <v>831.66253084432242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>Pin pignon</v>
      </c>
      <c r="B15" s="157">
        <f>'Données projet'!D18</f>
        <v>0.12779617834394902</v>
      </c>
      <c r="C15" s="158">
        <f ca="1">IF(OR('Données projet'!B18="",'Données projet'!C18="",'Données projet'!C18=0%),0,Calculateur!GZ3)</f>
        <v>604.0566904089452</v>
      </c>
      <c r="D15" s="158">
        <f>IF(OR('Données projet'!B18="",'Données projet'!C18="",'Données projet'!C18=0%),0,Calculateur!HA3)</f>
        <v>369.5187835902687</v>
      </c>
      <c r="E15" s="158">
        <f t="shared" ca="1" si="0"/>
        <v>369.5187835902687</v>
      </c>
      <c r="F15" s="159">
        <f t="shared" ca="1" si="1"/>
        <v>47.223088369141081</v>
      </c>
      <c r="G15" s="159">
        <f ca="1">F15*(100%-'Données projet'!$C$24)*(100%-'Données projet'!$C$25)*(100%-'Données projet'!$C$26)*(100%-'Données projet'!$C$27)</f>
        <v>42.500779532226971</v>
      </c>
      <c r="H15" s="160">
        <f>IF(OR('Données projet'!B18="",'Données projet'!C18="",'Données projet'!C18=0%),0,AVERAGE(Calculateur!$HJ$3:$HJ$33)*B15)</f>
        <v>0.10796214063813796</v>
      </c>
      <c r="I15" s="161">
        <f>H15*(100%-'Données projet'!$C$24)*(100%-'Données projet'!$C$25)*(100%-'Données projet'!$C$26)*(100%-'Données projet'!$C$27)</f>
        <v>9.7165926574324157E-2</v>
      </c>
      <c r="J15" s="162">
        <f>IF(OR('Données projet'!B18="",'Données projet'!C18="",'Données projet'!C18=0%),0,SUM(Calculateur!$HC$3:$HC$33)*VLOOKUP('Données projet'!$B$18,Paramètres!$A$1:$I$89,9,0)*B15)</f>
        <v>1.5386659872611461</v>
      </c>
      <c r="K15" s="163">
        <f>J15*(100%-'Données projet'!$C$24)*(100%-'Données projet'!$C$25)*(100%-'Données projet'!$C$26)*(100%-'Données projet'!$C$27)</f>
        <v>1.3847993885350316</v>
      </c>
      <c r="L15" s="164">
        <f t="shared" ca="1" si="2"/>
        <v>43.982744847336328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3456.2342710329517</v>
      </c>
      <c r="G16" s="166">
        <f t="shared" ca="1" si="3"/>
        <v>3110.6108439296563</v>
      </c>
      <c r="H16" s="167">
        <f t="shared" si="3"/>
        <v>29.207568122105972</v>
      </c>
      <c r="I16" s="167">
        <f t="shared" si="3"/>
        <v>26.286811309895377</v>
      </c>
      <c r="J16" s="168">
        <f t="shared" si="3"/>
        <v>223.59714573248402</v>
      </c>
      <c r="K16" s="168">
        <f t="shared" si="3"/>
        <v>201.23743115923565</v>
      </c>
      <c r="L16" s="169">
        <f t="shared" ca="1" si="3"/>
        <v>3338.1350863987873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Robinier faux-acacia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Frêne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Tilleul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Châtaignier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Douglas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Cèdre de l'Atlas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>Pin pignon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2" zoomScale="80" zoomScaleNormal="80" workbookViewId="0">
      <selection activeCell="E296" sqref="E296:E29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-3527.6768317769111</v>
      </c>
      <c r="U10" s="178">
        <f>'Données projet'!D9</f>
        <v>6.5280000000000005</v>
      </c>
      <c r="V10" s="177">
        <f>U10*T10</f>
        <v>-23028.674357839678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Robinier faux-acacia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-1999.4057881482245</v>
      </c>
      <c r="U11" s="178">
        <f>'Données projet'!D10</f>
        <v>0.25559235668789804</v>
      </c>
      <c r="V11" s="177">
        <f t="shared" ref="V11" si="0">U11*T11</f>
        <v>-511.03283736822891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Merisier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-4913.612944884404</v>
      </c>
      <c r="U12" s="178">
        <f>'Données projet'!D11</f>
        <v>0.38338853503184711</v>
      </c>
      <c r="V12" s="177">
        <f t="shared" ref="V12:V19" si="1">U12*T12</f>
        <v>-1883.8228686527518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Frêne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-4272.0664493827553</v>
      </c>
      <c r="U13" s="178">
        <f>'Données projet'!D12</f>
        <v>0.38338853503184711</v>
      </c>
      <c r="V13" s="177">
        <f t="shared" si="1"/>
        <v>-1637.8612975875592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Charme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-2393.3320196042123</v>
      </c>
      <c r="U14" s="178">
        <f>'Données projet'!D13</f>
        <v>0.63898089171974526</v>
      </c>
      <c r="V14" s="177">
        <f t="shared" si="1"/>
        <v>-1529.2934280681184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Tilleul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-4351.1950685158135</v>
      </c>
      <c r="U15" s="178">
        <f>'Données projet'!D14</f>
        <v>0.12779617834394902</v>
      </c>
      <c r="V15" s="177">
        <f t="shared" si="1"/>
        <v>-556.06610098535839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Châtaignier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-4021.4985989823699</v>
      </c>
      <c r="U16" s="178">
        <f>'Données projet'!D15</f>
        <v>0.12779617834394902</v>
      </c>
      <c r="V16" s="177">
        <f t="shared" si="1"/>
        <v>-513.93215216549208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3922.3749464012253</v>
      </c>
      <c r="F17" s="230"/>
      <c r="G17" s="289"/>
      <c r="I17" s="1" t="s">
        <v>326</v>
      </c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Douglas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-709.28231617103393</v>
      </c>
      <c r="U17" s="178">
        <f>'Données projet'!D16</f>
        <v>0.25559235668789804</v>
      </c>
      <c r="V17" s="177">
        <f t="shared" si="1"/>
        <v>-181.28713874720538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v>867.61102603369068</v>
      </c>
      <c r="F18" s="230"/>
      <c r="G18" s="289"/>
      <c r="I18" s="1" t="s">
        <v>325</v>
      </c>
      <c r="J18" s="202"/>
      <c r="K18" s="208"/>
      <c r="L18" s="259" t="s">
        <v>255</v>
      </c>
      <c r="M18" s="261"/>
      <c r="N18" s="192">
        <v>5</v>
      </c>
      <c r="O18" s="23"/>
      <c r="P18" s="23"/>
      <c r="Q18" s="234"/>
      <c r="R18" s="23"/>
      <c r="S18" s="36" t="str">
        <f>B262</f>
        <v>Cèdre de l'Atlas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-2251.5506453905273</v>
      </c>
      <c r="U18" s="178">
        <f>'Données projet'!D17</f>
        <v>3.7060891719745217</v>
      </c>
      <c r="V18" s="177">
        <f t="shared" si="1"/>
        <v>-8344.4474670340787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v>867.61102603369068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>Pin pignon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-2853.9059683520959</v>
      </c>
      <c r="U19" s="178">
        <f>'Données projet'!D18</f>
        <v>0.12779617834394902</v>
      </c>
      <c r="V19" s="177">
        <f t="shared" si="1"/>
        <v>-364.718276108385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650+20</f>
        <v>670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20+700+20*'Données projet'!C5</f>
        <v>970.8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20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36</v>
      </c>
      <c r="B23" s="181">
        <f>'Données projet'!D36</f>
        <v>34</v>
      </c>
      <c r="C23" s="193">
        <v>10.000000000000002</v>
      </c>
      <c r="D23" s="182">
        <f>B23*C23</f>
        <v>340.00000000000006</v>
      </c>
      <c r="E23" s="193"/>
      <c r="F23" s="230"/>
      <c r="H23" s="190">
        <v>4</v>
      </c>
      <c r="I23" s="191">
        <v>20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-61915.565238002062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44</v>
      </c>
      <c r="B24" s="181">
        <f>'Données projet'!D37</f>
        <v>47</v>
      </c>
      <c r="C24" s="193">
        <v>58</v>
      </c>
      <c r="D24" s="182">
        <f t="shared" ref="D24:D42" si="2">B24*C24</f>
        <v>2726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25276.059664370867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52</v>
      </c>
      <c r="B25" s="181">
        <f>'Données projet'!D38</f>
        <v>63</v>
      </c>
      <c r="C25" s="193">
        <v>58</v>
      </c>
      <c r="D25" s="182">
        <f t="shared" si="2"/>
        <v>3654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100</v>
      </c>
      <c r="Q25" s="234"/>
      <c r="R25" s="23"/>
      <c r="S25" s="186" t="s">
        <v>266</v>
      </c>
      <c r="T25" s="303">
        <f ca="1">T23-T24</f>
        <v>-87191.624902372932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60</v>
      </c>
      <c r="B26" s="181">
        <f>'Données projet'!D39</f>
        <v>54</v>
      </c>
      <c r="C26" s="193">
        <v>106</v>
      </c>
      <c r="D26" s="182">
        <f t="shared" si="2"/>
        <v>5724</v>
      </c>
      <c r="E26" s="193"/>
      <c r="F26" s="233"/>
      <c r="G26" s="229"/>
      <c r="H26" s="190">
        <v>7</v>
      </c>
      <c r="I26" s="191">
        <v>20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69</v>
      </c>
      <c r="B27" s="181">
        <f>'Données projet'!D40</f>
        <v>51</v>
      </c>
      <c r="C27" s="193">
        <v>106</v>
      </c>
      <c r="D27" s="182">
        <f t="shared" si="2"/>
        <v>5406</v>
      </c>
      <c r="E27" s="193"/>
      <c r="F27" s="233"/>
      <c r="G27" s="229"/>
      <c r="H27" s="190">
        <v>8</v>
      </c>
      <c r="I27" s="191">
        <v>20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78</v>
      </c>
      <c r="B28" s="181">
        <f>'Données projet'!D41</f>
        <v>49</v>
      </c>
      <c r="C28" s="193">
        <v>106</v>
      </c>
      <c r="D28" s="182">
        <f t="shared" si="2"/>
        <v>5194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87</v>
      </c>
      <c r="B29" s="181">
        <f>'Données projet'!D42</f>
        <v>46</v>
      </c>
      <c r="C29" s="193">
        <v>106</v>
      </c>
      <c r="D29" s="182">
        <f t="shared" si="2"/>
        <v>4876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96</v>
      </c>
      <c r="B30" s="181">
        <f>'Données projet'!D43</f>
        <v>44</v>
      </c>
      <c r="C30" s="193">
        <v>106</v>
      </c>
      <c r="D30" s="182">
        <f t="shared" si="2"/>
        <v>4664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2015.6347419753483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105</v>
      </c>
      <c r="B31" s="181">
        <f>'Données projet'!D44</f>
        <v>43</v>
      </c>
      <c r="C31" s="193">
        <v>106</v>
      </c>
      <c r="D31" s="182">
        <f t="shared" si="2"/>
        <v>4558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114</v>
      </c>
      <c r="B32" s="181">
        <f>'Données projet'!D45</f>
        <v>43</v>
      </c>
      <c r="C32" s="193">
        <v>106</v>
      </c>
      <c r="D32" s="182">
        <f t="shared" si="2"/>
        <v>4558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123</v>
      </c>
      <c r="B33" s="181">
        <f>'Données projet'!D46</f>
        <v>40</v>
      </c>
      <c r="C33" s="193">
        <v>106</v>
      </c>
      <c r="D33" s="182">
        <f t="shared" si="2"/>
        <v>4240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100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132</v>
      </c>
      <c r="B34" s="181">
        <f>'Données projet'!D47</f>
        <v>41</v>
      </c>
      <c r="C34" s="193">
        <v>106</v>
      </c>
      <c r="D34" s="182">
        <f t="shared" si="2"/>
        <v>4346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95.693779904306226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141</v>
      </c>
      <c r="B35" s="181">
        <f>'Données projet'!D48</f>
        <v>45</v>
      </c>
      <c r="C35" s="193">
        <v>106</v>
      </c>
      <c r="D35" s="182">
        <f t="shared" si="2"/>
        <v>4770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91.572995123738025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153</v>
      </c>
      <c r="B36" s="181">
        <f>'Données projet'!D49</f>
        <v>481</v>
      </c>
      <c r="C36" s="193">
        <v>106</v>
      </c>
      <c r="D36" s="182">
        <f t="shared" si="2"/>
        <v>50986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87.629660405490938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83.856134359321487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80.245104650068413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76.789573827816682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73.482845768245625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70.31851269688579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67.290442772139514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64.392768203004323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61.619873878473044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Robinier faux-acacia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58.966386486577086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56.427164101987636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53.997286221997754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2932.8369230769231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51.672044231576791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v>813.46153846153845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49.446932279020878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v>813.46153846153845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47.317638544517585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45.280036884705829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43.330178837039071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41.464285968458455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5</v>
      </c>
      <c r="B54" s="181">
        <f>'Données projet'!D62</f>
        <v>8</v>
      </c>
      <c r="C54" s="191">
        <v>5</v>
      </c>
      <c r="D54" s="179">
        <f>B54*C54</f>
        <v>40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39.678742553548759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10</v>
      </c>
      <c r="B55" s="181">
        <f>'Données projet'!D63</f>
        <v>37</v>
      </c>
      <c r="C55" s="191">
        <v>5</v>
      </c>
      <c r="D55" s="179">
        <f t="shared" ref="D55:D73" si="4">B55*C55</f>
        <v>185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37.970088567989251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15</v>
      </c>
      <c r="B56" s="181">
        <f>'Données projet'!D64</f>
        <v>29</v>
      </c>
      <c r="C56" s="191">
        <v>5</v>
      </c>
      <c r="D56" s="179">
        <f t="shared" si="4"/>
        <v>145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36.335012983721775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20</v>
      </c>
      <c r="B57" s="181">
        <f>'Données projet'!D65</f>
        <v>23</v>
      </c>
      <c r="C57" s="191">
        <v>5</v>
      </c>
      <c r="D57" s="179">
        <f t="shared" si="4"/>
        <v>115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34.770347352843807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25</v>
      </c>
      <c r="B58" s="181">
        <f>'Données projet'!D66</f>
        <v>18</v>
      </c>
      <c r="C58" s="191">
        <v>5</v>
      </c>
      <c r="D58" s="179">
        <f t="shared" si="4"/>
        <v>90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33.27305966779312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30</v>
      </c>
      <c r="B59" s="181">
        <f>'Données projet'!D67</f>
        <v>14</v>
      </c>
      <c r="C59" s="191">
        <v>38</v>
      </c>
      <c r="D59" s="179">
        <f t="shared" si="4"/>
        <v>532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31.840248485926438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35</v>
      </c>
      <c r="B60" s="181">
        <f>'Données projet'!D68</f>
        <v>11</v>
      </c>
      <c r="C60" s="191">
        <v>38</v>
      </c>
      <c r="D60" s="179">
        <f t="shared" si="4"/>
        <v>418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30.469137307106639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40</v>
      </c>
      <c r="B61" s="181">
        <f>'Données projet'!D69</f>
        <v>9</v>
      </c>
      <c r="C61" s="191">
        <v>38</v>
      </c>
      <c r="D61" s="179">
        <f t="shared" si="4"/>
        <v>342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29.15706919340349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45</v>
      </c>
      <c r="B62" s="181">
        <f>'Données projet'!D70</f>
        <v>378</v>
      </c>
      <c r="C62" s="191">
        <v>38</v>
      </c>
      <c r="D62" s="179">
        <f t="shared" si="4"/>
        <v>14364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27.901501620481802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26.7000015507003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25.550240718373487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24.449991118060769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23.397120687139495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22.389589174296169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21.425444185929347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20.50281740280321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19.619920959620295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18.775043980497895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17.966549263634349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17.192870108741008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16.452507281091876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15.744026106308016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Merisier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15.066053690246907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14.417276258609482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13.79643661110955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4421.5115789473684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v>876.31578947368416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v>876.31578947368416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3</v>
      </c>
      <c r="C85" s="191">
        <v>5</v>
      </c>
      <c r="D85" s="179">
        <f>B85*C85</f>
        <v>15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25</v>
      </c>
      <c r="C86" s="191">
        <v>5</v>
      </c>
      <c r="D86" s="179">
        <f t="shared" ref="D86:D104" si="6">B86*C86</f>
        <v>125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27</v>
      </c>
      <c r="C87" s="191">
        <v>5</v>
      </c>
      <c r="D87" s="179">
        <f t="shared" si="6"/>
        <v>135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31</v>
      </c>
      <c r="B88" s="181">
        <f>'Données projet'!D91</f>
        <v>36</v>
      </c>
      <c r="C88" s="191">
        <v>5</v>
      </c>
      <c r="D88" s="179">
        <f t="shared" si="6"/>
        <v>180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37</v>
      </c>
      <c r="B89" s="181">
        <f>'Données projet'!D92</f>
        <v>36</v>
      </c>
      <c r="C89" s="191">
        <v>5</v>
      </c>
      <c r="D89" s="179">
        <f t="shared" si="6"/>
        <v>180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44</v>
      </c>
      <c r="B90" s="181">
        <f>'Données projet'!D93</f>
        <v>43</v>
      </c>
      <c r="C90" s="191">
        <v>21.5</v>
      </c>
      <c r="D90" s="179">
        <f t="shared" si="6"/>
        <v>924.5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52</v>
      </c>
      <c r="B91" s="181">
        <f>'Données projet'!D94</f>
        <v>48</v>
      </c>
      <c r="C91" s="191">
        <v>21.5</v>
      </c>
      <c r="D91" s="179">
        <f t="shared" si="6"/>
        <v>1032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60</v>
      </c>
      <c r="B92" s="181">
        <f>'Données projet'!D95</f>
        <v>47</v>
      </c>
      <c r="C92" s="191">
        <v>38</v>
      </c>
      <c r="D92" s="179">
        <f t="shared" si="6"/>
        <v>1786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69</v>
      </c>
      <c r="B93" s="181">
        <f>'Données projet'!D96</f>
        <v>328</v>
      </c>
      <c r="C93" s="191">
        <v>38</v>
      </c>
      <c r="D93" s="179">
        <f t="shared" si="6"/>
        <v>12464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Frêne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4405.7221052631576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v>876.31578947368416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v>876.31578947368416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25</v>
      </c>
      <c r="B116" s="181">
        <f>'Données projet'!D114</f>
        <v>5.0469999999999997</v>
      </c>
      <c r="C116" s="191">
        <v>5</v>
      </c>
      <c r="D116" s="179">
        <f>B116*C116</f>
        <v>25.234999999999999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5.0469999999999997</v>
      </c>
      <c r="C117" s="191">
        <v>5</v>
      </c>
      <c r="D117" s="179">
        <f t="shared" ref="D117:D135" si="8">B117*C117</f>
        <v>25.234999999999999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35</v>
      </c>
      <c r="B118" s="181">
        <f>'Données projet'!D116</f>
        <v>5.0469999999999997</v>
      </c>
      <c r="C118" s="191">
        <v>5</v>
      </c>
      <c r="D118" s="179">
        <f t="shared" si="8"/>
        <v>25.234999999999999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40</v>
      </c>
      <c r="B119" s="181">
        <f>'Données projet'!D117</f>
        <v>5.0469999999999997</v>
      </c>
      <c r="C119" s="191">
        <v>18.5</v>
      </c>
      <c r="D119" s="179">
        <f t="shared" si="8"/>
        <v>93.369499999999988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45</v>
      </c>
      <c r="B120" s="181">
        <f>'Données projet'!D118</f>
        <v>5.0469999999999997</v>
      </c>
      <c r="C120" s="191">
        <v>18.5</v>
      </c>
      <c r="D120" s="179">
        <f t="shared" si="8"/>
        <v>93.369499999999988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50</v>
      </c>
      <c r="B121" s="181">
        <f>'Données projet'!D119</f>
        <v>4.3259999999999996</v>
      </c>
      <c r="C121" s="191">
        <v>18.500000000000004</v>
      </c>
      <c r="D121" s="179">
        <f t="shared" si="8"/>
        <v>80.031000000000006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55</v>
      </c>
      <c r="B122" s="181">
        <f>'Données projet'!D120</f>
        <v>3.2444999999999999</v>
      </c>
      <c r="C122" s="191">
        <v>18.499984589304979</v>
      </c>
      <c r="D122" s="179">
        <f t="shared" si="8"/>
        <v>60.023200000000003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60</v>
      </c>
      <c r="B123" s="181">
        <f>'Données projet'!D121</f>
        <v>2.5234999999999999</v>
      </c>
      <c r="C123" s="191">
        <v>32</v>
      </c>
      <c r="D123" s="179">
        <f t="shared" si="8"/>
        <v>80.751999999999995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65</v>
      </c>
      <c r="B124" s="181">
        <f>'Données projet'!D122</f>
        <v>2.1629999999999998</v>
      </c>
      <c r="C124" s="191">
        <v>32</v>
      </c>
      <c r="D124" s="179">
        <f t="shared" si="8"/>
        <v>69.215999999999994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70</v>
      </c>
      <c r="B125" s="181">
        <f>'Données projet'!D123</f>
        <v>1.8025</v>
      </c>
      <c r="C125" s="191">
        <v>32</v>
      </c>
      <c r="D125" s="179">
        <f t="shared" si="8"/>
        <v>57.68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75</v>
      </c>
      <c r="B126" s="181">
        <f>'Données projet'!D124</f>
        <v>1.4419999999999999</v>
      </c>
      <c r="C126" s="191">
        <v>32</v>
      </c>
      <c r="D126" s="179">
        <f t="shared" si="8"/>
        <v>46.143999999999998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80</v>
      </c>
      <c r="B127" s="181">
        <f>'Données projet'!D125</f>
        <v>59.122</v>
      </c>
      <c r="C127" s="191">
        <v>32</v>
      </c>
      <c r="D127" s="179">
        <f t="shared" si="8"/>
        <v>1891.904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Charme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3138.64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v>829.6875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v>829.6875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5">
        <f>'Données projet'!D140</f>
        <v>8</v>
      </c>
      <c r="C147" s="191">
        <v>5</v>
      </c>
      <c r="D147" s="182">
        <f>B147*C147</f>
        <v>40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5">
        <f>'Données projet'!D141</f>
        <v>15</v>
      </c>
      <c r="C148" s="191">
        <v>5</v>
      </c>
      <c r="D148" s="182">
        <f t="shared" ref="D148:D166" si="10">B148*C148</f>
        <v>75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5">
        <f>'Données projet'!D142</f>
        <v>20</v>
      </c>
      <c r="C149" s="191">
        <v>5</v>
      </c>
      <c r="D149" s="182">
        <f t="shared" si="10"/>
        <v>100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5">
        <f>'Données projet'!D143</f>
        <v>31</v>
      </c>
      <c r="C150" s="191">
        <v>5</v>
      </c>
      <c r="D150" s="182">
        <f t="shared" si="10"/>
        <v>155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5">
        <f>'Données projet'!D144</f>
        <v>43</v>
      </c>
      <c r="C151" s="191">
        <v>5</v>
      </c>
      <c r="D151" s="182">
        <f t="shared" si="10"/>
        <v>215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5">
        <f>'Données projet'!D145</f>
        <v>49</v>
      </c>
      <c r="C152" s="191">
        <v>5</v>
      </c>
      <c r="D152" s="182">
        <f t="shared" si="10"/>
        <v>245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5">
        <f>'Données projet'!D146</f>
        <v>54</v>
      </c>
      <c r="C153" s="191">
        <v>18.5</v>
      </c>
      <c r="D153" s="182">
        <f t="shared" si="10"/>
        <v>999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5">
        <f>'Données projet'!D147</f>
        <v>56</v>
      </c>
      <c r="C154" s="191">
        <v>18.5</v>
      </c>
      <c r="D154" s="182">
        <f t="shared" si="10"/>
        <v>1036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5">
        <f>'Données projet'!D148</f>
        <v>58</v>
      </c>
      <c r="C155" s="191">
        <v>18.5</v>
      </c>
      <c r="D155" s="182">
        <f t="shared" si="10"/>
        <v>1073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5">
        <f>'Données projet'!D149</f>
        <v>58</v>
      </c>
      <c r="C156" s="191">
        <v>18.5</v>
      </c>
      <c r="D156" s="182">
        <f t="shared" si="10"/>
        <v>1073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5">
        <f>'Données projet'!D150</f>
        <v>59</v>
      </c>
      <c r="C157" s="191">
        <v>32</v>
      </c>
      <c r="D157" s="182">
        <f t="shared" si="10"/>
        <v>1888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5">
        <f>'Données projet'!D151</f>
        <v>58</v>
      </c>
      <c r="C158" s="191">
        <v>32</v>
      </c>
      <c r="D158" s="182">
        <f t="shared" si="10"/>
        <v>1856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5">
        <f>'Données projet'!D152</f>
        <v>58</v>
      </c>
      <c r="C159" s="191">
        <v>32</v>
      </c>
      <c r="D159" s="182">
        <f t="shared" si="10"/>
        <v>1856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5">
        <f>'Données projet'!D153</f>
        <v>57</v>
      </c>
      <c r="C160" s="191">
        <v>32</v>
      </c>
      <c r="D160" s="182">
        <f t="shared" si="10"/>
        <v>1824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5">
        <f>'Données projet'!D154</f>
        <v>56</v>
      </c>
      <c r="C161" s="191">
        <v>32</v>
      </c>
      <c r="D161" s="182">
        <f t="shared" si="10"/>
        <v>1792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85</v>
      </c>
      <c r="B162" s="175">
        <f>'Données projet'!D155</f>
        <v>54</v>
      </c>
      <c r="C162" s="191">
        <v>32</v>
      </c>
      <c r="D162" s="182">
        <f t="shared" si="10"/>
        <v>1728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90</v>
      </c>
      <c r="B163" s="175">
        <f>'Données projet'!D156</f>
        <v>53</v>
      </c>
      <c r="C163" s="191">
        <v>32</v>
      </c>
      <c r="D163" s="182">
        <f t="shared" si="10"/>
        <v>1696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95</v>
      </c>
      <c r="B164" s="175">
        <f>'Données projet'!D157</f>
        <v>51</v>
      </c>
      <c r="C164" s="191">
        <v>32</v>
      </c>
      <c r="D164" s="182">
        <f t="shared" si="10"/>
        <v>1632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100</v>
      </c>
      <c r="B165" s="175">
        <f>'Données projet'!D158</f>
        <v>50</v>
      </c>
      <c r="C165" s="191">
        <v>32</v>
      </c>
      <c r="D165" s="182">
        <f t="shared" si="10"/>
        <v>1600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105</v>
      </c>
      <c r="B166" s="175">
        <f>'Données projet'!D159</f>
        <v>569</v>
      </c>
      <c r="C166" s="191">
        <v>32</v>
      </c>
      <c r="D166" s="182">
        <f t="shared" si="10"/>
        <v>18208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Tilleul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3480.6492307692306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v>823.84615384615381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v>823.84615384615381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11</v>
      </c>
      <c r="C178" s="193">
        <v>5</v>
      </c>
      <c r="D178" s="179">
        <f>B178*C178</f>
        <v>55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15</v>
      </c>
      <c r="B179" s="181">
        <f>'Données projet'!D167</f>
        <v>20</v>
      </c>
      <c r="C179" s="193">
        <v>5</v>
      </c>
      <c r="D179" s="179">
        <f t="shared" ref="D179:D197" si="11">B179*C179</f>
        <v>100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20</v>
      </c>
      <c r="B180" s="181">
        <f>'Données projet'!D168</f>
        <v>25</v>
      </c>
      <c r="C180" s="193">
        <v>5</v>
      </c>
      <c r="D180" s="179">
        <f t="shared" si="11"/>
        <v>125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25</v>
      </c>
      <c r="B181" s="181">
        <f>'Données projet'!D169</f>
        <v>28</v>
      </c>
      <c r="C181" s="193">
        <v>5</v>
      </c>
      <c r="D181" s="179">
        <f t="shared" si="11"/>
        <v>140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30</v>
      </c>
      <c r="B182" s="181">
        <f>'Données projet'!D170</f>
        <v>29</v>
      </c>
      <c r="C182" s="193">
        <v>5</v>
      </c>
      <c r="D182" s="179">
        <f t="shared" si="11"/>
        <v>145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35</v>
      </c>
      <c r="B183" s="181">
        <f>'Données projet'!D171</f>
        <v>29</v>
      </c>
      <c r="C183" s="193">
        <v>5</v>
      </c>
      <c r="D183" s="179">
        <f t="shared" si="11"/>
        <v>145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40</v>
      </c>
      <c r="B184" s="181">
        <f>'Données projet'!D172</f>
        <v>29</v>
      </c>
      <c r="C184" s="193">
        <v>12.5</v>
      </c>
      <c r="D184" s="179">
        <f t="shared" si="11"/>
        <v>362.5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45</v>
      </c>
      <c r="B185" s="181">
        <f>'Données projet'!D173</f>
        <v>28</v>
      </c>
      <c r="C185" s="193">
        <v>12.5</v>
      </c>
      <c r="D185" s="179">
        <f t="shared" si="11"/>
        <v>350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50</v>
      </c>
      <c r="B186" s="181">
        <f>'Données projet'!D174</f>
        <v>27</v>
      </c>
      <c r="C186" s="193">
        <v>12.5</v>
      </c>
      <c r="D186" s="179">
        <f t="shared" si="11"/>
        <v>337.5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55</v>
      </c>
      <c r="B187" s="181">
        <f>'Données projet'!D175</f>
        <v>24</v>
      </c>
      <c r="C187" s="193">
        <v>12.5</v>
      </c>
      <c r="D187" s="179">
        <f t="shared" si="11"/>
        <v>300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60</v>
      </c>
      <c r="B188" s="181">
        <f>'Données projet'!D176</f>
        <v>25</v>
      </c>
      <c r="C188" s="193">
        <v>20</v>
      </c>
      <c r="D188" s="179">
        <f t="shared" si="11"/>
        <v>500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65</v>
      </c>
      <c r="B189" s="181">
        <f>'Données projet'!D177</f>
        <v>24</v>
      </c>
      <c r="C189" s="193">
        <v>20</v>
      </c>
      <c r="D189" s="179">
        <f t="shared" si="11"/>
        <v>480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70</v>
      </c>
      <c r="B190" s="181">
        <f>'Données projet'!D178</f>
        <v>23</v>
      </c>
      <c r="C190" s="193">
        <v>20</v>
      </c>
      <c r="D190" s="179">
        <f t="shared" si="11"/>
        <v>460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75</v>
      </c>
      <c r="B191" s="181">
        <f>'Données projet'!D179</f>
        <v>22</v>
      </c>
      <c r="C191" s="193">
        <v>20</v>
      </c>
      <c r="D191" s="179">
        <f t="shared" si="11"/>
        <v>440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80</v>
      </c>
      <c r="B192" s="181">
        <f>'Données projet'!D180</f>
        <v>22</v>
      </c>
      <c r="C192" s="193">
        <v>20</v>
      </c>
      <c r="D192" s="179">
        <f t="shared" si="11"/>
        <v>440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85</v>
      </c>
      <c r="B193" s="181">
        <f>'Données projet'!D181</f>
        <v>21</v>
      </c>
      <c r="C193" s="193">
        <v>20</v>
      </c>
      <c r="D193" s="179">
        <f t="shared" si="11"/>
        <v>420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90</v>
      </c>
      <c r="B194" s="181">
        <f>'Données projet'!D182</f>
        <v>20</v>
      </c>
      <c r="C194" s="193">
        <v>20</v>
      </c>
      <c r="D194" s="179">
        <f t="shared" si="11"/>
        <v>400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95</v>
      </c>
      <c r="B195" s="181">
        <f>'Données projet'!D183</f>
        <v>19</v>
      </c>
      <c r="C195" s="193">
        <v>20</v>
      </c>
      <c r="D195" s="179">
        <f t="shared" si="11"/>
        <v>380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100</v>
      </c>
      <c r="B196" s="181">
        <f>'Données projet'!D184</f>
        <v>18</v>
      </c>
      <c r="C196" s="193">
        <v>20</v>
      </c>
      <c r="D196" s="179">
        <f t="shared" si="11"/>
        <v>360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105</v>
      </c>
      <c r="B197" s="181">
        <f>'Données projet'!D185</f>
        <v>514</v>
      </c>
      <c r="C197" s="193">
        <v>20</v>
      </c>
      <c r="D197" s="179">
        <f t="shared" si="11"/>
        <v>10280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Châtaignier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3494.4953846153849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>
        <v>823.84615384615381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v>823.84615384615381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10</v>
      </c>
      <c r="B209" s="181">
        <f>'Données projet'!D192</f>
        <v>71</v>
      </c>
      <c r="C209" s="193">
        <v>5</v>
      </c>
      <c r="D209" s="179">
        <f>B209*C209</f>
        <v>355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16</v>
      </c>
      <c r="B210" s="181">
        <f>'Données projet'!D193</f>
        <v>33</v>
      </c>
      <c r="C210" s="193">
        <v>5</v>
      </c>
      <c r="D210" s="179">
        <f t="shared" ref="D210:D228" si="12">B210*C210</f>
        <v>165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25</v>
      </c>
      <c r="B211" s="181">
        <f>'Données projet'!D194</f>
        <v>41</v>
      </c>
      <c r="C211" s="193">
        <v>5</v>
      </c>
      <c r="D211" s="179">
        <f t="shared" si="12"/>
        <v>205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45</v>
      </c>
      <c r="B212" s="181">
        <f>'Données projet'!D195</f>
        <v>231</v>
      </c>
      <c r="C212" s="193">
        <v>20</v>
      </c>
      <c r="D212" s="179">
        <f t="shared" si="12"/>
        <v>4620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Douglas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3590.5292307692307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>
        <v>969.23076923076917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>
        <v>969.23076923076917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21</v>
      </c>
      <c r="B240" s="181">
        <f>'Données projet'!D218</f>
        <v>55</v>
      </c>
      <c r="C240" s="193">
        <v>11</v>
      </c>
      <c r="D240" s="179">
        <f>B240*C240</f>
        <v>605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27</v>
      </c>
      <c r="B241" s="181">
        <f>'Données projet'!D219</f>
        <v>81</v>
      </c>
      <c r="C241" s="193">
        <v>11</v>
      </c>
      <c r="D241" s="179">
        <f t="shared" ref="D241:D259" si="13">B241*C241</f>
        <v>891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33</v>
      </c>
      <c r="B242" s="181">
        <f>'Données projet'!D220</f>
        <v>87</v>
      </c>
      <c r="C242" s="193">
        <v>23</v>
      </c>
      <c r="D242" s="179">
        <f t="shared" si="13"/>
        <v>2001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39</v>
      </c>
      <c r="B243" s="181">
        <f>'Données projet'!D221</f>
        <v>90</v>
      </c>
      <c r="C243" s="193">
        <v>23</v>
      </c>
      <c r="D243" s="179">
        <f t="shared" si="13"/>
        <v>2070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45</v>
      </c>
      <c r="B244" s="181">
        <f>'Données projet'!D222</f>
        <v>89</v>
      </c>
      <c r="C244" s="193">
        <v>23</v>
      </c>
      <c r="D244" s="179">
        <f t="shared" si="13"/>
        <v>2047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51</v>
      </c>
      <c r="B245" s="181">
        <f>'Données projet'!D223</f>
        <v>615</v>
      </c>
      <c r="C245" s="193">
        <v>47</v>
      </c>
      <c r="D245" s="179">
        <f t="shared" si="13"/>
        <v>28905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Cèdre de l'Atlas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2873.1239892183289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>
        <v>707.84636118598382</v>
      </c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>
        <v>707.84636118598382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20</v>
      </c>
      <c r="B271" s="181">
        <f>'Données projet'!D244</f>
        <v>55.3</v>
      </c>
      <c r="C271" s="193">
        <v>5</v>
      </c>
      <c r="D271" s="179">
        <f>B271*C271</f>
        <v>276.5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30</v>
      </c>
      <c r="B272" s="181">
        <f>'Données projet'!D245</f>
        <v>48.674999999999997</v>
      </c>
      <c r="C272" s="193">
        <v>5</v>
      </c>
      <c r="D272" s="179">
        <f t="shared" ref="D272:D290" si="14">B272*C272</f>
        <v>243.375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40</v>
      </c>
      <c r="B273" s="181">
        <f>'Données projet'!D246</f>
        <v>49.204999999999998</v>
      </c>
      <c r="C273" s="193">
        <v>32.5</v>
      </c>
      <c r="D273" s="179">
        <f t="shared" si="14"/>
        <v>1599.1624999999999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50</v>
      </c>
      <c r="B274" s="181">
        <f>'Données projet'!D247</f>
        <v>62.364000000000004</v>
      </c>
      <c r="C274" s="193">
        <v>43.499999999999993</v>
      </c>
      <c r="D274" s="179">
        <f t="shared" si="14"/>
        <v>2712.8339999999998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60</v>
      </c>
      <c r="B275" s="181">
        <f>'Données projet'!D248</f>
        <v>384.45600000000002</v>
      </c>
      <c r="C275" s="193">
        <v>43.499999999999993</v>
      </c>
      <c r="D275" s="179">
        <f t="shared" si="14"/>
        <v>16723.835999999999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>Pin pignon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2153.1176470588234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>
        <v>947.11764705882354</v>
      </c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>
        <v>947.11764705882354</v>
      </c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27</v>
      </c>
      <c r="B302" s="181">
        <f>'Données projet'!D270</f>
        <v>15</v>
      </c>
      <c r="C302" s="191">
        <v>8.5</v>
      </c>
      <c r="D302" s="182">
        <f>B302*C302</f>
        <v>127.5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30</v>
      </c>
      <c r="B303" s="181">
        <f>'Données projet'!D271</f>
        <v>13</v>
      </c>
      <c r="C303" s="191">
        <v>15.5</v>
      </c>
      <c r="D303" s="182">
        <f t="shared" ref="D303:D321" si="15">B303*C303</f>
        <v>201.5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35</v>
      </c>
      <c r="B304" s="181">
        <f>'Données projet'!D272</f>
        <v>23</v>
      </c>
      <c r="C304" s="191">
        <v>15.5</v>
      </c>
      <c r="D304" s="182">
        <f t="shared" si="15"/>
        <v>356.5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40</v>
      </c>
      <c r="B305" s="181">
        <f>'Données projet'!D273</f>
        <v>34</v>
      </c>
      <c r="C305" s="191">
        <v>15.5</v>
      </c>
      <c r="D305" s="182">
        <f t="shared" si="15"/>
        <v>527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50</v>
      </c>
      <c r="B306" s="181">
        <f>'Données projet'!D274</f>
        <v>79</v>
      </c>
      <c r="C306" s="191">
        <v>29.5</v>
      </c>
      <c r="D306" s="182">
        <f t="shared" si="15"/>
        <v>2330.5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60</v>
      </c>
      <c r="B307" s="181">
        <f>'Données projet'!D275</f>
        <v>88</v>
      </c>
      <c r="C307" s="191">
        <v>29.5</v>
      </c>
      <c r="D307" s="182">
        <f t="shared" si="15"/>
        <v>2596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70</v>
      </c>
      <c r="B308" s="181">
        <f>'Données projet'!D276</f>
        <v>78</v>
      </c>
      <c r="C308" s="191">
        <v>29.5</v>
      </c>
      <c r="D308" s="182">
        <f t="shared" si="15"/>
        <v>2301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80</v>
      </c>
      <c r="B309" s="181">
        <f>'Données projet'!D277</f>
        <v>45</v>
      </c>
      <c r="C309" s="191">
        <v>29.5</v>
      </c>
      <c r="D309" s="182">
        <f t="shared" si="15"/>
        <v>1327.5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90</v>
      </c>
      <c r="B310" s="181">
        <f>'Données projet'!D278</f>
        <v>497</v>
      </c>
      <c r="C310" s="191">
        <v>29.5</v>
      </c>
      <c r="D310" s="182">
        <f t="shared" si="15"/>
        <v>14661.5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6" ma:contentTypeDescription="Crée un document." ma:contentTypeScope="" ma:versionID="1b463674f62235156ff3623f477fff23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e5faca9408bca2fcda289e2ffaf76f9f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E50F50-9BDF-42E6-9433-C3E436622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2022-12-23T13:58:48Z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