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SUD OUEST (CI)/2SALI-122/LBC/Annexes/"/>
    </mc:Choice>
  </mc:AlternateContent>
  <xr:revisionPtr revIDLastSave="196" documentId="8_{8F8B4274-9A4A-45C8-B43A-DA1C1F1A5CA1}" xr6:coauthVersionLast="47" xr6:coauthVersionMax="47" xr10:uidLastSave="{C5B0A51B-FD49-4DA8-B94D-9BBD3D22D700}"/>
  <bookViews>
    <workbookView xWindow="-108" yWindow="-108" windowWidth="23256" windowHeight="12456" tabRatio="737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6" l="1"/>
  <c r="I20" i="6"/>
  <c r="I22" i="6"/>
  <c r="E298" i="6"/>
  <c r="E296" i="6"/>
  <c r="E267" i="6"/>
  <c r="E265" i="6"/>
  <c r="E236" i="6"/>
  <c r="E234" i="6"/>
  <c r="E205" i="6"/>
  <c r="E203" i="6"/>
  <c r="E174" i="6"/>
  <c r="E172" i="6"/>
  <c r="E143" i="6"/>
  <c r="E141" i="6"/>
  <c r="E81" i="6"/>
  <c r="E79" i="6"/>
  <c r="E19" i="6" l="1"/>
  <c r="E112" i="6" l="1"/>
  <c r="E110" i="6"/>
  <c r="E50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C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D154" i="2" l="1"/>
  <c r="HH155" i="2"/>
  <c r="EY154" i="2"/>
  <c r="EA155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FS156" i="2"/>
  <c r="HG156" i="2"/>
  <c r="EY155" i="2"/>
  <c r="EX156" i="2"/>
  <c r="EB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EA157" i="2"/>
  <c r="EC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C158" i="2"/>
  <c r="ED157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A159" i="2"/>
  <c r="ED158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Y159" i="2"/>
  <c r="HG160" i="2"/>
  <c r="EC160" i="2"/>
  <c r="FS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G161" i="2" l="1"/>
  <c r="HH161" i="2"/>
  <c r="EX161" i="2"/>
  <c r="EA161" i="2"/>
  <c r="ED160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D161" i="2"/>
  <c r="EC162" i="2"/>
  <c r="DI161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G163" i="2"/>
  <c r="HH163" i="2"/>
  <c r="EB163" i="2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ED163" i="2"/>
  <c r="FR164" i="2"/>
  <c r="HH164" i="2"/>
  <c r="HG164" i="2"/>
  <c r="EY163" i="2"/>
  <c r="EX164" i="2"/>
  <c r="FS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EC166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R167" i="2"/>
  <c r="HJ166" i="2"/>
  <c r="HI167" i="2"/>
  <c r="HH167" i="2"/>
  <c r="EC167" i="2"/>
  <c r="EX167" i="2"/>
  <c r="EY166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EW168" i="2"/>
  <c r="EC168" i="2"/>
  <c r="EB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W172" i="2"/>
  <c r="EY171" i="2"/>
  <c r="EV172" i="2"/>
  <c r="EA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H173" i="2"/>
  <c r="HJ172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G178" i="2"/>
  <c r="EA178" i="2"/>
  <c r="ED177" i="2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A179" i="2"/>
  <c r="HH179" i="2"/>
  <c r="EV179" i="2"/>
  <c r="DF179" i="2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H185" i="2"/>
  <c r="EB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R186" i="2"/>
  <c r="EW186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HJ189" i="2"/>
  <c r="HH190" i="2"/>
  <c r="EY189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Y191" i="2"/>
  <c r="HI192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HI193" i="2" l="1"/>
  <c r="FQ193" i="2"/>
  <c r="EY192" i="2"/>
  <c r="DI192" i="2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EA195" i="2"/>
  <c r="HG195" i="2"/>
  <c r="EY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Y195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Y196" i="2"/>
  <c r="EC197" i="2"/>
  <c r="AA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HG199" i="2"/>
  <c r="EW199" i="2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HJ200" i="2"/>
  <c r="DI200" i="2"/>
  <c r="EA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D201" i="2"/>
  <c r="FZ6" i="2"/>
  <c r="HI202" i="2"/>
  <c r="HJ202" i="2" s="1"/>
  <c r="EW202" i="2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34" i="2" a="1"/>
  <c r="BC34" i="2" s="1"/>
  <c r="BC58" i="2" a="1"/>
  <c r="BC58" i="2" s="1"/>
  <c r="BC68" i="2" a="1"/>
  <c r="BC68" i="2" s="1"/>
  <c r="DN56" i="2" a="1"/>
  <c r="DN56" i="2" s="1"/>
  <c r="GT115" i="2" a="1"/>
  <c r="GT115" i="2" s="1"/>
  <c r="GT184" i="2" a="1"/>
  <c r="GT184" i="2" s="1"/>
  <c r="GT181" i="2" a="1"/>
  <c r="GT181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29" i="2" a="1"/>
  <c r="EI29" i="2" s="1"/>
  <c r="EI178" i="2" a="1"/>
  <c r="EI178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BC130" i="2" a="1"/>
  <c r="BC130" i="2" s="1"/>
  <c r="BC7" i="2" a="1"/>
  <c r="BC7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34" i="2" a="1"/>
  <c r="EI34" i="2" s="1"/>
  <c r="EI16" i="2" a="1"/>
  <c r="EI16" i="2" s="1"/>
  <c r="EI35" i="2" a="1"/>
  <c r="EI3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DN187" i="2" a="1"/>
  <c r="DN187" i="2" s="1"/>
  <c r="AX200" i="2"/>
  <c r="FY104" i="2" l="1" a="1"/>
  <c r="FY104" i="2" s="1"/>
  <c r="FD48" i="2" a="1"/>
  <c r="FD48" i="2" s="1"/>
  <c r="FY78" i="2" a="1"/>
  <c r="FY78" i="2" s="1"/>
  <c r="CS38" i="2" a="1"/>
  <c r="CS38" i="2" s="1"/>
  <c r="CS116" i="2" a="1"/>
  <c r="CS116" i="2" s="1"/>
  <c r="FY69" i="2" a="1"/>
  <c r="FY69" i="2" s="1"/>
  <c r="CS72" i="2" a="1"/>
  <c r="CS72" i="2" s="1"/>
  <c r="FD194" i="2" a="1"/>
  <c r="FD194" i="2" s="1"/>
  <c r="FY121" i="2" a="1"/>
  <c r="FY121" i="2" s="1"/>
  <c r="FY24" i="2" a="1"/>
  <c r="FY24" i="2" s="1"/>
  <c r="FY92" i="2" a="1"/>
  <c r="FY92" i="2" s="1"/>
  <c r="FY18" i="2" a="1"/>
  <c r="FY18" i="2" s="1"/>
  <c r="FD159" i="2" a="1"/>
  <c r="FD159" i="2" s="1"/>
  <c r="FY30" i="2" a="1"/>
  <c r="FY30" i="2" s="1"/>
  <c r="CS66" i="2" a="1"/>
  <c r="CS66" i="2" s="1"/>
  <c r="FY190" i="2" a="1"/>
  <c r="FY190" i="2" s="1"/>
  <c r="FY186" i="2" a="1"/>
  <c r="FY186" i="2" s="1"/>
  <c r="FY35" i="2" a="1"/>
  <c r="FY35" i="2" s="1"/>
  <c r="CS24" i="2" a="1"/>
  <c r="CS24" i="2" s="1"/>
  <c r="CS56" i="2" a="1"/>
  <c r="CS56" i="2" s="1"/>
  <c r="FD43" i="2" a="1"/>
  <c r="FD43" i="2" s="1"/>
  <c r="FY182" i="2" a="1"/>
  <c r="FY182" i="2" s="1"/>
  <c r="FD59" i="2" a="1"/>
  <c r="FD59" i="2" s="1"/>
  <c r="FY55" i="2" a="1"/>
  <c r="FY55" i="2" s="1"/>
  <c r="FY191" i="2" a="1"/>
  <c r="FY191" i="2" s="1"/>
  <c r="FY50" i="2" a="1"/>
  <c r="FY50" i="2" s="1"/>
  <c r="EY202" i="2"/>
  <c r="EI139" i="2" a="1"/>
  <c r="EI139" i="2" s="1"/>
  <c r="EI113" i="2" a="1"/>
  <c r="EI113" i="2" s="1"/>
  <c r="EI165" i="2" a="1"/>
  <c r="EI165" i="2" s="1"/>
  <c r="EI87" i="2" a="1"/>
  <c r="EI87" i="2" s="1"/>
  <c r="EI145" i="2" a="1"/>
  <c r="EI145" i="2" s="1"/>
  <c r="EI106" i="2" a="1"/>
  <c r="EI106" i="2" s="1"/>
  <c r="EI67" i="2" a="1"/>
  <c r="EI67" i="2" s="1"/>
  <c r="EI128" i="2" a="1"/>
  <c r="EI128" i="2" s="1"/>
  <c r="EI71" i="2" a="1"/>
  <c r="EI71" i="2" s="1"/>
  <c r="EI109" i="2" a="1"/>
  <c r="EI109" i="2" s="1"/>
  <c r="EI195" i="2" a="1"/>
  <c r="EI195" i="2" s="1"/>
  <c r="EI162" i="2" a="1"/>
  <c r="EI162" i="2" s="1"/>
  <c r="EI153" i="2" a="1"/>
  <c r="EI153" i="2" s="1"/>
  <c r="FR203" i="2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42" i="2" a="1"/>
  <c r="EI142" i="2" s="1"/>
  <c r="EI150" i="2" a="1"/>
  <c r="EI150" i="2" s="1"/>
  <c r="EI166" i="2" a="1"/>
  <c r="EI166" i="2" s="1"/>
  <c r="BC83" i="2" a="1"/>
  <c r="BC83" i="2" s="1"/>
  <c r="BC151" i="2" a="1"/>
  <c r="BC151" i="2" s="1"/>
  <c r="BC185" i="2" a="1"/>
  <c r="BC185" i="2" s="1"/>
  <c r="BC143" i="2" a="1"/>
  <c r="BC143" i="2" s="1"/>
  <c r="BC31" i="2" a="1"/>
  <c r="BC31" i="2" s="1"/>
  <c r="BC84" i="2" a="1"/>
  <c r="BC84" i="2" s="1"/>
  <c r="BC32" i="2" a="1"/>
  <c r="BC32" i="2" s="1"/>
  <c r="BC164" i="2" a="1"/>
  <c r="BC164" i="2" s="1"/>
  <c r="BC55" i="2" a="1"/>
  <c r="BC55" i="2" s="1"/>
  <c r="BC192" i="2" a="1"/>
  <c r="BC192" i="2" s="1"/>
  <c r="BC117" i="2" a="1"/>
  <c r="BC117" i="2" s="1"/>
  <c r="BC181" i="2" a="1"/>
  <c r="BC181" i="2" s="1"/>
  <c r="BC65" i="2" a="1"/>
  <c r="BC65" i="2" s="1"/>
  <c r="BC126" i="2" a="1"/>
  <c r="BC126" i="2" s="1"/>
  <c r="BC82" i="2" a="1"/>
  <c r="BC82" i="2" s="1"/>
  <c r="BC47" i="2" a="1"/>
  <c r="BC47" i="2" s="1"/>
  <c r="BC114" i="2" a="1"/>
  <c r="BC114" i="2" s="1"/>
  <c r="GT68" i="2" a="1"/>
  <c r="GT68" i="2" s="1"/>
  <c r="FY22" i="2" a="1"/>
  <c r="FY22" i="2" s="1"/>
  <c r="AH62" i="2" a="1"/>
  <c r="AH62" i="2" s="1"/>
  <c r="AH151" i="2" a="1"/>
  <c r="AH151" i="2" s="1"/>
  <c r="AH90" i="2" a="1"/>
  <c r="AH90" i="2" s="1"/>
  <c r="BX107" i="2" a="1"/>
  <c r="BX107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J196" i="2" l="1"/>
  <c r="FJ23" i="2"/>
  <c r="FJ14" i="2"/>
  <c r="FJ194" i="2"/>
  <c r="FJ128" i="2"/>
  <c r="FJ89" i="2"/>
  <c r="FJ25" i="2"/>
  <c r="FJ189" i="2"/>
  <c r="FJ142" i="2"/>
  <c r="FJ170" i="2"/>
  <c r="FJ8" i="2"/>
  <c r="FJ41" i="2"/>
  <c r="FJ64" i="2"/>
  <c r="FJ30" i="2"/>
  <c r="FJ139" i="2"/>
  <c r="FJ52" i="2"/>
  <c r="FJ120" i="2"/>
  <c r="FJ153" i="2"/>
  <c r="FJ195" i="2"/>
  <c r="FJ15" i="2"/>
  <c r="FJ125" i="2"/>
  <c r="FJ37" i="2"/>
  <c r="FJ141" i="2"/>
  <c r="FJ167" i="2"/>
  <c r="FJ135" i="2"/>
  <c r="FJ29" i="2"/>
  <c r="FJ181" i="2"/>
  <c r="FJ171" i="2"/>
  <c r="FJ68" i="2"/>
  <c r="FJ51" i="2"/>
  <c r="FJ174" i="2"/>
  <c r="FJ179" i="2"/>
  <c r="FJ67" i="2"/>
  <c r="FJ143" i="2"/>
  <c r="FJ137" i="2"/>
  <c r="FJ110" i="2"/>
  <c r="FJ198" i="2"/>
  <c r="FJ60" i="2"/>
  <c r="FJ144" i="2"/>
  <c r="FJ85" i="2"/>
  <c r="FJ161" i="2"/>
  <c r="FJ114" i="2"/>
  <c r="FJ94" i="2"/>
  <c r="FJ203" i="2"/>
  <c r="FJ149" i="2"/>
  <c r="FJ192" i="2"/>
  <c r="FJ7" i="2"/>
  <c r="FJ59" i="2"/>
  <c r="FJ63" i="2"/>
  <c r="FJ40" i="2"/>
  <c r="FJ76" i="2"/>
  <c r="FJ109" i="2"/>
  <c r="FJ58" i="2"/>
  <c r="FJ42" i="2"/>
  <c r="FJ190" i="2"/>
  <c r="FJ13" i="2"/>
  <c r="FJ3" i="2"/>
  <c r="C13" i="4" s="1"/>
  <c r="E13" i="4" s="1"/>
  <c r="F13" i="4" s="1"/>
  <c r="G13" i="4" s="1"/>
  <c r="L13" i="4" s="1"/>
  <c r="FJ187" i="2"/>
  <c r="FJ134" i="2"/>
  <c r="FJ151" i="2"/>
  <c r="FJ18" i="2"/>
  <c r="FJ178" i="2"/>
  <c r="FJ26" i="2"/>
  <c r="FJ56" i="2"/>
  <c r="FJ146" i="2"/>
  <c r="FJ184" i="2"/>
  <c r="FJ148" i="2"/>
  <c r="FJ168" i="2"/>
  <c r="FJ87" i="2"/>
  <c r="FJ28" i="2"/>
  <c r="FJ93" i="2"/>
  <c r="FJ12" i="2"/>
  <c r="FJ44" i="2"/>
  <c r="FJ124" i="2"/>
  <c r="FJ158" i="2"/>
  <c r="FJ19" i="2"/>
  <c r="FJ101" i="2"/>
  <c r="FJ150" i="2"/>
  <c r="FJ130" i="2"/>
  <c r="FJ108" i="2"/>
  <c r="FJ61" i="2"/>
  <c r="FJ112" i="2"/>
  <c r="FJ47" i="2"/>
  <c r="FJ176" i="2"/>
  <c r="FJ147" i="2"/>
  <c r="FJ103" i="2"/>
  <c r="FJ199" i="2"/>
  <c r="FJ140" i="2"/>
  <c r="FJ119" i="2"/>
  <c r="FJ79" i="2"/>
  <c r="FJ202" i="2"/>
  <c r="FJ163" i="2"/>
  <c r="FJ191" i="2"/>
  <c r="FJ34" i="2"/>
  <c r="FJ4" i="2"/>
  <c r="FJ98" i="2"/>
  <c r="FJ129" i="2"/>
  <c r="FJ123" i="2"/>
  <c r="FJ99" i="2"/>
  <c r="FJ48" i="2"/>
  <c r="FJ131" i="2"/>
  <c r="FJ70" i="2"/>
  <c r="FJ95" i="2"/>
  <c r="FJ86" i="2"/>
  <c r="FJ160" i="2"/>
  <c r="FJ55" i="2"/>
  <c r="FJ162" i="2"/>
  <c r="FJ183" i="2"/>
  <c r="FJ97" i="2"/>
  <c r="FJ82" i="2"/>
  <c r="FJ77" i="2"/>
  <c r="FJ100" i="2"/>
  <c r="FJ72" i="2"/>
  <c r="FJ16" i="2"/>
  <c r="FJ65" i="2"/>
  <c r="FJ21" i="2"/>
  <c r="FJ182" i="2"/>
  <c r="FJ66" i="2"/>
  <c r="FJ75" i="2"/>
  <c r="FJ62" i="2"/>
  <c r="FJ39" i="2"/>
  <c r="FJ54" i="2"/>
  <c r="FJ36" i="2"/>
  <c r="FJ17" i="2"/>
  <c r="FJ20" i="2"/>
  <c r="FJ104" i="2"/>
  <c r="FJ90" i="2"/>
  <c r="FJ133" i="2"/>
  <c r="FJ169" i="2"/>
  <c r="FJ5" i="2"/>
  <c r="FJ9" i="2"/>
  <c r="FJ159" i="2"/>
  <c r="FJ107" i="2"/>
  <c r="FJ113" i="2"/>
  <c r="FJ35" i="2"/>
  <c r="FJ185" i="2"/>
  <c r="FJ45" i="2"/>
  <c r="FJ136" i="2"/>
  <c r="FJ84" i="2"/>
  <c r="FJ173" i="2"/>
  <c r="FJ10" i="2"/>
  <c r="FJ126" i="2"/>
  <c r="FJ96" i="2"/>
  <c r="FJ43" i="2"/>
  <c r="FJ154" i="2"/>
  <c r="FJ165" i="2"/>
  <c r="FJ132" i="2"/>
  <c r="FJ197" i="2"/>
  <c r="FJ73" i="2"/>
  <c r="FJ38" i="2"/>
  <c r="FJ118" i="2"/>
  <c r="FJ31" i="2"/>
  <c r="FJ69" i="2"/>
  <c r="FJ188" i="2"/>
  <c r="FJ102" i="2"/>
  <c r="FJ83" i="2"/>
  <c r="FJ71" i="2"/>
  <c r="FJ116" i="2"/>
  <c r="FJ175" i="2"/>
  <c r="FJ32" i="2"/>
  <c r="FJ88" i="2"/>
  <c r="FJ81" i="2"/>
  <c r="FJ201" i="2"/>
  <c r="FJ127" i="2"/>
  <c r="FJ27" i="2"/>
  <c r="FJ80" i="2"/>
  <c r="FJ33" i="2"/>
  <c r="FJ152" i="2"/>
  <c r="FJ172" i="2"/>
  <c r="FJ91" i="2"/>
  <c r="FJ157" i="2"/>
  <c r="FJ177" i="2"/>
  <c r="FJ24" i="2"/>
  <c r="FJ180" i="2"/>
  <c r="FJ57" i="2"/>
  <c r="FJ193" i="2"/>
  <c r="FJ74" i="2"/>
  <c r="FJ53" i="2"/>
  <c r="FJ122" i="2"/>
  <c r="FJ6" i="2"/>
  <c r="FJ121" i="2"/>
  <c r="FJ138" i="2"/>
  <c r="FJ164" i="2"/>
  <c r="FJ111" i="2"/>
  <c r="FJ166" i="2"/>
  <c r="FJ49" i="2"/>
  <c r="FJ155" i="2"/>
  <c r="FJ11" i="2"/>
  <c r="FJ156" i="2"/>
  <c r="FJ22" i="2"/>
  <c r="FJ200" i="2"/>
  <c r="FJ115" i="2"/>
  <c r="FJ46" i="2"/>
  <c r="FJ78" i="2"/>
  <c r="FJ92" i="2"/>
  <c r="FJ50" i="2"/>
  <c r="FJ105" i="2"/>
  <c r="FJ106" i="2"/>
  <c r="FJ186" i="2"/>
  <c r="FJ117" i="2"/>
  <c r="FJ145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GE11" i="2" l="1"/>
  <c r="GE133" i="2"/>
  <c r="GE42" i="2"/>
  <c r="GE109" i="2"/>
  <c r="GE120" i="2"/>
  <c r="GE78" i="2"/>
  <c r="GE20" i="2"/>
  <c r="GE70" i="2"/>
  <c r="GE192" i="2"/>
  <c r="GE71" i="2"/>
  <c r="GE156" i="2"/>
  <c r="GE68" i="2"/>
  <c r="GE94" i="2"/>
  <c r="GE139" i="2"/>
  <c r="GE161" i="2"/>
  <c r="GE9" i="2"/>
  <c r="GE44" i="2"/>
  <c r="GE116" i="2"/>
  <c r="GE140" i="2"/>
  <c r="GE102" i="2"/>
  <c r="GE47" i="2"/>
  <c r="GE198" i="2"/>
  <c r="GE115" i="2"/>
  <c r="GE200" i="2"/>
  <c r="GE153" i="2"/>
  <c r="GE128" i="2"/>
  <c r="GE186" i="2"/>
  <c r="GE163" i="2"/>
  <c r="GE154" i="2"/>
  <c r="GE125" i="2"/>
  <c r="GE197" i="2"/>
  <c r="GE155" i="2"/>
  <c r="GE93" i="2"/>
  <c r="GE134" i="2"/>
  <c r="GE167" i="2"/>
  <c r="GE112" i="2"/>
  <c r="GE168" i="2"/>
  <c r="GE41" i="2"/>
  <c r="GE152" i="2"/>
  <c r="GE96" i="2"/>
  <c r="GE15" i="2"/>
  <c r="GE61" i="2"/>
  <c r="GE45" i="2"/>
  <c r="GE12" i="2"/>
  <c r="GE114" i="2"/>
  <c r="GE72" i="2"/>
  <c r="GE100" i="2"/>
  <c r="GE138" i="2"/>
  <c r="GE25" i="2"/>
  <c r="GE176" i="2"/>
  <c r="GE60" i="2"/>
  <c r="GE7" i="2"/>
  <c r="GE54" i="2"/>
  <c r="GE199" i="2"/>
  <c r="GE43" i="2"/>
  <c r="GE137" i="2"/>
  <c r="GE57" i="2"/>
  <c r="GE181" i="2"/>
  <c r="GE21" i="2"/>
  <c r="GE190" i="2"/>
  <c r="GE175" i="2"/>
  <c r="GE143" i="2"/>
  <c r="GE30" i="2"/>
  <c r="GE178" i="2"/>
  <c r="GE83" i="2"/>
  <c r="GE169" i="2"/>
  <c r="GE36" i="2"/>
  <c r="GE4" i="2"/>
  <c r="GE191" i="2"/>
  <c r="GE194" i="2"/>
  <c r="GE195" i="2"/>
  <c r="GE65" i="2"/>
  <c r="GE22" i="2"/>
  <c r="GE180" i="2"/>
  <c r="GE58" i="2"/>
  <c r="GE74" i="2"/>
  <c r="GE26" i="2"/>
  <c r="GE187" i="2"/>
  <c r="GE189" i="2"/>
  <c r="GE27" i="2"/>
  <c r="GE35" i="2"/>
  <c r="GE145" i="2"/>
  <c r="GE55" i="2"/>
  <c r="GE119" i="2"/>
  <c r="GE50" i="2"/>
  <c r="GE127" i="2"/>
  <c r="GE177" i="2"/>
  <c r="GE173" i="2"/>
  <c r="GE16" i="2"/>
  <c r="GE179" i="2"/>
  <c r="GE157" i="2"/>
  <c r="GE67" i="2"/>
  <c r="GE99" i="2"/>
  <c r="GE90" i="2"/>
  <c r="GE14" i="2"/>
  <c r="GE53" i="2"/>
  <c r="GE201" i="2"/>
  <c r="GE196" i="2"/>
  <c r="GE149" i="2"/>
  <c r="GE62" i="2"/>
  <c r="GE37" i="2"/>
  <c r="GE118" i="2"/>
  <c r="GE135" i="2"/>
  <c r="GE203" i="2"/>
  <c r="GE28" i="2"/>
  <c r="GE18" i="2"/>
  <c r="GE104" i="2"/>
  <c r="GE92" i="2"/>
  <c r="GE86" i="2"/>
  <c r="GE34" i="2"/>
  <c r="GE17" i="2"/>
  <c r="GE29" i="2"/>
  <c r="GE106" i="2"/>
  <c r="GE56" i="2"/>
  <c r="GE79" i="2"/>
  <c r="GE126" i="2"/>
  <c r="GE162" i="2"/>
  <c r="GE171" i="2"/>
  <c r="GE59" i="2"/>
  <c r="GE172" i="2"/>
  <c r="GE141" i="2"/>
  <c r="GE142" i="2"/>
  <c r="GE165" i="2"/>
  <c r="GE105" i="2"/>
  <c r="GE158" i="2"/>
  <c r="GE31" i="2"/>
  <c r="GE46" i="2"/>
  <c r="GE113" i="2"/>
  <c r="GE174" i="2"/>
  <c r="GE108" i="2"/>
  <c r="GE151" i="2"/>
  <c r="GE150" i="2"/>
  <c r="GE48" i="2"/>
  <c r="GE10" i="2"/>
  <c r="GE132" i="2"/>
  <c r="GE32" i="2"/>
  <c r="GE164" i="2"/>
  <c r="GE193" i="2"/>
  <c r="GE160" i="2"/>
  <c r="GE87" i="2"/>
  <c r="GE148" i="2"/>
  <c r="GE103" i="2"/>
  <c r="GE64" i="2"/>
  <c r="GE98" i="2"/>
  <c r="GE97" i="2"/>
  <c r="GE101" i="2"/>
  <c r="GE76" i="2"/>
  <c r="GE122" i="2"/>
  <c r="GE77" i="2"/>
  <c r="GE117" i="2"/>
  <c r="GE123" i="2"/>
  <c r="GE84" i="2"/>
  <c r="GE146" i="2"/>
  <c r="GE51" i="2"/>
  <c r="GE66" i="2"/>
  <c r="GE19" i="2"/>
  <c r="GE81" i="2"/>
  <c r="GE49" i="2"/>
  <c r="GE91" i="2"/>
  <c r="GE131" i="2"/>
  <c r="GE6" i="2"/>
  <c r="GE107" i="2"/>
  <c r="GE69" i="2"/>
  <c r="GE85" i="2"/>
  <c r="GE23" i="2"/>
  <c r="GE88" i="2"/>
  <c r="GE182" i="2"/>
  <c r="GE38" i="2"/>
  <c r="GE95" i="2"/>
  <c r="GE5" i="2"/>
  <c r="GE136" i="2"/>
  <c r="GE8" i="2"/>
  <c r="GE40" i="2"/>
  <c r="GE170" i="2"/>
  <c r="GE3" i="2"/>
  <c r="C14" i="4" s="1"/>
  <c r="E14" i="4" s="1"/>
  <c r="F14" i="4" s="1"/>
  <c r="G14" i="4" s="1"/>
  <c r="L14" i="4" s="1"/>
  <c r="GE52" i="2"/>
  <c r="GE144" i="2"/>
  <c r="GE185" i="2"/>
  <c r="GE73" i="2"/>
  <c r="GE124" i="2"/>
  <c r="GE184" i="2"/>
  <c r="GE121" i="2"/>
  <c r="GE202" i="2"/>
  <c r="GE24" i="2"/>
  <c r="GE63" i="2"/>
  <c r="GE130" i="2"/>
  <c r="GE147" i="2"/>
  <c r="GE188" i="2"/>
  <c r="GE75" i="2"/>
  <c r="GE183" i="2"/>
  <c r="GE39" i="2"/>
  <c r="GE166" i="2"/>
  <c r="GE13" i="2"/>
  <c r="GE110" i="2"/>
  <c r="GE111" i="2"/>
  <c r="GE33" i="2"/>
  <c r="GE89" i="2"/>
  <c r="GE159" i="2"/>
  <c r="GE80" i="2"/>
  <c r="GE129" i="2"/>
  <c r="GE82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CD60" i="2" l="1"/>
  <c r="CD48" i="2"/>
  <c r="CD119" i="2"/>
  <c r="CD138" i="2"/>
  <c r="CD95" i="2"/>
  <c r="CD153" i="2"/>
  <c r="CD37" i="2"/>
  <c r="CD35" i="2"/>
  <c r="CD33" i="2"/>
  <c r="CD134" i="2"/>
  <c r="CD118" i="2"/>
  <c r="CD109" i="2"/>
  <c r="CD133" i="2"/>
  <c r="CD172" i="2"/>
  <c r="CD200" i="2"/>
  <c r="CD96" i="2"/>
  <c r="CD30" i="2"/>
  <c r="CD166" i="2"/>
  <c r="CD58" i="2"/>
  <c r="CD143" i="2"/>
  <c r="CD151" i="2"/>
  <c r="CD8" i="2"/>
  <c r="CD39" i="2"/>
  <c r="CD53" i="2"/>
  <c r="CD47" i="2"/>
  <c r="CD44" i="2"/>
  <c r="CD194" i="2"/>
  <c r="CD67" i="2"/>
  <c r="CD157" i="2"/>
  <c r="CD170" i="2"/>
  <c r="CD86" i="2"/>
  <c r="CD177" i="2"/>
  <c r="CD115" i="2"/>
  <c r="CD29" i="2"/>
  <c r="CD36" i="2"/>
  <c r="CD180" i="2"/>
  <c r="CD160" i="2"/>
  <c r="CD185" i="2"/>
  <c r="CD57" i="2"/>
  <c r="CD66" i="2"/>
  <c r="CD203" i="2"/>
  <c r="CD127" i="2"/>
  <c r="CD201" i="2"/>
  <c r="CD104" i="2"/>
  <c r="CD21" i="2"/>
  <c r="CD164" i="2"/>
  <c r="CD72" i="2"/>
  <c r="CD94" i="2"/>
  <c r="CD120" i="2"/>
  <c r="CD17" i="2"/>
  <c r="CD117" i="2"/>
  <c r="CD154" i="2"/>
  <c r="CD20" i="2"/>
  <c r="CD59" i="2"/>
  <c r="CD45" i="2"/>
  <c r="CD71" i="2"/>
  <c r="CD23" i="2"/>
  <c r="CD54" i="2"/>
  <c r="CD78" i="2"/>
  <c r="CD70" i="2"/>
  <c r="CD193" i="2"/>
  <c r="CD167" i="2"/>
  <c r="CD41" i="2"/>
  <c r="CD182" i="2"/>
  <c r="CD114" i="2"/>
  <c r="CD52" i="2"/>
  <c r="CD171" i="2"/>
  <c r="CD101" i="2"/>
  <c r="CD148" i="2"/>
  <c r="CD105" i="2"/>
  <c r="CD34" i="2"/>
  <c r="CD178" i="2"/>
  <c r="CD75" i="2"/>
  <c r="CD155" i="2"/>
  <c r="CD49" i="2"/>
  <c r="CD152" i="2"/>
  <c r="CD162" i="2"/>
  <c r="CD25" i="2"/>
  <c r="CD13" i="2"/>
  <c r="CD173" i="2"/>
  <c r="CD192" i="2"/>
  <c r="CD169" i="2"/>
  <c r="CD82" i="2"/>
  <c r="CD102" i="2"/>
  <c r="CD176" i="2"/>
  <c r="CD195" i="2"/>
  <c r="CD111" i="2"/>
  <c r="CD146" i="2"/>
  <c r="CD63" i="2"/>
  <c r="CD191" i="2"/>
  <c r="CD198" i="2"/>
  <c r="CD187" i="2"/>
  <c r="CD161" i="2"/>
  <c r="CD184" i="2"/>
  <c r="CD74" i="2"/>
  <c r="CD188" i="2"/>
  <c r="CD62" i="2"/>
  <c r="CD108" i="2"/>
  <c r="CD61" i="2"/>
  <c r="CD135" i="2"/>
  <c r="CD12" i="2"/>
  <c r="CD124" i="2"/>
  <c r="CD68" i="2"/>
  <c r="CD98" i="2"/>
  <c r="CD140" i="2"/>
  <c r="CD69" i="2"/>
  <c r="CD136" i="2"/>
  <c r="CD156" i="2"/>
  <c r="CD46" i="2"/>
  <c r="CD28" i="2"/>
  <c r="CD103" i="2"/>
  <c r="CD183" i="2"/>
  <c r="CD91" i="2"/>
  <c r="CD99" i="2"/>
  <c r="CD5" i="2"/>
  <c r="CD73" i="2"/>
  <c r="CD132" i="2"/>
  <c r="CD189" i="2"/>
  <c r="CD122" i="2"/>
  <c r="CD31" i="2"/>
  <c r="CD88" i="2"/>
  <c r="CD126" i="2"/>
  <c r="CD202" i="2"/>
  <c r="CD145" i="2"/>
  <c r="CD24" i="2"/>
  <c r="CD123" i="2"/>
  <c r="CD7" i="2"/>
  <c r="CD121" i="2"/>
  <c r="CD85" i="2"/>
  <c r="CD93" i="2"/>
  <c r="CD110" i="2"/>
  <c r="CD89" i="2"/>
  <c r="CD158" i="2"/>
  <c r="CD131" i="2"/>
  <c r="CD10" i="2"/>
  <c r="CD147" i="2"/>
  <c r="CD26" i="2"/>
  <c r="CD6" i="2"/>
  <c r="CD100" i="2"/>
  <c r="CD87" i="2"/>
  <c r="CD112" i="2"/>
  <c r="CD14" i="2"/>
  <c r="CD159" i="2"/>
  <c r="CD79" i="2"/>
  <c r="CD129" i="2"/>
  <c r="CD128" i="2"/>
  <c r="CD42" i="2"/>
  <c r="CD3" i="2"/>
  <c r="C9" i="4" s="1"/>
  <c r="E9" i="4" s="1"/>
  <c r="F9" i="4" s="1"/>
  <c r="G9" i="4" s="1"/>
  <c r="L9" i="4" s="1"/>
  <c r="CD175" i="2"/>
  <c r="CD107" i="2"/>
  <c r="CD50" i="2"/>
  <c r="CD55" i="2"/>
  <c r="CD106" i="2"/>
  <c r="CD130" i="2"/>
  <c r="CD16" i="2"/>
  <c r="CD139" i="2"/>
  <c r="CD163" i="2"/>
  <c r="CD165" i="2"/>
  <c r="CD27" i="2"/>
  <c r="CD80" i="2"/>
  <c r="CD141" i="2"/>
  <c r="CD116" i="2"/>
  <c r="CD196" i="2"/>
  <c r="CD4" i="2"/>
  <c r="CD83" i="2"/>
  <c r="CD76" i="2"/>
  <c r="CD190" i="2"/>
  <c r="CD97" i="2"/>
  <c r="CD43" i="2"/>
  <c r="CD142" i="2"/>
  <c r="CD15" i="2"/>
  <c r="CD11" i="2"/>
  <c r="CD84" i="2"/>
  <c r="CD199" i="2"/>
  <c r="CD56" i="2"/>
  <c r="CD22" i="2"/>
  <c r="CD181" i="2"/>
  <c r="CD150" i="2"/>
  <c r="CD19" i="2"/>
  <c r="CD179" i="2"/>
  <c r="CD38" i="2"/>
  <c r="CD9" i="2"/>
  <c r="CD90" i="2"/>
  <c r="CD113" i="2"/>
  <c r="CD18" i="2"/>
  <c r="CD197" i="2"/>
  <c r="CD144" i="2"/>
  <c r="CD174" i="2"/>
  <c r="CD92" i="2"/>
  <c r="CD168" i="2"/>
  <c r="CD51" i="2"/>
  <c r="CD77" i="2"/>
  <c r="CD186" i="2"/>
  <c r="CD65" i="2"/>
  <c r="CD81" i="2"/>
  <c r="CD137" i="2"/>
  <c r="CD32" i="2"/>
  <c r="CD40" i="2"/>
  <c r="CD149" i="2"/>
  <c r="CD64" i="2"/>
  <c r="CD125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DT164" i="2" l="1"/>
  <c r="DT202" i="2"/>
  <c r="DT86" i="2"/>
  <c r="DT13" i="2"/>
  <c r="DT28" i="2"/>
  <c r="DT192" i="2"/>
  <c r="DT134" i="2"/>
  <c r="DT32" i="2"/>
  <c r="DT53" i="2"/>
  <c r="DT9" i="2"/>
  <c r="DT144" i="2"/>
  <c r="DT12" i="2"/>
  <c r="DT52" i="2"/>
  <c r="DT42" i="2"/>
  <c r="DT99" i="2"/>
  <c r="DT105" i="2"/>
  <c r="DT124" i="2"/>
  <c r="DT121" i="2"/>
  <c r="DT186" i="2"/>
  <c r="DT21" i="2"/>
  <c r="DT172" i="2"/>
  <c r="DT110" i="2"/>
  <c r="DT61" i="2"/>
  <c r="DT131" i="2"/>
  <c r="DT180" i="2"/>
  <c r="DT201" i="2"/>
  <c r="DT35" i="2"/>
  <c r="DT196" i="2"/>
  <c r="DT67" i="2"/>
  <c r="DT150" i="2"/>
  <c r="DT195" i="2"/>
  <c r="DT96" i="2"/>
  <c r="DT59" i="2"/>
  <c r="DT16" i="2"/>
  <c r="DT33" i="2"/>
  <c r="DT167" i="2"/>
  <c r="DT77" i="2"/>
  <c r="DT79" i="2"/>
  <c r="DT191" i="2"/>
  <c r="DT135" i="2"/>
  <c r="DT138" i="2"/>
  <c r="DT4" i="2"/>
  <c r="DT97" i="2"/>
  <c r="DT187" i="2"/>
  <c r="DT75" i="2"/>
  <c r="DT54" i="2"/>
  <c r="DT43" i="2"/>
  <c r="DT84" i="2"/>
  <c r="DT125" i="2"/>
  <c r="DT100" i="2"/>
  <c r="DT116" i="2"/>
  <c r="DT146" i="2"/>
  <c r="DT169" i="2"/>
  <c r="DT17" i="2"/>
  <c r="DT113" i="2"/>
  <c r="DT181" i="2"/>
  <c r="DT89" i="2"/>
  <c r="DT123" i="2"/>
  <c r="DT26" i="2"/>
  <c r="DT115" i="2"/>
  <c r="DT94" i="2"/>
  <c r="DT133" i="2"/>
  <c r="DT193" i="2"/>
  <c r="DT18" i="2"/>
  <c r="DT93" i="2"/>
  <c r="DT24" i="2"/>
  <c r="DT14" i="2"/>
  <c r="DT132" i="2"/>
  <c r="DT109" i="2"/>
  <c r="DT23" i="2"/>
  <c r="DT173" i="2"/>
  <c r="DT90" i="2"/>
  <c r="DT74" i="2"/>
  <c r="DT161" i="2"/>
  <c r="DT76" i="2"/>
  <c r="DT128" i="2"/>
  <c r="DT69" i="2"/>
  <c r="DT87" i="2"/>
  <c r="DT48" i="2"/>
  <c r="DT7" i="2"/>
  <c r="DT143" i="2"/>
  <c r="DT107" i="2"/>
  <c r="DT170" i="2"/>
  <c r="DT188" i="2"/>
  <c r="DT139" i="2"/>
  <c r="DT176" i="2"/>
  <c r="DT197" i="2"/>
  <c r="DT126" i="2"/>
  <c r="DT20" i="2"/>
  <c r="DT27" i="2"/>
  <c r="DT149" i="2"/>
  <c r="DT82" i="2"/>
  <c r="DT120" i="2"/>
  <c r="DT156" i="2"/>
  <c r="DT72" i="2"/>
  <c r="DT98" i="2"/>
  <c r="DT50" i="2"/>
  <c r="DT10" i="2"/>
  <c r="DT81" i="2"/>
  <c r="DT166" i="2"/>
  <c r="DT104" i="2"/>
  <c r="DT198" i="2"/>
  <c r="DT55" i="2"/>
  <c r="DT171" i="2"/>
  <c r="DT41" i="2"/>
  <c r="DT47" i="2"/>
  <c r="DT22" i="2"/>
  <c r="DT119" i="2"/>
  <c r="DT178" i="2"/>
  <c r="DT78" i="2"/>
  <c r="DT88" i="2"/>
  <c r="DT175" i="2"/>
  <c r="DT129" i="2"/>
  <c r="DT147" i="2"/>
  <c r="DT25" i="2"/>
  <c r="DT46" i="2"/>
  <c r="DT177" i="2"/>
  <c r="DT184" i="2"/>
  <c r="DT34" i="2"/>
  <c r="DT68" i="2"/>
  <c r="DT65" i="2"/>
  <c r="DT73" i="2"/>
  <c r="DT40" i="2"/>
  <c r="DT142" i="2"/>
  <c r="DT103" i="2"/>
  <c r="DT112" i="2"/>
  <c r="DT95" i="2"/>
  <c r="DT58" i="2"/>
  <c r="DT37" i="2"/>
  <c r="DT182" i="2"/>
  <c r="DT102" i="2"/>
  <c r="DT137" i="2"/>
  <c r="DT190" i="2"/>
  <c r="DT145" i="2"/>
  <c r="DT114" i="2"/>
  <c r="DT101" i="2"/>
  <c r="DT56" i="2"/>
  <c r="DT194" i="2"/>
  <c r="DT57" i="2"/>
  <c r="DT118" i="2"/>
  <c r="DT80" i="2"/>
  <c r="DT30" i="2"/>
  <c r="DT152" i="2"/>
  <c r="DT29" i="2"/>
  <c r="DT163" i="2"/>
  <c r="DT64" i="2"/>
  <c r="DT157" i="2"/>
  <c r="DT136" i="2"/>
  <c r="DT141" i="2"/>
  <c r="DT179" i="2"/>
  <c r="DT108" i="2"/>
  <c r="DT199" i="2"/>
  <c r="DT11" i="2"/>
  <c r="DT189" i="2"/>
  <c r="DT6" i="2"/>
  <c r="DT168" i="2"/>
  <c r="DT44" i="2"/>
  <c r="DT203" i="2"/>
  <c r="DT5" i="2"/>
  <c r="DT62" i="2"/>
  <c r="DT200" i="2"/>
  <c r="DT154" i="2"/>
  <c r="DT185" i="2"/>
  <c r="DT36" i="2"/>
  <c r="DT148" i="2"/>
  <c r="DT127" i="2"/>
  <c r="DT165" i="2"/>
  <c r="DT158" i="2"/>
  <c r="DT160" i="2"/>
  <c r="DT45" i="2"/>
  <c r="DT92" i="2"/>
  <c r="DT39" i="2"/>
  <c r="DT151" i="2"/>
  <c r="DT71" i="2"/>
  <c r="DT3" i="2"/>
  <c r="C11" i="4" s="1"/>
  <c r="E11" i="4" s="1"/>
  <c r="F11" i="4" s="1"/>
  <c r="G11" i="4" s="1"/>
  <c r="L11" i="4" s="1"/>
  <c r="DT155" i="2"/>
  <c r="DT159" i="2"/>
  <c r="DT60" i="2"/>
  <c r="DT130" i="2"/>
  <c r="DT51" i="2"/>
  <c r="DT8" i="2"/>
  <c r="DT63" i="2"/>
  <c r="DT174" i="2"/>
  <c r="DT111" i="2"/>
  <c r="DT140" i="2"/>
  <c r="DT49" i="2"/>
  <c r="DT85" i="2"/>
  <c r="DT162" i="2"/>
  <c r="DT153" i="2"/>
  <c r="DT117" i="2"/>
  <c r="DT31" i="2"/>
  <c r="DT83" i="2"/>
  <c r="DT38" i="2"/>
  <c r="DT183" i="2"/>
  <c r="DT106" i="2"/>
  <c r="DT15" i="2"/>
  <c r="DT70" i="2"/>
  <c r="DT66" i="2"/>
  <c r="DT122" i="2"/>
  <c r="DT91" i="2"/>
  <c r="DT19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<sst xmlns="http://schemas.openxmlformats.org/spreadsheetml/2006/main" count="1182" uniqueCount="327">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</sst>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71D10924-A60D-4DC0-A8AD-34666B4F0DA6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2.636080854320356</c:v>
                </c:pt>
                <c:pt idx="2">
                  <c:v>3.1110530324640444</c:v>
                </c:pt>
                <c:pt idx="3">
                  <c:v>3.6719209076150001</c:v>
                </c:pt>
                <c:pt idx="4">
                  <c:v>4.3342719089880859</c:v>
                </c:pt>
                <c:pt idx="5">
                  <c:v>5.1165312496629056</c:v>
                </c:pt>
                <c:pt idx="6">
                  <c:v>6.0404801126701813</c:v>
                </c:pt>
                <c:pt idx="7">
                  <c:v>7.1318687212121814</c:v>
                </c:pt>
                <c:pt idx="8">
                  <c:v>8.421141711256892</c:v>
                </c:pt>
                <c:pt idx="9">
                  <c:v>9.9442964297020549</c:v>
                </c:pt>
                <c:pt idx="10">
                  <c:v>11.743898577217735</c:v>
                </c:pt>
                <c:pt idx="11">
                  <c:v>13.870284110919128</c:v>
                </c:pt>
                <c:pt idx="12">
                  <c:v>16.382981647571366</c:v>
                </c:pt>
                <c:pt idx="13">
                  <c:v>19.352395916410792</c:v>
                </c:pt>
                <c:pt idx="14">
                  <c:v>22.861800283595556</c:v>
                </c:pt>
                <c:pt idx="15">
                  <c:v>27.009695223137253</c:v>
                </c:pt>
                <c:pt idx="16">
                  <c:v>31.912600097171502</c:v>
                </c:pt>
                <c:pt idx="17">
                  <c:v>37.708358034150798</c:v>
                </c:pt>
                <c:pt idx="18">
                  <c:v>44.560048415602985</c:v>
                </c:pt>
                <c:pt idx="19">
                  <c:v>52.660618925587066</c:v>
                </c:pt>
                <c:pt idx="20">
                  <c:v>62.238369785793118</c:v>
                </c:pt>
                <c:pt idx="21">
                  <c:v>73.56344729071931</c:v>
                </c:pt>
                <c:pt idx="22">
                  <c:v>86.955532779651051</c:v>
                </c:pt>
                <c:pt idx="23">
                  <c:v>102.79294757476977</c:v>
                </c:pt>
                <c:pt idx="24">
                  <c:v>121.52343517290497</c:v>
                </c:pt>
                <c:pt idx="25">
                  <c:v>143.67693028220032</c:v>
                </c:pt>
                <c:pt idx="26">
                  <c:v>169.88068154330901</c:v>
                </c:pt>
                <c:pt idx="27">
                  <c:v>200.87716262642871</c:v>
                </c:pt>
                <c:pt idx="28">
                  <c:v>237.54528681731156</c:v>
                </c:pt>
                <c:pt idx="29">
                  <c:v>280.92553552941558</c:v>
                </c:pt>
                <c:pt idx="30">
                  <c:v>252.89849659506197</c:v>
                </c:pt>
                <c:pt idx="31">
                  <c:v>274.59049242832583</c:v>
                </c:pt>
                <c:pt idx="32">
                  <c:v>296.24399363533558</c:v>
                </c:pt>
                <c:pt idx="33">
                  <c:v>317.86220838723972</c:v>
                </c:pt>
                <c:pt idx="34">
                  <c:v>339.44787284177943</c:v>
                </c:pt>
                <c:pt idx="35">
                  <c:v>315.3813692185883</c:v>
                </c:pt>
                <c:pt idx="36">
                  <c:v>334.45568573997866</c:v>
                </c:pt>
                <c:pt idx="37">
                  <c:v>353.50604121858942</c:v>
                </c:pt>
                <c:pt idx="38">
                  <c:v>372.53390804235232</c:v>
                </c:pt>
                <c:pt idx="39">
                  <c:v>391.54059595731172</c:v>
                </c:pt>
                <c:pt idx="40">
                  <c:v>410.52727721949122</c:v>
                </c:pt>
                <c:pt idx="41">
                  <c:v>429.49500685020001</c:v>
                </c:pt>
                <c:pt idx="42">
                  <c:v>448.44473912647305</c:v>
                </c:pt>
                <c:pt idx="43">
                  <c:v>386.00587885260944</c:v>
                </c:pt>
                <c:pt idx="44">
                  <c:v>411.2705493966983</c:v>
                </c:pt>
                <c:pt idx="45">
                  <c:v>436.50173032375602</c:v>
                </c:pt>
                <c:pt idx="46">
                  <c:v>461.70162769615814</c:v>
                </c:pt>
                <c:pt idx="47">
                  <c:v>486.87218731052076</c:v>
                </c:pt>
                <c:pt idx="48">
                  <c:v>512.01513754296764</c:v>
                </c:pt>
                <c:pt idx="49">
                  <c:v>537.13202334184496</c:v>
                </c:pt>
                <c:pt idx="50">
                  <c:v>562.22423353342549</c:v>
                </c:pt>
                <c:pt idx="51">
                  <c:v>437.54557086783967</c:v>
                </c:pt>
                <c:pt idx="52">
                  <c:v>460.40411338215495</c:v>
                </c:pt>
                <c:pt idx="53">
                  <c:v>483.23844157610097</c:v>
                </c:pt>
                <c:pt idx="54">
                  <c:v>506.04985953638578</c:v>
                </c:pt>
                <c:pt idx="55">
                  <c:v>528.8395442917448</c:v>
                </c:pt>
                <c:pt idx="56">
                  <c:v>551.60856324457643</c:v>
                </c:pt>
                <c:pt idx="57">
                  <c:v>574.35788857601642</c:v>
                </c:pt>
                <c:pt idx="58">
                  <c:v>597.08840925132006</c:v>
                </c:pt>
                <c:pt idx="59">
                  <c:v>619.80094110320726</c:v>
                </c:pt>
                <c:pt idx="60">
                  <c:v>642.49623536140291</c:v>
                </c:pt>
                <c:pt idx="61">
                  <c:v>665.17498591529204</c:v>
                </c:pt>
                <c:pt idx="62">
                  <c:v>687.83783553547198</c:v>
                </c:pt>
                <c:pt idx="63">
                  <c:v>680.54191249602673</c:v>
                </c:pt>
                <c:pt idx="64">
                  <c:v>701.73592702625103</c:v>
                </c:pt>
                <c:pt idx="65">
                  <c:v>722.91684830824988</c:v>
                </c:pt>
                <c:pt idx="66">
                  <c:v>744.08511352656251</c:v>
                </c:pt>
                <c:pt idx="67">
                  <c:v>765.24113299255896</c:v>
                </c:pt>
                <c:pt idx="68">
                  <c:v>786.38529250844852</c:v>
                </c:pt>
                <c:pt idx="69">
                  <c:v>807.51795546410449</c:v>
                </c:pt>
                <c:pt idx="70">
                  <c:v>828.63946470324436</c:v>
                </c:pt>
                <c:pt idx="71">
                  <c:v>849.75014418967828</c:v>
                </c:pt>
                <c:pt idx="72">
                  <c:v>870.85030049957822</c:v>
                </c:pt>
                <c:pt idx="73">
                  <c:v>891.94022416178871</c:v>
                </c:pt>
                <c:pt idx="74">
                  <c:v>913.02019086494977</c:v>
                </c:pt>
                <c:pt idx="75">
                  <c:v>934.09046254749762</c:v>
                </c:pt>
                <c:pt idx="76">
                  <c:v>955.151288384341</c:v>
                </c:pt>
                <c:pt idx="77">
                  <c:v>976.20290568211578</c:v>
                </c:pt>
                <c:pt idx="78">
                  <c:v>997.24554069331555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2.1323396907225285</c:v>
                </c:pt>
                <c:pt idx="2">
                  <c:v>2.9323424702731358</c:v>
                </c:pt>
                <c:pt idx="3">
                  <c:v>4.0337697183542565</c:v>
                </c:pt>
                <c:pt idx="4">
                  <c:v>5.550646806066176</c:v>
                </c:pt>
                <c:pt idx="5">
                  <c:v>7.640294215377522</c:v>
                </c:pt>
                <c:pt idx="6">
                  <c:v>10.519823073218054</c:v>
                </c:pt>
                <c:pt idx="7">
                  <c:v>14.488935321502304</c:v>
                </c:pt>
                <c:pt idx="8">
                  <c:v>19.961445086303687</c:v>
                </c:pt>
                <c:pt idx="9">
                  <c:v>27.508866484016963</c:v>
                </c:pt>
                <c:pt idx="10">
                  <c:v>37.920699498230938</c:v>
                </c:pt>
                <c:pt idx="11">
                  <c:v>52.287827760149135</c:v>
                </c:pt>
                <c:pt idx="12">
                  <c:v>72.117911549900995</c:v>
                </c:pt>
                <c:pt idx="13">
                  <c:v>99.495081674141531</c:v>
                </c:pt>
                <c:pt idx="14">
                  <c:v>137.30098343191307</c:v>
                </c:pt>
                <c:pt idx="15">
                  <c:v>189.52079567074398</c:v>
                </c:pt>
                <c:pt idx="16">
                  <c:v>154.31025839134838</c:v>
                </c:pt>
                <c:pt idx="17">
                  <c:v>183.98724967179612</c:v>
                </c:pt>
                <c:pt idx="18">
                  <c:v>213.55215202969657</c:v>
                </c:pt>
                <c:pt idx="19">
                  <c:v>243.02268327304895</c:v>
                </c:pt>
                <c:pt idx="20">
                  <c:v>272.41189918228798</c:v>
                </c:pt>
                <c:pt idx="21">
                  <c:v>232.95201893246733</c:v>
                </c:pt>
                <c:pt idx="22">
                  <c:v>264.07879737201307</c:v>
                </c:pt>
                <c:pt idx="23">
                  <c:v>295.12278580201041</c:v>
                </c:pt>
                <c:pt idx="24">
                  <c:v>326.09391257189026</c:v>
                </c:pt>
                <c:pt idx="25">
                  <c:v>357.00006483853622</c:v>
                </c:pt>
                <c:pt idx="26">
                  <c:v>387.84765248483512</c:v>
                </c:pt>
                <c:pt idx="27">
                  <c:v>348.36866780800318</c:v>
                </c:pt>
                <c:pt idx="28">
                  <c:v>380.22163347811539</c:v>
                </c:pt>
                <c:pt idx="29">
                  <c:v>412.01655756040469</c:v>
                </c:pt>
                <c:pt idx="30">
                  <c:v>443.75854294752617</c:v>
                </c:pt>
                <c:pt idx="31">
                  <c:v>475.45190346562566</c:v>
                </c:pt>
                <c:pt idx="32">
                  <c:v>507.10033142900096</c:v>
                </c:pt>
                <c:pt idx="33">
                  <c:v>435.96273692993935</c:v>
                </c:pt>
                <c:pt idx="34">
                  <c:v>465.55192485805838</c:v>
                </c:pt>
                <c:pt idx="35">
                  <c:v>495.101031982655</c:v>
                </c:pt>
                <c:pt idx="36">
                  <c:v>524.61278351818044</c:v>
                </c:pt>
                <c:pt idx="37">
                  <c:v>554.08957340186623</c:v>
                </c:pt>
                <c:pt idx="38">
                  <c:v>583.53352039649462</c:v>
                </c:pt>
                <c:pt idx="39">
                  <c:v>612.94651228512339</c:v>
                </c:pt>
                <c:pt idx="40">
                  <c:v>642.33024114639272</c:v>
                </c:pt>
                <c:pt idx="41">
                  <c:v>519.89255199480351</c:v>
                </c:pt>
                <c:pt idx="42">
                  <c:v>544.59119370519988</c:v>
                </c:pt>
                <c:pt idx="43">
                  <c:v>569.26633399060302</c:v>
                </c:pt>
                <c:pt idx="44">
                  <c:v>593.91913364308118</c:v>
                </c:pt>
                <c:pt idx="45">
                  <c:v>618.55064933963661</c:v>
                </c:pt>
                <c:pt idx="46">
                  <c:v>643.16184683736662</c:v>
                </c:pt>
                <c:pt idx="47">
                  <c:v>667.75361204551791</c:v>
                </c:pt>
                <c:pt idx="48">
                  <c:v>692.32676038314548</c:v>
                </c:pt>
                <c:pt idx="49">
                  <c:v>579.14743600285351</c:v>
                </c:pt>
                <c:pt idx="50">
                  <c:v>599.78402081519937</c:v>
                </c:pt>
                <c:pt idx="51">
                  <c:v>620.40585137620121</c:v>
                </c:pt>
                <c:pt idx="52">
                  <c:v>641.01348665904447</c:v>
                </c:pt>
                <c:pt idx="53">
                  <c:v>661.60744680196888</c:v>
                </c:pt>
                <c:pt idx="54">
                  <c:v>682.18821695552413</c:v>
                </c:pt>
                <c:pt idx="55">
                  <c:v>702.75625064182839</c:v>
                </c:pt>
                <c:pt idx="56">
                  <c:v>723.31197270047539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2.1323396907225285</c:v>
                </c:pt>
                <c:pt idx="2">
                  <c:v>2.9323424702731358</c:v>
                </c:pt>
                <c:pt idx="3">
                  <c:v>4.0337697183542565</c:v>
                </c:pt>
                <c:pt idx="4">
                  <c:v>5.550646806066176</c:v>
                </c:pt>
                <c:pt idx="5">
                  <c:v>7.640294215377522</c:v>
                </c:pt>
                <c:pt idx="6">
                  <c:v>10.519823073218054</c:v>
                </c:pt>
                <c:pt idx="7">
                  <c:v>14.488935321502304</c:v>
                </c:pt>
                <c:pt idx="8">
                  <c:v>19.961445086303687</c:v>
                </c:pt>
                <c:pt idx="9">
                  <c:v>27.508866484016963</c:v>
                </c:pt>
                <c:pt idx="10">
                  <c:v>37.920699498230938</c:v>
                </c:pt>
                <c:pt idx="11">
                  <c:v>52.287827760149135</c:v>
                </c:pt>
                <c:pt idx="12">
                  <c:v>72.117911549900995</c:v>
                </c:pt>
                <c:pt idx="13">
                  <c:v>99.495081674141531</c:v>
                </c:pt>
                <c:pt idx="14">
                  <c:v>137.30098343191307</c:v>
                </c:pt>
                <c:pt idx="15">
                  <c:v>189.52079567074398</c:v>
                </c:pt>
                <c:pt idx="16">
                  <c:v>154.31025839134838</c:v>
                </c:pt>
                <c:pt idx="17">
                  <c:v>183.98724967179612</c:v>
                </c:pt>
                <c:pt idx="18">
                  <c:v>213.55215202969657</c:v>
                </c:pt>
                <c:pt idx="19">
                  <c:v>243.02268327304895</c:v>
                </c:pt>
                <c:pt idx="20">
                  <c:v>272.41189918228798</c:v>
                </c:pt>
                <c:pt idx="21">
                  <c:v>232.95201893246733</c:v>
                </c:pt>
                <c:pt idx="22">
                  <c:v>264.07879737201307</c:v>
                </c:pt>
                <c:pt idx="23">
                  <c:v>295.12278580201041</c:v>
                </c:pt>
                <c:pt idx="24">
                  <c:v>326.09391257189026</c:v>
                </c:pt>
                <c:pt idx="25">
                  <c:v>357.00006483853622</c:v>
                </c:pt>
                <c:pt idx="26">
                  <c:v>387.84765248483512</c:v>
                </c:pt>
                <c:pt idx="27">
                  <c:v>348.36866780800318</c:v>
                </c:pt>
                <c:pt idx="28">
                  <c:v>380.22163347811539</c:v>
                </c:pt>
                <c:pt idx="29">
                  <c:v>412.01655756040469</c:v>
                </c:pt>
                <c:pt idx="30">
                  <c:v>443.75854294752617</c:v>
                </c:pt>
                <c:pt idx="31">
                  <c:v>475.45190346562566</c:v>
                </c:pt>
                <c:pt idx="32">
                  <c:v>507.10033142900096</c:v>
                </c:pt>
                <c:pt idx="33">
                  <c:v>435.96273692993935</c:v>
                </c:pt>
                <c:pt idx="34">
                  <c:v>465.55192485805838</c:v>
                </c:pt>
                <c:pt idx="35">
                  <c:v>495.101031982655</c:v>
                </c:pt>
                <c:pt idx="36">
                  <c:v>524.61278351818044</c:v>
                </c:pt>
                <c:pt idx="37">
                  <c:v>554.08957340186623</c:v>
                </c:pt>
                <c:pt idx="38">
                  <c:v>583.53352039649462</c:v>
                </c:pt>
                <c:pt idx="39">
                  <c:v>612.94651228512339</c:v>
                </c:pt>
                <c:pt idx="40">
                  <c:v>642.33024114639272</c:v>
                </c:pt>
                <c:pt idx="41">
                  <c:v>519.89255199480351</c:v>
                </c:pt>
                <c:pt idx="42">
                  <c:v>544.59119370519988</c:v>
                </c:pt>
                <c:pt idx="43">
                  <c:v>569.26633399060302</c:v>
                </c:pt>
                <c:pt idx="44">
                  <c:v>593.91913364308118</c:v>
                </c:pt>
                <c:pt idx="45">
                  <c:v>618.55064933963661</c:v>
                </c:pt>
                <c:pt idx="46">
                  <c:v>643.16184683736662</c:v>
                </c:pt>
                <c:pt idx="47">
                  <c:v>667.75361204551791</c:v>
                </c:pt>
                <c:pt idx="48">
                  <c:v>692.32676038314548</c:v>
                </c:pt>
                <c:pt idx="49">
                  <c:v>579.14743600285351</c:v>
                </c:pt>
                <c:pt idx="50">
                  <c:v>599.78402081519937</c:v>
                </c:pt>
                <c:pt idx="51">
                  <c:v>620.40585137620121</c:v>
                </c:pt>
                <c:pt idx="52">
                  <c:v>641.01348665904447</c:v>
                </c:pt>
                <c:pt idx="53">
                  <c:v>661.60744680196888</c:v>
                </c:pt>
                <c:pt idx="54">
                  <c:v>682.18821695552413</c:v>
                </c:pt>
                <c:pt idx="55">
                  <c:v>702.75625064182839</c:v>
                </c:pt>
                <c:pt idx="56">
                  <c:v>723.31197270047539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2.6338786092710618</c:v>
                </c:pt>
                <c:pt idx="2">
                  <c:v>4.1952300935561926</c:v>
                </c:pt>
                <c:pt idx="3">
                  <c:v>6.6865988412910271</c:v>
                </c:pt>
                <c:pt idx="4">
                  <c:v>10.664430484046186</c:v>
                </c:pt>
                <c:pt idx="5">
                  <c:v>17.019477849474413</c:v>
                </c:pt>
                <c:pt idx="6">
                  <c:v>27.178409013520731</c:v>
                </c:pt>
                <c:pt idx="7">
                  <c:v>43.427415039536889</c:v>
                </c:pt>
                <c:pt idx="8">
                  <c:v>69.431872057450832</c:v>
                </c:pt>
                <c:pt idx="9">
                  <c:v>111.07118878605935</c:v>
                </c:pt>
                <c:pt idx="10">
                  <c:v>177.78055258834297</c:v>
                </c:pt>
                <c:pt idx="11">
                  <c:v>207.39400013243321</c:v>
                </c:pt>
                <c:pt idx="12">
                  <c:v>236.9096600061323</c:v>
                </c:pt>
                <c:pt idx="13">
                  <c:v>266.34143288880711</c:v>
                </c:pt>
                <c:pt idx="14">
                  <c:v>295.69988991597705</c:v>
                </c:pt>
                <c:pt idx="15">
                  <c:v>324.99332932034099</c:v>
                </c:pt>
                <c:pt idx="16">
                  <c:v>355.32027574000921</c:v>
                </c:pt>
                <c:pt idx="17">
                  <c:v>385.59053974953082</c:v>
                </c:pt>
                <c:pt idx="18">
                  <c:v>415.809191580098</c:v>
                </c:pt>
                <c:pt idx="19">
                  <c:v>445.98050477728435</c:v>
                </c:pt>
                <c:pt idx="20">
                  <c:v>476.10812792222833</c:v>
                </c:pt>
                <c:pt idx="21">
                  <c:v>502.53804110065431</c:v>
                </c:pt>
                <c:pt idx="22">
                  <c:v>528.93855532086479</c:v>
                </c:pt>
                <c:pt idx="23">
                  <c:v>555.31134252056302</c:v>
                </c:pt>
                <c:pt idx="24">
                  <c:v>581.65790305693201</c:v>
                </c:pt>
                <c:pt idx="25">
                  <c:v>600.55796984815822</c:v>
                </c:pt>
                <c:pt idx="26">
                  <c:v>619.44567825295644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3.5571608074716754</c:v>
                </c:pt>
                <c:pt idx="2">
                  <c:v>5.6682784157030239</c:v>
                </c:pt>
                <c:pt idx="3">
                  <c:v>9.0382449380860219</c:v>
                </c:pt>
                <c:pt idx="4">
                  <c:v>14.421008023362537</c:v>
                </c:pt>
                <c:pt idx="5">
                  <c:v>23.023897261018718</c:v>
                </c:pt>
                <c:pt idx="6">
                  <c:v>36.781271169403269</c:v>
                </c:pt>
                <c:pt idx="7">
                  <c:v>58.793882658444346</c:v>
                </c:pt>
                <c:pt idx="8">
                  <c:v>94.034623797896998</c:v>
                </c:pt>
                <c:pt idx="9">
                  <c:v>150.48261943688655</c:v>
                </c:pt>
                <c:pt idx="10">
                  <c:v>240.94637860003544</c:v>
                </c:pt>
                <c:pt idx="11">
                  <c:v>281.11291365958601</c:v>
                </c:pt>
                <c:pt idx="12">
                  <c:v>321.15064534947874</c:v>
                </c:pt>
                <c:pt idx="13">
                  <c:v>361.07788328212001</c:v>
                </c:pt>
                <c:pt idx="14">
                  <c:v>400.90855148157749</c:v>
                </c:pt>
                <c:pt idx="15">
                  <c:v>440.653580163588</c:v>
                </c:pt>
                <c:pt idx="16">
                  <c:v>481.80329954772282</c:v>
                </c:pt>
                <c:pt idx="17">
                  <c:v>522.87835833918734</c:v>
                </c:pt>
                <c:pt idx="18">
                  <c:v>563.88543491430426</c:v>
                </c:pt>
                <c:pt idx="19">
                  <c:v>604.83015827587121</c:v>
                </c:pt>
                <c:pt idx="20">
                  <c:v>645.71733423982823</c:v>
                </c:pt>
                <c:pt idx="21">
                  <c:v>681.5875680939763</c:v>
                </c:pt>
                <c:pt idx="22">
                  <c:v>717.41907840693113</c:v>
                </c:pt>
                <c:pt idx="23">
                  <c:v>753.21406741144062</c:v>
                </c:pt>
                <c:pt idx="24">
                  <c:v>788.97451133886398</c:v>
                </c:pt>
                <c:pt idx="25">
                  <c:v>814.62837517685557</c:v>
                </c:pt>
                <c:pt idx="26">
                  <c:v>840.26596087048495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1.850909291479347</c:v>
                </c:pt>
                <c:pt idx="2">
                  <c:v>2.3571093517086852</c:v>
                </c:pt>
                <c:pt idx="3">
                  <c:v>3.0023044836471922</c:v>
                </c:pt>
                <c:pt idx="4">
                  <c:v>3.8248048306110398</c:v>
                </c:pt>
                <c:pt idx="5">
                  <c:v>4.8735168998325982</c:v>
                </c:pt>
                <c:pt idx="6">
                  <c:v>6.2108840367772453</c:v>
                </c:pt>
                <c:pt idx="7">
                  <c:v>7.9166453333903419</c:v>
                </c:pt>
                <c:pt idx="8">
                  <c:v>10.092641396223335</c:v>
                </c:pt>
                <c:pt idx="9">
                  <c:v>12.868959314383559</c:v>
                </c:pt>
                <c:pt idx="10">
                  <c:v>16.411791005165558</c:v>
                </c:pt>
                <c:pt idx="11">
                  <c:v>20.933483913910308</c:v>
                </c:pt>
                <c:pt idx="12">
                  <c:v>26.705397258990146</c:v>
                </c:pt>
                <c:pt idx="13">
                  <c:v>34.074348915626643</c:v>
                </c:pt>
                <c:pt idx="14">
                  <c:v>43.483658227026353</c:v>
                </c:pt>
                <c:pt idx="15">
                  <c:v>55.500072109956967</c:v>
                </c:pt>
                <c:pt idx="16">
                  <c:v>70.84822320816825</c:v>
                </c:pt>
                <c:pt idx="17">
                  <c:v>90.454731878583559</c:v>
                </c:pt>
                <c:pt idx="18">
                  <c:v>115.50465711116368</c:v>
                </c:pt>
                <c:pt idx="19">
                  <c:v>147.51376180488208</c:v>
                </c:pt>
                <c:pt idx="20">
                  <c:v>188.42103223620668</c:v>
                </c:pt>
                <c:pt idx="21">
                  <c:v>240.70714044550846</c:v>
                </c:pt>
                <c:pt idx="22">
                  <c:v>188.87090934206265</c:v>
                </c:pt>
                <c:pt idx="23">
                  <c:v>214.98109510056543</c:v>
                </c:pt>
                <c:pt idx="24">
                  <c:v>241.01824892205289</c:v>
                </c:pt>
                <c:pt idx="25">
                  <c:v>266.9913697084724</c:v>
                </c:pt>
                <c:pt idx="26">
                  <c:v>292.90756031220479</c:v>
                </c:pt>
                <c:pt idx="27">
                  <c:v>318.77256321643927</c:v>
                </c:pt>
                <c:pt idx="28">
                  <c:v>344.59111272829563</c:v>
                </c:pt>
                <c:pt idx="29">
                  <c:v>291.56928243434669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374.94948796267505</c:v>
                </c:pt>
                <c:pt idx="33">
                  <c:v>402.64772617105808</c:v>
                </c:pt>
                <c:pt idx="34">
                  <c:v>430.30476217007714</c:v>
                </c:pt>
                <c:pt idx="35">
                  <c:v>457.92361345472074</c:v>
                </c:pt>
                <c:pt idx="36">
                  <c:v>382.03503582506397</c:v>
                </c:pt>
                <c:pt idx="37">
                  <c:v>409.19922205124948</c:v>
                </c:pt>
                <c:pt idx="38">
                  <c:v>436.32447725278092</c:v>
                </c:pt>
                <c:pt idx="39">
                  <c:v>463.41355924810637</c:v>
                </c:pt>
                <c:pt idx="40">
                  <c:v>490.46887740764822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478.09239623400521</c:v>
                </c:pt>
                <c:pt idx="45">
                  <c:v>504.08010035598926</c:v>
                </c:pt>
                <c:pt idx="46">
                  <c:v>530.03947668561864</c:v>
                </c:pt>
                <c:pt idx="47">
                  <c:v>555.97210607718182</c:v>
                </c:pt>
                <c:pt idx="48">
                  <c:v>581.87941004696052</c:v>
                </c:pt>
                <c:pt idx="49">
                  <c:v>607.76267335393857</c:v>
                </c:pt>
                <c:pt idx="50">
                  <c:v>498.72181261790962</c:v>
                </c:pt>
                <c:pt idx="51">
                  <c:v>522.77570769625004</c:v>
                </c:pt>
                <c:pt idx="52">
                  <c:v>546.80628686047885</c:v>
                </c:pt>
                <c:pt idx="53">
                  <c:v>570.8147177994498</c:v>
                </c:pt>
                <c:pt idx="54">
                  <c:v>594.80206206973287</c:v>
                </c:pt>
                <c:pt idx="55">
                  <c:v>618.7692887187502</c:v>
                </c:pt>
                <c:pt idx="56">
                  <c:v>642.71728568895765</c:v>
                </c:pt>
                <c:pt idx="57">
                  <c:v>553.08091315642685</c:v>
                </c:pt>
                <c:pt idx="58">
                  <c:v>575.02795262431994</c:v>
                </c:pt>
                <c:pt idx="59">
                  <c:v>596.95751269363416</c:v>
                </c:pt>
                <c:pt idx="60">
                  <c:v>618.87032518267199</c:v>
                </c:pt>
                <c:pt idx="61">
                  <c:v>640.7670659136046</c:v>
                </c:pt>
                <c:pt idx="62">
                  <c:v>662.64836080260761</c:v>
                </c:pt>
                <c:pt idx="63">
                  <c:v>684.51479110444359</c:v>
                </c:pt>
                <c:pt idx="64">
                  <c:v>586.91870078586362</c:v>
                </c:pt>
                <c:pt idx="65">
                  <c:v>606.5598649568966</c:v>
                </c:pt>
                <c:pt idx="66">
                  <c:v>626.187827915507</c:v>
                </c:pt>
                <c:pt idx="67">
                  <c:v>645.80306133016256</c:v>
                </c:pt>
                <c:pt idx="68">
                  <c:v>665.40600590783038</c:v>
                </c:pt>
                <c:pt idx="69">
                  <c:v>684.99707429705416</c:v>
                </c:pt>
                <c:pt idx="70">
                  <c:v>704.57665364194054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7.0450932450994683</c:v>
                </c:pt>
                <c:pt idx="2">
                  <c:v>13.773947803871033</c:v>
                </c:pt>
                <c:pt idx="3">
                  <c:v>20.40067314114772</c:v>
                </c:pt>
                <c:pt idx="4">
                  <c:v>26.9644436500101</c:v>
                </c:pt>
                <c:pt idx="5">
                  <c:v>33.483014449623838</c:v>
                </c:pt>
                <c:pt idx="6">
                  <c:v>39.966513801257918</c:v>
                </c:pt>
                <c:pt idx="7">
                  <c:v>46.421471003337565</c:v>
                </c:pt>
                <c:pt idx="8">
                  <c:v>52.852433969992468</c:v>
                </c:pt>
                <c:pt idx="9">
                  <c:v>59.262745475962085</c:v>
                </c:pt>
                <c:pt idx="10">
                  <c:v>65.654961878417993</c:v>
                </c:pt>
                <c:pt idx="11">
                  <c:v>72.031098677186023</c:v>
                </c:pt>
                <c:pt idx="12">
                  <c:v>78.392783898952857</c:v>
                </c:pt>
                <c:pt idx="13">
                  <c:v>84.741358759798842</c:v>
                </c:pt>
                <c:pt idx="14">
                  <c:v>91.077946413376097</c:v>
                </c:pt>
                <c:pt idx="15">
                  <c:v>97.403500470931704</c:v>
                </c:pt>
                <c:pt idx="16">
                  <c:v>103.71884020218766</c:v>
                </c:pt>
                <c:pt idx="17">
                  <c:v>110.02467667999157</c:v>
                </c:pt>
                <c:pt idx="18">
                  <c:v>116.32163259579433</c:v>
                </c:pt>
                <c:pt idx="19">
                  <c:v>122.61025754544603</c:v>
                </c:pt>
                <c:pt idx="20">
                  <c:v>128.89104000512529</c:v>
                </c:pt>
                <c:pt idx="21">
                  <c:v>135.16441684401556</c:v>
                </c:pt>
                <c:pt idx="22">
                  <c:v>141.43078097370486</c:v>
                </c:pt>
                <c:pt idx="23">
                  <c:v>147.69048756747068</c:v>
                </c:pt>
                <c:pt idx="24">
                  <c:v>153.94385916743042</c:v>
                </c:pt>
                <c:pt idx="25">
                  <c:v>160.1911899165149</c:v>
                </c:pt>
                <c:pt idx="26">
                  <c:v>166.43274909426603</c:v>
                </c:pt>
                <c:pt idx="27">
                  <c:v>172.66878409336573</c:v>
                </c:pt>
                <c:pt idx="28">
                  <c:v>178.89952294280042</c:v>
                </c:pt>
                <c:pt idx="29">
                  <c:v>185.12517646044549</c:v>
                </c:pt>
                <c:pt idx="30">
                  <c:v>191.34594010039868</c:v>
                </c:pt>
                <c:pt idx="31">
                  <c:v>197.56199554708428</c:v>
                </c:pt>
                <c:pt idx="32">
                  <c:v>203.77351209788813</c:v>
                </c:pt>
                <c:pt idx="33">
                  <c:v>209.98064786810735</c:v>
                </c:pt>
                <c:pt idx="34">
                  <c:v>216.18355084574318</c:v>
                </c:pt>
                <c:pt idx="35">
                  <c:v>222.38235981871244</c:v>
                </c:pt>
                <c:pt idx="36">
                  <c:v>228.57720519311422</c:v>
                </c:pt>
                <c:pt idx="37">
                  <c:v>234.76820971802169</c:v>
                </c:pt>
                <c:pt idx="38">
                  <c:v>240.95548912971404</c:v>
                </c:pt>
                <c:pt idx="39">
                  <c:v>247.1391527261886</c:v>
                </c:pt>
                <c:pt idx="40">
                  <c:v>253.31930388108844</c:v>
                </c:pt>
                <c:pt idx="41">
                  <c:v>259.49604050479201</c:v>
                </c:pt>
                <c:pt idx="42">
                  <c:v>265.66945545925108</c:v>
                </c:pt>
                <c:pt idx="43">
                  <c:v>271.83963693220841</c:v>
                </c:pt>
                <c:pt idx="44">
                  <c:v>278.00666877562224</c:v>
                </c:pt>
                <c:pt idx="45">
                  <c:v>284.17063081245851</c:v>
                </c:pt>
                <c:pt idx="46">
                  <c:v>290.33159911544391</c:v>
                </c:pt>
                <c:pt idx="47">
                  <c:v>296.48964626089503</c:v>
                </c:pt>
                <c:pt idx="48">
                  <c:v>302.6448415603362</c:v>
                </c:pt>
                <c:pt idx="49">
                  <c:v>308.79725127227067</c:v>
                </c:pt>
                <c:pt idx="50">
                  <c:v>314.9469387961762</c:v>
                </c:pt>
                <c:pt idx="51">
                  <c:v>321.09396485054248</c:v>
                </c:pt>
                <c:pt idx="52">
                  <c:v>327.23838763655039</c:v>
                </c:pt>
                <c:pt idx="53">
                  <c:v>333.38026298880533</c:v>
                </c:pt>
                <c:pt idx="54">
                  <c:v>339.51964451437107</c:v>
                </c:pt>
                <c:pt idx="55">
                  <c:v>345.65658372121516</c:v>
                </c:pt>
                <c:pt idx="56">
                  <c:v>351.7911301370479</c:v>
                </c:pt>
                <c:pt idx="57">
                  <c:v>357.92333141943232</c:v>
                </c:pt>
                <c:pt idx="58">
                  <c:v>364.05323345794847</c:v>
                </c:pt>
                <c:pt idx="59">
                  <c:v>370.18088046911311</c:v>
                </c:pt>
                <c:pt idx="60">
                  <c:v>376.30631508468036</c:v>
                </c:pt>
                <c:pt idx="61">
                  <c:v>253.31714249555986</c:v>
                </c:pt>
                <c:pt idx="62">
                  <c:v>265.59583124829334</c:v>
                </c:pt>
                <c:pt idx="63">
                  <c:v>277.86172712794087</c:v>
                </c:pt>
                <c:pt idx="64">
                  <c:v>290.11547465348713</c:v>
                </c:pt>
                <c:pt idx="65">
                  <c:v>302.35765942716114</c:v>
                </c:pt>
                <c:pt idx="66">
                  <c:v>314.58881573857229</c:v>
                </c:pt>
                <c:pt idx="67">
                  <c:v>326.80943292373189</c:v>
                </c:pt>
                <c:pt idx="68">
                  <c:v>339.01996072272726</c:v>
                </c:pt>
                <c:pt idx="69">
                  <c:v>351.22081382485447</c:v>
                </c:pt>
                <c:pt idx="70">
                  <c:v>286.93271523051521</c:v>
                </c:pt>
                <c:pt idx="71">
                  <c:v>298.82066442243269</c:v>
                </c:pt>
                <c:pt idx="72">
                  <c:v>310.69807871536523</c:v>
                </c:pt>
                <c:pt idx="73">
                  <c:v>322.5654177370451</c:v>
                </c:pt>
                <c:pt idx="74">
                  <c:v>334.42310452141413</c:v>
                </c:pt>
                <c:pt idx="75">
                  <c:v>346.27152964400744</c:v>
                </c:pt>
                <c:pt idx="76">
                  <c:v>358.11105476153506</c:v>
                </c:pt>
                <c:pt idx="77">
                  <c:v>369.94201565876301</c:v>
                </c:pt>
                <c:pt idx="78">
                  <c:v>320.74771265885221</c:v>
                </c:pt>
                <c:pt idx="79">
                  <c:v>332.537838980429</c:v>
                </c:pt>
                <c:pt idx="80">
                  <c:v>344.3187517901776</c:v>
                </c:pt>
                <c:pt idx="81">
                  <c:v>356.09081084806343</c:v>
                </c:pt>
                <c:pt idx="82">
                  <c:v>367.85435017894116</c:v>
                </c:pt>
                <c:pt idx="83">
                  <c:v>379.60968069514769</c:v>
                </c:pt>
                <c:pt idx="84">
                  <c:v>391.35709247720064</c:v>
                </c:pt>
                <c:pt idx="85">
                  <c:v>403.09685676630625</c:v>
                </c:pt>
                <c:pt idx="86">
                  <c:v>414.82922771259769</c:v>
                </c:pt>
                <c:pt idx="87">
                  <c:v>360.15303053837323</c:v>
                </c:pt>
                <c:pt idx="88">
                  <c:v>371.89655768530696</c:v>
                </c:pt>
                <c:pt idx="89">
                  <c:v>383.63200161758442</c:v>
                </c:pt>
                <c:pt idx="90">
                  <c:v>395.3596445027153</c:v>
                </c:pt>
                <c:pt idx="91">
                  <c:v>407.07975039902573</c:v>
                </c:pt>
                <c:pt idx="92">
                  <c:v>418.79256691689403</c:v>
                </c:pt>
                <c:pt idx="93">
                  <c:v>430.49832668442423</c:v>
                </c:pt>
                <c:pt idx="94">
                  <c:v>442.1972486453796</c:v>
                </c:pt>
                <c:pt idx="95">
                  <c:v>453.88953921259423</c:v>
                </c:pt>
                <c:pt idx="96">
                  <c:v>390.99532089529629</c:v>
                </c:pt>
                <c:pt idx="97">
                  <c:v>402.68825201444542</c:v>
                </c:pt>
                <c:pt idx="98">
                  <c:v>414.3738404697512</c:v>
                </c:pt>
                <c:pt idx="99">
                  <c:v>426.05232254092169</c:v>
                </c:pt>
                <c:pt idx="100">
                  <c:v>437.72392049600489</c:v>
                </c:pt>
                <c:pt idx="101">
                  <c:v>449.38884378169104</c:v>
                </c:pt>
                <c:pt idx="102">
                  <c:v>461.04729008358157</c:v>
                </c:pt>
                <c:pt idx="103">
                  <c:v>472.69944627362452</c:v>
                </c:pt>
                <c:pt idx="104">
                  <c:v>484.34548925926879</c:v>
                </c:pt>
                <c:pt idx="105">
                  <c:v>427.04800615065375</c:v>
                </c:pt>
                <c:pt idx="106">
                  <c:v>438.85569004009653</c:v>
                </c:pt>
                <c:pt idx="107">
                  <c:v>450.65656209767127</c:v>
                </c:pt>
                <c:pt idx="108">
                  <c:v>462.45082584479741</c:v>
                </c:pt>
                <c:pt idx="109">
                  <c:v>474.23867357468339</c:v>
                </c:pt>
                <c:pt idx="110">
                  <c:v>486.02028724139296</c:v>
                </c:pt>
                <c:pt idx="111">
                  <c:v>497.79583925822095</c:v>
                </c:pt>
                <c:pt idx="112">
                  <c:v>509.56549321659782</c:v>
                </c:pt>
                <c:pt idx="113">
                  <c:v>521.32940453512572</c:v>
                </c:pt>
                <c:pt idx="114">
                  <c:v>460.76571874452139</c:v>
                </c:pt>
                <c:pt idx="115">
                  <c:v>472.72502986992521</c:v>
                </c:pt>
                <c:pt idx="116">
                  <c:v>484.67790168155608</c:v>
                </c:pt>
                <c:pt idx="117">
                  <c:v>496.62451535546808</c:v>
                </c:pt>
                <c:pt idx="118">
                  <c:v>508.56504264075807</c:v>
                </c:pt>
                <c:pt idx="119">
                  <c:v>520.49964656456541</c:v>
                </c:pt>
                <c:pt idx="120">
                  <c:v>532.42848206905671</c:v>
                </c:pt>
                <c:pt idx="121">
                  <c:v>544.35169658836253</c:v>
                </c:pt>
                <c:pt idx="122">
                  <c:v>556.26943057234871</c:v>
                </c:pt>
                <c:pt idx="123">
                  <c:v>488.63515633240382</c:v>
                </c:pt>
                <c:pt idx="124">
                  <c:v>500.7251715711397</c:v>
                </c:pt>
                <c:pt idx="125">
                  <c:v>512.80900957101755</c:v>
                </c:pt>
                <c:pt idx="126">
                  <c:v>524.88683638893338</c:v>
                </c:pt>
                <c:pt idx="127">
                  <c:v>536.95880981756966</c:v>
                </c:pt>
                <c:pt idx="128">
                  <c:v>549.02507997715327</c:v>
                </c:pt>
                <c:pt idx="129">
                  <c:v>561.08578985249494</c:v>
                </c:pt>
                <c:pt idx="130">
                  <c:v>573.14107578146536</c:v>
                </c:pt>
                <c:pt idx="131">
                  <c:v>585.19106790024341</c:v>
                </c:pt>
                <c:pt idx="132">
                  <c:v>597.23589054999945</c:v>
                </c:pt>
                <c:pt idx="133">
                  <c:v>525.14433793100022</c:v>
                </c:pt>
                <c:pt idx="134">
                  <c:v>537.55202002240696</c:v>
                </c:pt>
                <c:pt idx="135">
                  <c:v>549.95368458878806</c:v>
                </c:pt>
                <c:pt idx="136">
                  <c:v>562.34948641975677</c:v>
                </c:pt>
                <c:pt idx="137">
                  <c:v>574.73957292613636</c:v>
                </c:pt>
                <c:pt idx="138">
                  <c:v>587.12408464653538</c:v>
                </c:pt>
                <c:pt idx="139">
                  <c:v>599.50315570897146</c:v>
                </c:pt>
                <c:pt idx="140">
                  <c:v>611.87691425239848</c:v>
                </c:pt>
                <c:pt idx="141">
                  <c:v>624.24548281237617</c:v>
                </c:pt>
                <c:pt idx="142">
                  <c:v>636.6089786745971</c:v>
                </c:pt>
                <c:pt idx="143">
                  <c:v>648.96751419953455</c:v>
                </c:pt>
                <c:pt idx="144">
                  <c:v>661.32119712108783</c:v>
                </c:pt>
                <c:pt idx="145">
                  <c:v>568.89165826106421</c:v>
                </c:pt>
                <c:pt idx="146">
                  <c:v>581.52713899696346</c:v>
                </c:pt>
                <c:pt idx="147">
                  <c:v>594.15689636864261</c:v>
                </c:pt>
                <c:pt idx="148">
                  <c:v>606.78106913867566</c:v>
                </c:pt>
                <c:pt idx="149">
                  <c:v>619.39978982695288</c:v>
                </c:pt>
                <c:pt idx="150">
                  <c:v>632.01318511564659</c:v>
                </c:pt>
                <c:pt idx="151">
                  <c:v>644.62137622018611</c:v>
                </c:pt>
                <c:pt idx="152">
                  <c:v>657.2244792297098</c:v>
                </c:pt>
                <c:pt idx="153">
                  <c:v>669.82260542006179</c:v>
                </c:pt>
                <c:pt idx="154">
                  <c:v>682.41586154202571</c:v>
                </c:pt>
                <c:pt idx="155">
                  <c:v>695.00435008719262</c:v>
                </c:pt>
                <c:pt idx="156">
                  <c:v>707.588169533572</c:v>
                </c:pt>
                <c:pt idx="157">
                  <c:v>607.78949327843691</c:v>
                </c:pt>
                <c:pt idx="158">
                  <c:v>620.62877489623361</c:v>
                </c:pt>
                <c:pt idx="159">
                  <c:v>633.46255535885143</c:v>
                </c:pt>
                <c:pt idx="160">
                  <c:v>646.29096177575968</c:v>
                </c:pt>
                <c:pt idx="161">
                  <c:v>659.11411580122092</c:v>
                </c:pt>
                <c:pt idx="162">
                  <c:v>671.93213397220916</c:v>
                </c:pt>
                <c:pt idx="163">
                  <c:v>684.74512801921207</c:v>
                </c:pt>
                <c:pt idx="164">
                  <c:v>697.55320515257699</c:v>
                </c:pt>
                <c:pt idx="165">
                  <c:v>710.35646832674502</c:v>
                </c:pt>
                <c:pt idx="166">
                  <c:v>723.15501648445525</c:v>
                </c:pt>
                <c:pt idx="167">
                  <c:v>735.94894478277627</c:v>
                </c:pt>
                <c:pt idx="168">
                  <c:v>748.73834480261223</c:v>
                </c:pt>
                <c:pt idx="169">
                  <c:v>639.84087894897164</c:v>
                </c:pt>
                <c:pt idx="170">
                  <c:v>652.61266025034092</c:v>
                </c:pt>
                <c:pt idx="171">
                  <c:v>665.3792908840793</c:v>
                </c:pt>
                <c:pt idx="172">
                  <c:v>678.14088355450997</c:v>
                </c:pt>
                <c:pt idx="173">
                  <c:v>690.89754638041268</c:v>
                </c:pt>
                <c:pt idx="174">
                  <c:v>703.64938316457949</c:v>
                </c:pt>
                <c:pt idx="175">
                  <c:v>716.39649364282889</c:v>
                </c:pt>
                <c:pt idx="176">
                  <c:v>729.13897371438645</c:v>
                </c:pt>
                <c:pt idx="177">
                  <c:v>741.87691565533305</c:v>
                </c:pt>
                <c:pt idx="178">
                  <c:v>754.61040831664366</c:v>
                </c:pt>
                <c:pt idx="179">
                  <c:v>767.33953730817268</c:v>
                </c:pt>
                <c:pt idx="180">
                  <c:v>780.06438516980552</c:v>
                </c:pt>
                <c:pt idx="181">
                  <c:v>492.42749960836346</c:v>
                </c:pt>
                <c:pt idx="182">
                  <c:v>500.29588827023076</c:v>
                </c:pt>
                <c:pt idx="183">
                  <c:v>508.16165772046406</c:v>
                </c:pt>
                <c:pt idx="184">
                  <c:v>516.02485423231587</c:v>
                </c:pt>
                <c:pt idx="185">
                  <c:v>350.02346966130943</c:v>
                </c:pt>
                <c:pt idx="186">
                  <c:v>355.04399260107658</c:v>
                </c:pt>
                <c:pt idx="187">
                  <c:v>360.06296055048961</c:v>
                </c:pt>
                <c:pt idx="188">
                  <c:v>365.08039827011902</c:v>
                </c:pt>
                <c:pt idx="189">
                  <c:v>245.44473414197512</c:v>
                </c:pt>
                <c:pt idx="190">
                  <c:v>248.65621687710586</c:v>
                </c:pt>
                <c:pt idx="191">
                  <c:v>251.8667583997707</c:v>
                </c:pt>
                <c:pt idx="192">
                  <c:v>9.5729237219528986E-12</c:v>
                </c:pt>
                <c:pt idx="193">
                  <c:v>9.5729237219528986E-12</c:v>
                </c:pt>
                <c:pt idx="194">
                  <c:v>9.5729237219528986E-12</c:v>
                </c:pt>
                <c:pt idx="195">
                  <c:v>9.5729237219528986E-12</c:v>
                </c:pt>
                <c:pt idx="196">
                  <c:v>9.5729237219528986E-12</c:v>
                </c:pt>
                <c:pt idx="197">
                  <c:v>9.5729237219528986E-12</c:v>
                </c:pt>
                <c:pt idx="198">
                  <c:v>9.5729237219528986E-12</c:v>
                </c:pt>
                <c:pt idx="199">
                  <c:v>9.5729237219528986E-12</c:v>
                </c:pt>
                <c:pt idx="200">
                  <c:v>9.5729237219528986E-12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1.5402544434585883</c:v>
                </c:pt>
                <c:pt idx="2">
                  <c:v>2.045780035636779</c:v>
                </c:pt>
                <c:pt idx="3">
                  <c:v>2.717922289174671</c:v>
                </c:pt>
                <c:pt idx="4">
                  <c:v>3.6118140013264668</c:v>
                </c:pt>
                <c:pt idx="5">
                  <c:v>4.8008986035752175</c:v>
                </c:pt>
                <c:pt idx="6">
                  <c:v>6.3830322798094565</c:v>
                </c:pt>
                <c:pt idx="7">
                  <c:v>8.4886260514539114</c:v>
                </c:pt>
                <c:pt idx="8">
                  <c:v>11.291511763194011</c:v>
                </c:pt>
                <c:pt idx="9">
                  <c:v>15.023445803273242</c:v>
                </c:pt>
                <c:pt idx="10">
                  <c:v>19.99347175518178</c:v>
                </c:pt>
                <c:pt idx="11">
                  <c:v>26.613774158639355</c:v>
                </c:pt>
                <c:pt idx="12">
                  <c:v>35.434205161367345</c:v>
                </c:pt>
                <c:pt idx="13">
                  <c:v>47.188400920588187</c:v>
                </c:pt>
                <c:pt idx="14">
                  <c:v>62.855387879153078</c:v>
                </c:pt>
                <c:pt idx="15">
                  <c:v>83.741894453467935</c:v>
                </c:pt>
                <c:pt idx="16">
                  <c:v>111.59234363672935</c:v>
                </c:pt>
                <c:pt idx="17">
                  <c:v>148.73585705438913</c:v>
                </c:pt>
                <c:pt idx="18">
                  <c:v>198.2827526638622</c:v>
                </c:pt>
                <c:pt idx="19">
                  <c:v>152.3864623038144</c:v>
                </c:pt>
                <c:pt idx="20">
                  <c:v>178.23495739466622</c:v>
                </c:pt>
                <c:pt idx="21">
                  <c:v>203.99545422081783</c:v>
                </c:pt>
                <c:pt idx="22">
                  <c:v>229.68063675506048</c:v>
                </c:pt>
                <c:pt idx="23">
                  <c:v>255.30011308757412</c:v>
                </c:pt>
                <c:pt idx="24">
                  <c:v>280.86140248997191</c:v>
                </c:pt>
                <c:pt idx="25">
                  <c:v>259.43544652877773</c:v>
                </c:pt>
                <c:pt idx="26">
                  <c:v>286.76641000957017</c:v>
                </c:pt>
                <c:pt idx="27">
                  <c:v>314.03909760954588</c:v>
                </c:pt>
                <c:pt idx="28">
                  <c:v>341.25927813642528</c:v>
                </c:pt>
                <c:pt idx="29">
                  <c:v>368.43172495291293</c:v>
                </c:pt>
                <c:pt idx="30">
                  <c:v>395.5604500494847</c:v>
                </c:pt>
                <c:pt idx="31">
                  <c:v>346.24890026667828</c:v>
                </c:pt>
                <c:pt idx="32">
                  <c:v>373.24974422733004</c:v>
                </c:pt>
                <c:pt idx="33">
                  <c:v>400.20802972261481</c:v>
                </c:pt>
                <c:pt idx="34">
                  <c:v>427.12702359531545</c:v>
                </c:pt>
                <c:pt idx="35">
                  <c:v>454.00954759463934</c:v>
                </c:pt>
                <c:pt idx="36">
                  <c:v>480.85806231909402</c:v>
                </c:pt>
                <c:pt idx="37">
                  <c:v>426.61349667894268</c:v>
                </c:pt>
                <c:pt idx="38">
                  <c:v>452.9556801030223</c:v>
                </c:pt>
                <c:pt idx="39">
                  <c:v>479.26512417586628</c:v>
                </c:pt>
                <c:pt idx="40">
                  <c:v>505.54387680430187</c:v>
                </c:pt>
                <c:pt idx="41">
                  <c:v>531.79375583365902</c:v>
                </c:pt>
                <c:pt idx="42">
                  <c:v>558.01638520079189</c:v>
                </c:pt>
                <c:pt idx="43">
                  <c:v>497.99699632678494</c:v>
                </c:pt>
                <c:pt idx="44">
                  <c:v>523.32749575764262</c:v>
                </c:pt>
                <c:pt idx="45">
                  <c:v>548.63216886276189</c:v>
                </c:pt>
                <c:pt idx="46">
                  <c:v>573.91237297748114</c:v>
                </c:pt>
                <c:pt idx="47">
                  <c:v>599.16933624116075</c:v>
                </c:pt>
                <c:pt idx="48">
                  <c:v>624.40417493070879</c:v>
                </c:pt>
                <c:pt idx="49">
                  <c:v>553.80659006304643</c:v>
                </c:pt>
                <c:pt idx="50">
                  <c:v>577.77991843712778</c:v>
                </c:pt>
                <c:pt idx="51">
                  <c:v>601.73250042950247</c:v>
                </c:pt>
                <c:pt idx="52">
                  <c:v>625.66527709965862</c:v>
                </c:pt>
                <c:pt idx="53">
                  <c:v>649.57911172546289</c:v>
                </c:pt>
                <c:pt idx="54">
                  <c:v>673.47479891593559</c:v>
                </c:pt>
                <c:pt idx="55">
                  <c:v>2.8030510891776262E-12</c:v>
                </c:pt>
                <c:pt idx="56">
                  <c:v>2.8030510891776262E-12</c:v>
                </c:pt>
                <c:pt idx="57">
                  <c:v>2.8030510891776262E-12</c:v>
                </c:pt>
                <c:pt idx="58">
                  <c:v>2.8030510891776262E-12</c:v>
                </c:pt>
                <c:pt idx="59">
                  <c:v>2.8030510891776262E-12</c:v>
                </c:pt>
                <c:pt idx="60">
                  <c:v>2.8030510891776262E-12</c:v>
                </c:pt>
                <c:pt idx="61">
                  <c:v>2.8030510891776262E-12</c:v>
                </c:pt>
                <c:pt idx="62">
                  <c:v>2.8030510891776262E-12</c:v>
                </c:pt>
                <c:pt idx="63">
                  <c:v>2.8030510891776262E-12</c:v>
                </c:pt>
                <c:pt idx="64">
                  <c:v>2.8030510891776262E-12</c:v>
                </c:pt>
                <c:pt idx="65">
                  <c:v>2.8030510891776262E-12</c:v>
                </c:pt>
                <c:pt idx="66">
                  <c:v>2.8030510891776262E-12</c:v>
                </c:pt>
                <c:pt idx="67">
                  <c:v>2.8030510891776262E-12</c:v>
                </c:pt>
                <c:pt idx="68">
                  <c:v>2.8030510891776262E-12</c:v>
                </c:pt>
                <c:pt idx="69">
                  <c:v>2.8030510891776262E-12</c:v>
                </c:pt>
                <c:pt idx="70">
                  <c:v>2.8030510891776262E-12</c:v>
                </c:pt>
                <c:pt idx="71">
                  <c:v>2.8030510891776262E-12</c:v>
                </c:pt>
                <c:pt idx="72">
                  <c:v>2.8030510891776262E-12</c:v>
                </c:pt>
                <c:pt idx="73">
                  <c:v>2.8030510891776262E-12</c:v>
                </c:pt>
                <c:pt idx="74">
                  <c:v>2.8030510891776262E-12</c:v>
                </c:pt>
                <c:pt idx="75">
                  <c:v>2.8030510891776262E-12</c:v>
                </c:pt>
                <c:pt idx="76">
                  <c:v>2.8030510891776262E-12</c:v>
                </c:pt>
                <c:pt idx="77">
                  <c:v>2.8030510891776262E-12</c:v>
                </c:pt>
                <c:pt idx="78">
                  <c:v>2.8030510891776262E-12</c:v>
                </c:pt>
                <c:pt idx="79">
                  <c:v>2.8030510891776262E-12</c:v>
                </c:pt>
                <c:pt idx="80">
                  <c:v>2.8030510891776262E-12</c:v>
                </c:pt>
                <c:pt idx="81">
                  <c:v>2.8030510891776262E-12</c:v>
                </c:pt>
                <c:pt idx="82">
                  <c:v>2.8030510891776262E-12</c:v>
                </c:pt>
                <c:pt idx="83">
                  <c:v>2.8030510891776262E-12</c:v>
                </c:pt>
                <c:pt idx="84">
                  <c:v>2.8030510891776262E-12</c:v>
                </c:pt>
                <c:pt idx="85">
                  <c:v>2.8030510891776262E-12</c:v>
                </c:pt>
                <c:pt idx="86">
                  <c:v>2.8030510891776262E-12</c:v>
                </c:pt>
                <c:pt idx="87">
                  <c:v>2.8030510891776262E-12</c:v>
                </c:pt>
                <c:pt idx="88">
                  <c:v>2.8030510891776262E-12</c:v>
                </c:pt>
                <c:pt idx="89">
                  <c:v>2.8030510891776262E-12</c:v>
                </c:pt>
                <c:pt idx="90">
                  <c:v>2.8030510891776262E-12</c:v>
                </c:pt>
                <c:pt idx="91">
                  <c:v>2.8030510891776262E-12</c:v>
                </c:pt>
                <c:pt idx="92">
                  <c:v>2.8030510891776262E-12</c:v>
                </c:pt>
                <c:pt idx="93">
                  <c:v>2.8030510891776262E-12</c:v>
                </c:pt>
                <c:pt idx="94">
                  <c:v>2.8030510891776262E-12</c:v>
                </c:pt>
                <c:pt idx="95">
                  <c:v>2.8030510891776262E-12</c:v>
                </c:pt>
                <c:pt idx="96">
                  <c:v>2.8030510891776262E-12</c:v>
                </c:pt>
                <c:pt idx="97">
                  <c:v>2.8030510891776262E-12</c:v>
                </c:pt>
                <c:pt idx="98">
                  <c:v>2.8030510891776262E-12</c:v>
                </c:pt>
                <c:pt idx="99">
                  <c:v>2.8030510891776262E-12</c:v>
                </c:pt>
                <c:pt idx="100">
                  <c:v>2.8030510891776262E-12</c:v>
                </c:pt>
                <c:pt idx="101">
                  <c:v>2.8030510891776262E-12</c:v>
                </c:pt>
                <c:pt idx="102">
                  <c:v>2.8030510891776262E-12</c:v>
                </c:pt>
                <c:pt idx="103">
                  <c:v>2.8030510891776262E-12</c:v>
                </c:pt>
                <c:pt idx="104">
                  <c:v>2.8030510891776262E-12</c:v>
                </c:pt>
                <c:pt idx="105">
                  <c:v>2.8030510891776262E-12</c:v>
                </c:pt>
                <c:pt idx="106">
                  <c:v>2.8030510891776262E-12</c:v>
                </c:pt>
                <c:pt idx="107">
                  <c:v>2.8030510891776262E-12</c:v>
                </c:pt>
                <c:pt idx="108">
                  <c:v>2.8030510891776262E-12</c:v>
                </c:pt>
                <c:pt idx="109">
                  <c:v>2.8030510891776262E-12</c:v>
                </c:pt>
                <c:pt idx="110">
                  <c:v>2.8030510891776262E-12</c:v>
                </c:pt>
                <c:pt idx="111">
                  <c:v>2.8030510891776262E-12</c:v>
                </c:pt>
                <c:pt idx="112">
                  <c:v>2.8030510891776262E-12</c:v>
                </c:pt>
                <c:pt idx="113">
                  <c:v>2.8030510891776262E-12</c:v>
                </c:pt>
                <c:pt idx="114">
                  <c:v>2.8030510891776262E-12</c:v>
                </c:pt>
                <c:pt idx="115">
                  <c:v>2.8030510891776262E-12</c:v>
                </c:pt>
                <c:pt idx="116">
                  <c:v>2.8030510891776262E-12</c:v>
                </c:pt>
                <c:pt idx="117">
                  <c:v>2.8030510891776262E-12</c:v>
                </c:pt>
                <c:pt idx="118">
                  <c:v>2.8030510891776262E-12</c:v>
                </c:pt>
                <c:pt idx="119">
                  <c:v>2.8030510891776262E-12</c:v>
                </c:pt>
                <c:pt idx="120">
                  <c:v>2.8030510891776262E-12</c:v>
                </c:pt>
                <c:pt idx="121">
                  <c:v>2.8030510891776262E-12</c:v>
                </c:pt>
                <c:pt idx="122">
                  <c:v>2.8030510891776262E-12</c:v>
                </c:pt>
                <c:pt idx="123">
                  <c:v>2.8030510891776262E-12</c:v>
                </c:pt>
                <c:pt idx="124">
                  <c:v>2.8030510891776262E-12</c:v>
                </c:pt>
                <c:pt idx="125">
                  <c:v>2.8030510891776262E-12</c:v>
                </c:pt>
                <c:pt idx="126">
                  <c:v>2.8030510891776262E-12</c:v>
                </c:pt>
                <c:pt idx="127">
                  <c:v>2.8030510891776262E-12</c:v>
                </c:pt>
                <c:pt idx="128">
                  <c:v>2.8030510891776262E-12</c:v>
                </c:pt>
                <c:pt idx="129">
                  <c:v>2.8030510891776262E-12</c:v>
                </c:pt>
                <c:pt idx="130">
                  <c:v>2.8030510891776262E-12</c:v>
                </c:pt>
                <c:pt idx="131">
                  <c:v>2.8030510891776262E-12</c:v>
                </c:pt>
                <c:pt idx="132">
                  <c:v>2.8030510891776262E-12</c:v>
                </c:pt>
                <c:pt idx="133">
                  <c:v>2.8030510891776262E-12</c:v>
                </c:pt>
                <c:pt idx="134">
                  <c:v>2.8030510891776262E-12</c:v>
                </c:pt>
                <c:pt idx="135">
                  <c:v>2.8030510891776262E-12</c:v>
                </c:pt>
                <c:pt idx="136">
                  <c:v>2.8030510891776262E-12</c:v>
                </c:pt>
                <c:pt idx="137">
                  <c:v>2.8030510891776262E-12</c:v>
                </c:pt>
                <c:pt idx="138">
                  <c:v>2.8030510891776262E-12</c:v>
                </c:pt>
                <c:pt idx="139">
                  <c:v>2.8030510891776262E-12</c:v>
                </c:pt>
                <c:pt idx="140">
                  <c:v>2.8030510891776262E-12</c:v>
                </c:pt>
                <c:pt idx="141">
                  <c:v>2.8030510891776262E-12</c:v>
                </c:pt>
                <c:pt idx="142">
                  <c:v>2.8030510891776262E-12</c:v>
                </c:pt>
                <c:pt idx="143">
                  <c:v>2.8030510891776262E-12</c:v>
                </c:pt>
                <c:pt idx="144">
                  <c:v>2.8030510891776262E-12</c:v>
                </c:pt>
                <c:pt idx="145">
                  <c:v>2.8030510891776262E-12</c:v>
                </c:pt>
                <c:pt idx="146">
                  <c:v>2.8030510891776262E-12</c:v>
                </c:pt>
                <c:pt idx="147">
                  <c:v>2.8030510891776262E-12</c:v>
                </c:pt>
                <c:pt idx="148">
                  <c:v>2.8030510891776262E-12</c:v>
                </c:pt>
                <c:pt idx="149">
                  <c:v>2.8030510891776262E-12</c:v>
                </c:pt>
                <c:pt idx="150">
                  <c:v>2.8030510891776262E-12</c:v>
                </c:pt>
                <c:pt idx="151">
                  <c:v>2.8030510891776262E-12</c:v>
                </c:pt>
                <c:pt idx="152">
                  <c:v>2.8030510891776262E-12</c:v>
                </c:pt>
                <c:pt idx="153">
                  <c:v>2.8030510891776262E-12</c:v>
                </c:pt>
                <c:pt idx="154">
                  <c:v>2.8030510891776262E-12</c:v>
                </c:pt>
                <c:pt idx="155">
                  <c:v>2.8030510891776262E-12</c:v>
                </c:pt>
                <c:pt idx="156">
                  <c:v>2.8030510891776262E-12</c:v>
                </c:pt>
                <c:pt idx="157">
                  <c:v>2.8030510891776262E-12</c:v>
                </c:pt>
                <c:pt idx="158">
                  <c:v>2.8030510891776262E-12</c:v>
                </c:pt>
                <c:pt idx="159">
                  <c:v>2.8030510891776262E-12</c:v>
                </c:pt>
                <c:pt idx="160">
                  <c:v>2.8030510891776262E-12</c:v>
                </c:pt>
                <c:pt idx="161">
                  <c:v>2.8030510891776262E-12</c:v>
                </c:pt>
                <c:pt idx="162">
                  <c:v>2.8030510891776262E-12</c:v>
                </c:pt>
                <c:pt idx="163">
                  <c:v>2.8030510891776262E-12</c:v>
                </c:pt>
                <c:pt idx="164">
                  <c:v>2.8030510891776262E-12</c:v>
                </c:pt>
                <c:pt idx="165">
                  <c:v>2.8030510891776262E-12</c:v>
                </c:pt>
                <c:pt idx="166">
                  <c:v>2.8030510891776262E-12</c:v>
                </c:pt>
                <c:pt idx="167">
                  <c:v>2.8030510891776262E-12</c:v>
                </c:pt>
                <c:pt idx="168">
                  <c:v>2.8030510891776262E-12</c:v>
                </c:pt>
                <c:pt idx="169">
                  <c:v>2.8030510891776262E-12</c:v>
                </c:pt>
                <c:pt idx="170">
                  <c:v>2.8030510891776262E-12</c:v>
                </c:pt>
                <c:pt idx="171">
                  <c:v>2.8030510891776262E-12</c:v>
                </c:pt>
                <c:pt idx="172">
                  <c:v>2.8030510891776262E-12</c:v>
                </c:pt>
                <c:pt idx="173">
                  <c:v>2.8030510891776262E-12</c:v>
                </c:pt>
                <c:pt idx="174">
                  <c:v>2.8030510891776262E-12</c:v>
                </c:pt>
                <c:pt idx="175">
                  <c:v>2.8030510891776262E-12</c:v>
                </c:pt>
                <c:pt idx="176">
                  <c:v>2.8030510891776262E-12</c:v>
                </c:pt>
                <c:pt idx="177">
                  <c:v>2.8030510891776262E-12</c:v>
                </c:pt>
                <c:pt idx="178">
                  <c:v>2.8030510891776262E-12</c:v>
                </c:pt>
                <c:pt idx="179">
                  <c:v>2.8030510891776262E-12</c:v>
                </c:pt>
                <c:pt idx="180">
                  <c:v>2.8030510891776262E-12</c:v>
                </c:pt>
                <c:pt idx="181">
                  <c:v>2.8030510891776262E-12</c:v>
                </c:pt>
                <c:pt idx="182">
                  <c:v>2.8030510891776262E-12</c:v>
                </c:pt>
                <c:pt idx="183">
                  <c:v>2.8030510891776262E-12</c:v>
                </c:pt>
                <c:pt idx="184">
                  <c:v>2.8030510891776262E-12</c:v>
                </c:pt>
                <c:pt idx="185">
                  <c:v>2.8030510891776262E-12</c:v>
                </c:pt>
                <c:pt idx="186">
                  <c:v>2.8030510891776262E-12</c:v>
                </c:pt>
                <c:pt idx="187">
                  <c:v>2.8030510891776262E-12</c:v>
                </c:pt>
                <c:pt idx="188">
                  <c:v>2.8030510891776262E-12</c:v>
                </c:pt>
                <c:pt idx="189">
                  <c:v>2.8030510891776262E-12</c:v>
                </c:pt>
                <c:pt idx="190">
                  <c:v>2.8030510891776262E-12</c:v>
                </c:pt>
                <c:pt idx="191">
                  <c:v>2.8030510891776262E-12</c:v>
                </c:pt>
                <c:pt idx="192">
                  <c:v>2.8030510891776262E-12</c:v>
                </c:pt>
                <c:pt idx="193">
                  <c:v>2.8030510891776262E-12</c:v>
                </c:pt>
                <c:pt idx="194">
                  <c:v>2.8030510891776262E-12</c:v>
                </c:pt>
                <c:pt idx="195">
                  <c:v>2.8030510891776262E-12</c:v>
                </c:pt>
                <c:pt idx="196">
                  <c:v>2.8030510891776262E-12</c:v>
                </c:pt>
                <c:pt idx="197">
                  <c:v>2.8030510891776262E-12</c:v>
                </c:pt>
                <c:pt idx="198">
                  <c:v>2.8030510891776262E-12</c:v>
                </c:pt>
                <c:pt idx="199">
                  <c:v>2.8030510891776262E-12</c:v>
                </c:pt>
                <c:pt idx="200">
                  <c:v>2.8030510891776262E-12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8.7238773521599047</c:v>
                </c:pt>
                <c:pt idx="2">
                  <c:v>17.063280696299408</c:v>
                </c:pt>
                <c:pt idx="3">
                  <c:v>25.278518235236231</c:v>
                </c:pt>
                <c:pt idx="4">
                  <c:v>33.417217082826525</c:v>
                </c:pt>
                <c:pt idx="5">
                  <c:v>41.500963408389929</c:v>
                </c:pt>
                <c:pt idx="6">
                  <c:v>49.54207086415412</c:v>
                </c:pt>
                <c:pt idx="7">
                  <c:v>57.548477585595947</c:v>
                </c:pt>
                <c:pt idx="8">
                  <c:v>65.52571279747248</c:v>
                </c:pt>
                <c:pt idx="9">
                  <c:v>73.477840550317495</c:v>
                </c:pt>
                <c:pt idx="10">
                  <c:v>81.407968790534127</c:v>
                </c:pt>
                <c:pt idx="11">
                  <c:v>89.318547905534516</c:v>
                </c:pt>
                <c:pt idx="12">
                  <c:v>97.211557203899247</c:v>
                </c:pt>
                <c:pt idx="13">
                  <c:v>105.08862729802443</c:v>
                </c:pt>
                <c:pt idx="14">
                  <c:v>112.95112368620271</c:v>
                </c:pt>
                <c:pt idx="15">
                  <c:v>120.80020574188869</c:v>
                </c:pt>
                <c:pt idx="16">
                  <c:v>128.63686950992857</c:v>
                </c:pt>
                <c:pt idx="17">
                  <c:v>136.46197949248327</c:v>
                </c:pt>
                <c:pt idx="18">
                  <c:v>144.2762927401233</c:v>
                </c:pt>
                <c:pt idx="19">
                  <c:v>152.08047743586482</c:v>
                </c:pt>
                <c:pt idx="20">
                  <c:v>159.87512745516435</c:v>
                </c:pt>
                <c:pt idx="21">
                  <c:v>167.66077393116035</c:v>
                </c:pt>
                <c:pt idx="22">
                  <c:v>175.43789455459577</c:v>
                </c:pt>
                <c:pt idx="23">
                  <c:v>183.20692113504819</c:v>
                </c:pt>
                <c:pt idx="24">
                  <c:v>190.96824581005788</c:v>
                </c:pt>
                <c:pt idx="25">
                  <c:v>198.72222619024129</c:v>
                </c:pt>
                <c:pt idx="26">
                  <c:v>206.46918965801322</c:v>
                </c:pt>
                <c:pt idx="27">
                  <c:v>214.20943698636589</c:v>
                </c:pt>
                <c:pt idx="28">
                  <c:v>221.94324540646099</c:v>
                </c:pt>
                <c:pt idx="29">
                  <c:v>229.67087122468024</c:v>
                </c:pt>
                <c:pt idx="30">
                  <c:v>237.3925520685614</c:v>
                </c:pt>
                <c:pt idx="31">
                  <c:v>245.10850882486457</c:v>
                </c:pt>
                <c:pt idx="32">
                  <c:v>252.81894732054016</c:v>
                </c:pt>
                <c:pt idx="33">
                  <c:v>260.52405978767342</c:v>
                </c:pt>
                <c:pt idx="34">
                  <c:v>268.22402614587037</c:v>
                </c:pt>
                <c:pt idx="35">
                  <c:v>275.91901512953666</c:v>
                </c:pt>
                <c:pt idx="36">
                  <c:v>283.60918528270133</c:v>
                </c:pt>
                <c:pt idx="37">
                  <c:v>291.29468584019929</c:v>
                </c:pt>
                <c:pt idx="38">
                  <c:v>298.9756575109102</c:v>
                </c:pt>
                <c:pt idx="39">
                  <c:v>306.65223317623287</c:v>
                </c:pt>
                <c:pt idx="40">
                  <c:v>314.32453851490487</c:v>
                </c:pt>
                <c:pt idx="41">
                  <c:v>321.99269256358195</c:v>
                </c:pt>
                <c:pt idx="42">
                  <c:v>329.6568082211864</c:v>
                </c:pt>
                <c:pt idx="43">
                  <c:v>337.31699270386952</c:v>
                </c:pt>
                <c:pt idx="44">
                  <c:v>344.97334795645929</c:v>
                </c:pt>
                <c:pt idx="45">
                  <c:v>352.62597102544919</c:v>
                </c:pt>
                <c:pt idx="46">
                  <c:v>360.27495439789868</c:v>
                </c:pt>
                <c:pt idx="47">
                  <c:v>367.92038631003089</c:v>
                </c:pt>
                <c:pt idx="48">
                  <c:v>375.56235102882761</c:v>
                </c:pt>
                <c:pt idx="49">
                  <c:v>383.20092910949398</c:v>
                </c:pt>
                <c:pt idx="50">
                  <c:v>390.83619763131333</c:v>
                </c:pt>
                <c:pt idx="51">
                  <c:v>398.46823041410011</c:v>
                </c:pt>
                <c:pt idx="52">
                  <c:v>239.85910246404572</c:v>
                </c:pt>
                <c:pt idx="53">
                  <c:v>252.83074558705485</c:v>
                </c:pt>
                <c:pt idx="54">
                  <c:v>265.78731726655224</c:v>
                </c:pt>
                <c:pt idx="55">
                  <c:v>278.72965595209877</c:v>
                </c:pt>
                <c:pt idx="56">
                  <c:v>291.65851583527427</c:v>
                </c:pt>
                <c:pt idx="57">
                  <c:v>304.57457875644008</c:v>
                </c:pt>
                <c:pt idx="58">
                  <c:v>317.47846398478754</c:v>
                </c:pt>
                <c:pt idx="59">
                  <c:v>330.37073632430099</c:v>
                </c:pt>
                <c:pt idx="60">
                  <c:v>343.25191288767377</c:v>
                </c:pt>
                <c:pt idx="61">
                  <c:v>356.12246879986401</c:v>
                </c:pt>
                <c:pt idx="62">
                  <c:v>267.65291509049001</c:v>
                </c:pt>
                <c:pt idx="63">
                  <c:v>279.57365298312453</c:v>
                </c:pt>
                <c:pt idx="64">
                  <c:v>291.48299371257053</c:v>
                </c:pt>
                <c:pt idx="65">
                  <c:v>303.3814687484749</c:v>
                </c:pt>
                <c:pt idx="66">
                  <c:v>315.26956445016066</c:v>
                </c:pt>
                <c:pt idx="67">
                  <c:v>327.14772748854381</c:v>
                </c:pt>
                <c:pt idx="68">
                  <c:v>339.01636943905493</c:v>
                </c:pt>
                <c:pt idx="69">
                  <c:v>350.87587069749287</c:v>
                </c:pt>
                <c:pt idx="70">
                  <c:v>362.72658383860352</c:v>
                </c:pt>
                <c:pt idx="71">
                  <c:v>374.56883651267782</c:v>
                </c:pt>
                <c:pt idx="72">
                  <c:v>386.40293395661462</c:v>
                </c:pt>
                <c:pt idx="73">
                  <c:v>398.2291611812359</c:v>
                </c:pt>
                <c:pt idx="74">
                  <c:v>307.22146276591042</c:v>
                </c:pt>
                <c:pt idx="75">
                  <c:v>318.22291876813949</c:v>
                </c:pt>
                <c:pt idx="76">
                  <c:v>329.21595499534607</c:v>
                </c:pt>
                <c:pt idx="77">
                  <c:v>340.20089234590097</c:v>
                </c:pt>
                <c:pt idx="78">
                  <c:v>351.17802929444014</c:v>
                </c:pt>
                <c:pt idx="79">
                  <c:v>362.14764412577466</c:v>
                </c:pt>
                <c:pt idx="80">
                  <c:v>373.1099968839053</c:v>
                </c:pt>
                <c:pt idx="81">
                  <c:v>384.06533107994869</c:v>
                </c:pt>
                <c:pt idx="82">
                  <c:v>395.01387519496728</c:v>
                </c:pt>
                <c:pt idx="83">
                  <c:v>405.95584400744838</c:v>
                </c:pt>
                <c:pt idx="84">
                  <c:v>416.89143977016801</c:v>
                </c:pt>
                <c:pt idx="85">
                  <c:v>427.82085325710864</c:v>
                </c:pt>
                <c:pt idx="86">
                  <c:v>343.45578156792436</c:v>
                </c:pt>
                <c:pt idx="87">
                  <c:v>353.50604121858987</c:v>
                </c:pt>
                <c:pt idx="88">
                  <c:v>363.55004087719925</c:v>
                </c:pt>
                <c:pt idx="89">
                  <c:v>373.58797795476374</c:v>
                </c:pt>
                <c:pt idx="90">
                  <c:v>383.62003838338245</c:v>
                </c:pt>
                <c:pt idx="91">
                  <c:v>393.64639757291462</c:v>
                </c:pt>
                <c:pt idx="92">
                  <c:v>403.66722126506875</c:v>
                </c:pt>
                <c:pt idx="93">
                  <c:v>413.68266629823557</c:v>
                </c:pt>
                <c:pt idx="94">
                  <c:v>423.69288129437263</c:v>
                </c:pt>
                <c:pt idx="95">
                  <c:v>433.69800727757553</c:v>
                </c:pt>
                <c:pt idx="96">
                  <c:v>443.69817823258433</c:v>
                </c:pt>
                <c:pt idx="97">
                  <c:v>453.69352161030451</c:v>
                </c:pt>
                <c:pt idx="98">
                  <c:v>373.51565819693059</c:v>
                </c:pt>
                <c:pt idx="99">
                  <c:v>382.53832906741195</c:v>
                </c:pt>
                <c:pt idx="100">
                  <c:v>391.5563737739929</c:v>
                </c:pt>
                <c:pt idx="101">
                  <c:v>400.56991394266532</c:v>
                </c:pt>
                <c:pt idx="102">
                  <c:v>409.57906527648794</c:v>
                </c:pt>
                <c:pt idx="103">
                  <c:v>418.58393797078651</c:v>
                </c:pt>
                <c:pt idx="104">
                  <c:v>427.58463709075022</c:v>
                </c:pt>
                <c:pt idx="105">
                  <c:v>436.58126291557113</c:v>
                </c:pt>
                <c:pt idx="106">
                  <c:v>445.57391125272744</c:v>
                </c:pt>
                <c:pt idx="107">
                  <c:v>454.56267372556914</c:v>
                </c:pt>
                <c:pt idx="108">
                  <c:v>463.54763803696488</c:v>
                </c:pt>
                <c:pt idx="109">
                  <c:v>472.52888821143966</c:v>
                </c:pt>
                <c:pt idx="110">
                  <c:v>389.99513338800875</c:v>
                </c:pt>
                <c:pt idx="111">
                  <c:v>398.06147882289639</c:v>
                </c:pt>
                <c:pt idx="112">
                  <c:v>406.12428489378766</c:v>
                </c:pt>
                <c:pt idx="113">
                  <c:v>414.18363182026269</c:v>
                </c:pt>
                <c:pt idx="114">
                  <c:v>422.23959644349662</c:v>
                </c:pt>
                <c:pt idx="115">
                  <c:v>430.29225243168997</c:v>
                </c:pt>
                <c:pt idx="116">
                  <c:v>438.34167046931583</c:v>
                </c:pt>
                <c:pt idx="117">
                  <c:v>446.38791843173607</c:v>
                </c:pt>
                <c:pt idx="118">
                  <c:v>454.43106154656789</c:v>
                </c:pt>
                <c:pt idx="119">
                  <c:v>462.47116254302722</c:v>
                </c:pt>
                <c:pt idx="120">
                  <c:v>470.50828179034215</c:v>
                </c:pt>
                <c:pt idx="121">
                  <c:v>478.54247742621516</c:v>
                </c:pt>
                <c:pt idx="122">
                  <c:v>251.00231881385491</c:v>
                </c:pt>
                <c:pt idx="123">
                  <c:v>256.67781822926639</c:v>
                </c:pt>
                <c:pt idx="124">
                  <c:v>262.35047928007265</c:v>
                </c:pt>
                <c:pt idx="125">
                  <c:v>268.0203720944408</c:v>
                </c:pt>
                <c:pt idx="126">
                  <c:v>273.68756358672954</c:v>
                </c:pt>
                <c:pt idx="127">
                  <c:v>279.35211766977835</c:v>
                </c:pt>
                <c:pt idx="128">
                  <c:v>285.0140954490592</c:v>
                </c:pt>
                <c:pt idx="129">
                  <c:v>290.6735554005748</c:v>
                </c:pt>
                <c:pt idx="130">
                  <c:v>296.33055353416273</c:v>
                </c:pt>
                <c:pt idx="131">
                  <c:v>301.9851435436637</c:v>
                </c:pt>
                <c:pt idx="132">
                  <c:v>7.2667013513884219E-12</c:v>
                </c:pt>
                <c:pt idx="133">
                  <c:v>7.2667013513884219E-12</c:v>
                </c:pt>
                <c:pt idx="134">
                  <c:v>7.2667013513884219E-12</c:v>
                </c:pt>
                <c:pt idx="135">
                  <c:v>7.2667013513884219E-12</c:v>
                </c:pt>
                <c:pt idx="136">
                  <c:v>7.2667013513884219E-12</c:v>
                </c:pt>
                <c:pt idx="137">
                  <c:v>7.2667013513884219E-12</c:v>
                </c:pt>
                <c:pt idx="138">
                  <c:v>7.2667013513884219E-12</c:v>
                </c:pt>
                <c:pt idx="139">
                  <c:v>7.2667013513884219E-12</c:v>
                </c:pt>
                <c:pt idx="140">
                  <c:v>7.2667013513884219E-12</c:v>
                </c:pt>
                <c:pt idx="141">
                  <c:v>7.2667013513884219E-12</c:v>
                </c:pt>
                <c:pt idx="142">
                  <c:v>7.2667013513884219E-12</c:v>
                </c:pt>
                <c:pt idx="143">
                  <c:v>7.2667013513884219E-12</c:v>
                </c:pt>
                <c:pt idx="144">
                  <c:v>7.2667013513884219E-12</c:v>
                </c:pt>
                <c:pt idx="145">
                  <c:v>7.2667013513884219E-12</c:v>
                </c:pt>
                <c:pt idx="146">
                  <c:v>7.2667013513884219E-12</c:v>
                </c:pt>
                <c:pt idx="147">
                  <c:v>7.2667013513884219E-12</c:v>
                </c:pt>
                <c:pt idx="148">
                  <c:v>7.2667013513884219E-12</c:v>
                </c:pt>
                <c:pt idx="149">
                  <c:v>7.2667013513884219E-12</c:v>
                </c:pt>
                <c:pt idx="150">
                  <c:v>7.2667013513884219E-12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10.527136360140942</c:v>
                </c:pt>
                <c:pt idx="2">
                  <c:v>20.597798407133652</c:v>
                </c:pt>
                <c:pt idx="3">
                  <c:v>30.521042164556622</c:v>
                </c:pt>
                <c:pt idx="4">
                  <c:v>40.353413858243577</c:v>
                </c:pt>
                <c:pt idx="5">
                  <c:v>50.120542091450226</c:v>
                </c:pt>
                <c:pt idx="6">
                  <c:v>59.837046489497673</c:v>
                </c:pt>
                <c:pt idx="7">
                  <c:v>69.51235175955442</c:v>
                </c:pt>
                <c:pt idx="8">
                  <c:v>79.1530225822505</c:v>
                </c:pt>
                <c:pt idx="9">
                  <c:v>88.763884081358512</c:v>
                </c:pt>
                <c:pt idx="10">
                  <c:v>98.348626227253632</c:v>
                </c:pt>
                <c:pt idx="11">
                  <c:v>107.91015829049145</c:v>
                </c:pt>
                <c:pt idx="12">
                  <c:v>117.45083024403765</c:v>
                </c:pt>
                <c:pt idx="13">
                  <c:v>126.97257806446794</c:v>
                </c:pt>
                <c:pt idx="14">
                  <c:v>136.47702296643465</c:v>
                </c:pt>
                <c:pt idx="15">
                  <c:v>145.96554143883</c:v>
                </c:pt>
                <c:pt idx="16">
                  <c:v>155.43931605544972</c:v>
                </c:pt>
                <c:pt idx="17">
                  <c:v>164.89937321345434</c:v>
                </c:pt>
                <c:pt idx="18">
                  <c:v>174.34661173599434</c:v>
                </c:pt>
                <c:pt idx="19">
                  <c:v>183.78182493647196</c:v>
                </c:pt>
                <c:pt idx="20">
                  <c:v>193.20571790518065</c:v>
                </c:pt>
                <c:pt idx="21">
                  <c:v>202.6189212403649</c:v>
                </c:pt>
                <c:pt idx="22">
                  <c:v>212.02200208973636</c:v>
                </c:pt>
                <c:pt idx="23">
                  <c:v>221.4154731276922</c:v>
                </c:pt>
                <c:pt idx="24">
                  <c:v>230.79979992722485</c:v>
                </c:pt>
                <c:pt idx="25">
                  <c:v>240.17540706855834</c:v>
                </c:pt>
                <c:pt idx="26">
                  <c:v>249.54268324289106</c:v>
                </c:pt>
                <c:pt idx="27">
                  <c:v>258.90198554886211</c:v>
                </c:pt>
                <c:pt idx="28">
                  <c:v>268.25364313461051</c:v>
                </c:pt>
                <c:pt idx="29">
                  <c:v>277.59796030491867</c:v>
                </c:pt>
                <c:pt idx="30">
                  <c:v>286.93521918774564</c:v>
                </c:pt>
                <c:pt idx="31">
                  <c:v>296.2656820352334</c:v>
                </c:pt>
                <c:pt idx="32">
                  <c:v>305.58959321946895</c:v>
                </c:pt>
                <c:pt idx="33">
                  <c:v>314.90718097176881</c:v>
                </c:pt>
                <c:pt idx="34">
                  <c:v>324.21865890521764</c:v>
                </c:pt>
                <c:pt idx="35">
                  <c:v>333.52422735305009</c:v>
                </c:pt>
                <c:pt idx="36">
                  <c:v>342.82407454977715</c:v>
                </c:pt>
                <c:pt idx="37">
                  <c:v>352.11837767738598</c:v>
                </c:pt>
                <c:pt idx="38">
                  <c:v>361.40730379525598</c:v>
                </c:pt>
                <c:pt idx="39">
                  <c:v>370.69101066943631</c:v>
                </c:pt>
                <c:pt idx="40">
                  <c:v>379.9696475144753</c:v>
                </c:pt>
                <c:pt idx="41">
                  <c:v>389.24335565897906</c:v>
                </c:pt>
                <c:pt idx="42">
                  <c:v>398.51226914440917</c:v>
                </c:pt>
                <c:pt idx="43">
                  <c:v>407.77651526524602</c:v>
                </c:pt>
                <c:pt idx="44">
                  <c:v>417.03621505748771</c:v>
                </c:pt>
                <c:pt idx="45">
                  <c:v>426.29148374148866</c:v>
                </c:pt>
                <c:pt idx="46">
                  <c:v>435.54243112432567</c:v>
                </c:pt>
                <c:pt idx="47">
                  <c:v>444.78916196618667</c:v>
                </c:pt>
                <c:pt idx="48">
                  <c:v>454.03177631470021</c:v>
                </c:pt>
                <c:pt idx="49">
                  <c:v>463.27036981061457</c:v>
                </c:pt>
                <c:pt idx="50">
                  <c:v>472.50503396782204</c:v>
                </c:pt>
                <c:pt idx="51">
                  <c:v>481.73585643034625</c:v>
                </c:pt>
                <c:pt idx="52">
                  <c:v>490.96292120860494</c:v>
                </c:pt>
                <c:pt idx="53">
                  <c:v>500.18630889698488</c:v>
                </c:pt>
                <c:pt idx="54">
                  <c:v>509.40609687453161</c:v>
                </c:pt>
                <c:pt idx="55">
                  <c:v>518.62235949035266</c:v>
                </c:pt>
                <c:pt idx="56">
                  <c:v>527.83516823515617</c:v>
                </c:pt>
                <c:pt idx="57">
                  <c:v>537.04459190018781</c:v>
                </c:pt>
                <c:pt idx="58">
                  <c:v>296.7324128269002</c:v>
                </c:pt>
                <c:pt idx="59">
                  <c:v>315.54953825205291</c:v>
                </c:pt>
                <c:pt idx="60">
                  <c:v>334.34180393775415</c:v>
                </c:pt>
                <c:pt idx="61">
                  <c:v>353.11080326116945</c:v>
                </c:pt>
                <c:pt idx="62">
                  <c:v>371.85794642061836</c:v>
                </c:pt>
                <c:pt idx="63">
                  <c:v>390.58448985918159</c:v>
                </c:pt>
                <c:pt idx="64">
                  <c:v>409.29155974925249</c:v>
                </c:pt>
                <c:pt idx="65">
                  <c:v>427.98017095886877</c:v>
                </c:pt>
                <c:pt idx="66">
                  <c:v>446.65124253234222</c:v>
                </c:pt>
                <c:pt idx="67">
                  <c:v>333.58201450681219</c:v>
                </c:pt>
                <c:pt idx="68">
                  <c:v>351.95721517129419</c:v>
                </c:pt>
                <c:pt idx="69">
                  <c:v>370.31139166777308</c:v>
                </c:pt>
                <c:pt idx="70">
                  <c:v>388.64573226397806</c:v>
                </c:pt>
                <c:pt idx="71">
                  <c:v>406.96130400107791</c:v>
                </c:pt>
                <c:pt idx="72">
                  <c:v>425.25907007308507</c:v>
                </c:pt>
                <c:pt idx="73">
                  <c:v>443.53990405898054</c:v>
                </c:pt>
                <c:pt idx="74">
                  <c:v>461.80460168630344</c:v>
                </c:pt>
                <c:pt idx="75">
                  <c:v>480.05389063699653</c:v>
                </c:pt>
                <c:pt idx="76">
                  <c:v>372.46758776644748</c:v>
                </c:pt>
                <c:pt idx="77">
                  <c:v>389.91660643105638</c:v>
                </c:pt>
                <c:pt idx="78">
                  <c:v>407.3486858593003</c:v>
                </c:pt>
                <c:pt idx="79">
                  <c:v>424.76465270134207</c:v>
                </c:pt>
                <c:pt idx="80">
                  <c:v>442.16526031371831</c:v>
                </c:pt>
                <c:pt idx="81">
                  <c:v>459.55119794589967</c:v>
                </c:pt>
                <c:pt idx="82">
                  <c:v>476.92309846440139</c:v>
                </c:pt>
                <c:pt idx="83">
                  <c:v>494.28154489310282</c:v>
                </c:pt>
                <c:pt idx="84">
                  <c:v>511.62707598722483</c:v>
                </c:pt>
                <c:pt idx="85">
                  <c:v>418.11312337659319</c:v>
                </c:pt>
                <c:pt idx="86">
                  <c:v>434.66282048832926</c:v>
                </c:pt>
                <c:pt idx="87">
                  <c:v>451.19899504694234</c:v>
                </c:pt>
                <c:pt idx="88">
                  <c:v>467.72221222895604</c:v>
                </c:pt>
                <c:pt idx="89">
                  <c:v>484.23299403768306</c:v>
                </c:pt>
                <c:pt idx="90">
                  <c:v>500.73182399118406</c:v>
                </c:pt>
                <c:pt idx="91">
                  <c:v>517.2191511603645</c:v>
                </c:pt>
                <c:pt idx="92">
                  <c:v>533.69539366555</c:v>
                </c:pt>
                <c:pt idx="93">
                  <c:v>550.16094171897259</c:v>
                </c:pt>
                <c:pt idx="94">
                  <c:v>452.0762520319891</c:v>
                </c:pt>
                <c:pt idx="95">
                  <c:v>467.40271030596045</c:v>
                </c:pt>
                <c:pt idx="96">
                  <c:v>482.71846107528518</c:v>
                </c:pt>
                <c:pt idx="97">
                  <c:v>498.02389179781215</c:v>
                </c:pt>
                <c:pt idx="98">
                  <c:v>513.31936418286273</c:v>
                </c:pt>
                <c:pt idx="99">
                  <c:v>528.60521663450243</c:v>
                </c:pt>
                <c:pt idx="100">
                  <c:v>543.88176639758524</c:v>
                </c:pt>
                <c:pt idx="101">
                  <c:v>559.14931145022967</c:v>
                </c:pt>
                <c:pt idx="102">
                  <c:v>574.40813217892662</c:v>
                </c:pt>
                <c:pt idx="103">
                  <c:v>589.65849286647892</c:v>
                </c:pt>
                <c:pt idx="104">
                  <c:v>604.90064301807365</c:v>
                </c:pt>
                <c:pt idx="105">
                  <c:v>620.13481854682209</c:v>
                </c:pt>
                <c:pt idx="106">
                  <c:v>493.58117676786196</c:v>
                </c:pt>
                <c:pt idx="107">
                  <c:v>507.42763100658209</c:v>
                </c:pt>
                <c:pt idx="108">
                  <c:v>521.26610070620177</c:v>
                </c:pt>
                <c:pt idx="109">
                  <c:v>535.09682763987348</c:v>
                </c:pt>
                <c:pt idx="110">
                  <c:v>548.92004006720538</c:v>
                </c:pt>
                <c:pt idx="111">
                  <c:v>562.73595381796315</c:v>
                </c:pt>
                <c:pt idx="112">
                  <c:v>576.54477326385029</c:v>
                </c:pt>
                <c:pt idx="113">
                  <c:v>590.34669219237878</c:v>
                </c:pt>
                <c:pt idx="114">
                  <c:v>604.14189459480303</c:v>
                </c:pt>
                <c:pt idx="115">
                  <c:v>617.93055537837529</c:v>
                </c:pt>
                <c:pt idx="116">
                  <c:v>631.71284101175229</c:v>
                </c:pt>
                <c:pt idx="117">
                  <c:v>645.48891011117541</c:v>
                </c:pt>
                <c:pt idx="118">
                  <c:v>534.6703562728502</c:v>
                </c:pt>
                <c:pt idx="119">
                  <c:v>547.13793582691665</c:v>
                </c:pt>
                <c:pt idx="120">
                  <c:v>559.5995566155857</c:v>
                </c:pt>
                <c:pt idx="121">
                  <c:v>572.05536999970309</c:v>
                </c:pt>
                <c:pt idx="122">
                  <c:v>584.50552021303292</c:v>
                </c:pt>
                <c:pt idx="123">
                  <c:v>596.95014484569595</c:v>
                </c:pt>
                <c:pt idx="124">
                  <c:v>609.38937528521308</c:v>
                </c:pt>
                <c:pt idx="125">
                  <c:v>621.82333711967931</c:v>
                </c:pt>
                <c:pt idx="126">
                  <c:v>634.25215050702525</c:v>
                </c:pt>
                <c:pt idx="127">
                  <c:v>646.67593051384472</c:v>
                </c:pt>
                <c:pt idx="128">
                  <c:v>659.09478742683973</c:v>
                </c:pt>
                <c:pt idx="129">
                  <c:v>671.50882703958689</c:v>
                </c:pt>
                <c:pt idx="130">
                  <c:v>448.88091810899726</c:v>
                </c:pt>
                <c:pt idx="131">
                  <c:v>459.77816722706501</c:v>
                </c:pt>
                <c:pt idx="132">
                  <c:v>470.66990400978597</c:v>
                </c:pt>
                <c:pt idx="133">
                  <c:v>481.55627401045223</c:v>
                </c:pt>
                <c:pt idx="134">
                  <c:v>492.43741566415133</c:v>
                </c:pt>
                <c:pt idx="135">
                  <c:v>329.62356448785408</c:v>
                </c:pt>
                <c:pt idx="136">
                  <c:v>338.31327621581067</c:v>
                </c:pt>
                <c:pt idx="137">
                  <c:v>346.99807638362284</c:v>
                </c:pt>
                <c:pt idx="138">
                  <c:v>355.67810534112181</c:v>
                </c:pt>
                <c:pt idx="139">
                  <c:v>364.35349602421002</c:v>
                </c:pt>
                <c:pt idx="140">
                  <c:v>224.1686242883994</c:v>
                </c:pt>
                <c:pt idx="141">
                  <c:v>230.70542647100808</c:v>
                </c:pt>
                <c:pt idx="142">
                  <c:v>237.23799545912348</c:v>
                </c:pt>
                <c:pt idx="143">
                  <c:v>243.76646443655704</c:v>
                </c:pt>
                <c:pt idx="144">
                  <c:v>5.0621685358189711E-12</c:v>
                </c:pt>
                <c:pt idx="145">
                  <c:v>5.0621685358189711E-12</c:v>
                </c:pt>
                <c:pt idx="146">
                  <c:v>5.0621685358189711E-12</c:v>
                </c:pt>
                <c:pt idx="147">
                  <c:v>5.0621685358189711E-12</c:v>
                </c:pt>
                <c:pt idx="148">
                  <c:v>5.0621685358189711E-12</c:v>
                </c:pt>
                <c:pt idx="149">
                  <c:v>5.0621685358189711E-12</c:v>
                </c:pt>
                <c:pt idx="150">
                  <c:v>5.0621685358189711E-12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12" sqref="C1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5.89</v>
      </c>
      <c r="D5" s="270" t="s">
        <v>229</v>
      </c>
      <c r="E5" s="271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</v>
      </c>
      <c r="C9" s="32">
        <v>0.19350000000000001</v>
      </c>
      <c r="D9" s="33">
        <f t="shared" ref="D9:D18" si="0">C9*$C$5</f>
        <v>1.139715</v>
      </c>
      <c r="E9" s="34">
        <v>78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9.6799999999999997E-2</v>
      </c>
      <c r="D10" s="33">
        <f t="shared" si="0"/>
        <v>0.57015199999999999</v>
      </c>
      <c r="E10" s="34">
        <v>56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321</v>
      </c>
      <c r="C11" s="32">
        <v>0.13239999999999999</v>
      </c>
      <c r="D11" s="33">
        <f t="shared" si="0"/>
        <v>0.77983599999999986</v>
      </c>
      <c r="E11" s="34">
        <v>26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24</v>
      </c>
      <c r="C12" s="32">
        <v>0.41760000000000003</v>
      </c>
      <c r="D12" s="33">
        <f t="shared" si="0"/>
        <v>2.4596640000000001</v>
      </c>
      <c r="E12" s="34">
        <v>26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18</v>
      </c>
      <c r="C13" s="32">
        <v>2.6499999999999999E-2</v>
      </c>
      <c r="D13" s="33">
        <f t="shared" si="0"/>
        <v>0.15608499999999997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14</v>
      </c>
      <c r="C14" s="32">
        <v>2.6499999999999999E-2</v>
      </c>
      <c r="D14" s="33">
        <f t="shared" si="0"/>
        <v>0.15608499999999997</v>
      </c>
      <c r="E14" s="34">
        <v>191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156</v>
      </c>
      <c r="C15" s="32">
        <v>2.6499999999999999E-2</v>
      </c>
      <c r="D15" s="33">
        <f t="shared" si="0"/>
        <v>0.15608499999999997</v>
      </c>
      <c r="E15" s="34">
        <v>54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164</v>
      </c>
      <c r="C16" s="32">
        <v>2.6499999999999999E-2</v>
      </c>
      <c r="D16" s="33">
        <f t="shared" si="0"/>
        <v>0.15608499999999997</v>
      </c>
      <c r="E16" s="34">
        <v>131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25</v>
      </c>
      <c r="C17" s="32">
        <v>2.6499999999999999E-2</v>
      </c>
      <c r="D17" s="33">
        <f t="shared" si="0"/>
        <v>0.15608499999999997</v>
      </c>
      <c r="E17" s="34">
        <v>143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36</v>
      </c>
      <c r="C18" s="32">
        <v>2.6499999999999999E-2</v>
      </c>
      <c r="D18" s="33">
        <f t="shared" si="0"/>
        <v>0.15608499999999997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0.99929999999999986</v>
      </c>
      <c r="D19" s="38">
        <f>SUM(D9:D18)</f>
        <v>5.8858770000000007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29</v>
      </c>
      <c r="B36" s="60">
        <v>146.30000000000001</v>
      </c>
      <c r="C36" s="60">
        <v>1</v>
      </c>
      <c r="D36" s="60">
        <v>26.5</v>
      </c>
      <c r="E36" s="51">
        <v>0</v>
      </c>
      <c r="F36" s="51">
        <v>0.5</v>
      </c>
      <c r="G36" s="51">
        <v>0</v>
      </c>
      <c r="H36" s="51">
        <v>0.5</v>
      </c>
      <c r="I36" s="49">
        <f>IFERROR(B36/A36,"")</f>
        <v>5.044827586206897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34</v>
      </c>
      <c r="B37" s="60">
        <v>177.6</v>
      </c>
      <c r="C37" s="60">
        <v>2</v>
      </c>
      <c r="D37" s="60">
        <v>23.1</v>
      </c>
      <c r="E37" s="51">
        <v>0.6</v>
      </c>
      <c r="F37" s="51">
        <v>0.2</v>
      </c>
      <c r="G37" s="51">
        <v>0</v>
      </c>
      <c r="H37" s="51">
        <v>0.2</v>
      </c>
      <c r="I37" s="53">
        <f t="shared" ref="I37:I55" si="1">IF(A37&lt;&gt;0,(B37-(B36-D36))/(A37-A36),"")</f>
        <v>11.559999999999997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42</v>
      </c>
      <c r="B38" s="60">
        <v>236.2</v>
      </c>
      <c r="C38" s="60">
        <v>3</v>
      </c>
      <c r="D38" s="60">
        <v>47.2</v>
      </c>
      <c r="E38" s="51">
        <v>0.6</v>
      </c>
      <c r="F38" s="51">
        <v>0.3</v>
      </c>
      <c r="G38" s="51">
        <v>0</v>
      </c>
      <c r="H38" s="51">
        <v>0.1</v>
      </c>
      <c r="I38" s="53">
        <f t="shared" si="1"/>
        <v>10.212499999999999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297.7</v>
      </c>
      <c r="C39" s="60">
        <v>4</v>
      </c>
      <c r="D39" s="60">
        <v>79.7</v>
      </c>
      <c r="E39" s="51">
        <v>0.6</v>
      </c>
      <c r="F39" s="51">
        <v>0.3</v>
      </c>
      <c r="G39" s="51">
        <v>0</v>
      </c>
      <c r="H39" s="51">
        <v>0.1</v>
      </c>
      <c r="I39" s="49">
        <f t="shared" si="1"/>
        <v>13.587499999999999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62</v>
      </c>
      <c r="B40" s="60">
        <v>365.9</v>
      </c>
      <c r="C40" s="60">
        <v>5</v>
      </c>
      <c r="D40" s="60">
        <v>15.5</v>
      </c>
      <c r="E40" s="51">
        <v>0.6</v>
      </c>
      <c r="F40" s="51">
        <v>0.3</v>
      </c>
      <c r="G40" s="51">
        <v>0</v>
      </c>
      <c r="H40" s="51">
        <v>0.1</v>
      </c>
      <c r="I40" s="49">
        <f t="shared" si="1"/>
        <v>12.324999999999998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78</v>
      </c>
      <c r="B41" s="60">
        <v>534.9</v>
      </c>
      <c r="C41" s="60">
        <v>6</v>
      </c>
      <c r="D41" s="60">
        <v>534.9</v>
      </c>
      <c r="E41" s="51">
        <v>0.6</v>
      </c>
      <c r="F41" s="51">
        <v>0.3</v>
      </c>
      <c r="G41" s="51">
        <v>0</v>
      </c>
      <c r="H41" s="51">
        <v>0.1</v>
      </c>
      <c r="I41" s="53">
        <f t="shared" si="1"/>
        <v>11.53125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15</v>
      </c>
      <c r="B62" s="60">
        <v>142.76</v>
      </c>
      <c r="C62" s="60">
        <v>1</v>
      </c>
      <c r="D62" s="60">
        <v>50.01</v>
      </c>
      <c r="E62" s="51">
        <v>0</v>
      </c>
      <c r="F62" s="51">
        <v>1</v>
      </c>
      <c r="G62" s="51">
        <v>0</v>
      </c>
      <c r="H62" s="51">
        <v>0</v>
      </c>
      <c r="I62" s="53">
        <f>IFERROR(B62/A62,"")</f>
        <v>9.5173333333333332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207.09</v>
      </c>
      <c r="C63" s="60">
        <v>2</v>
      </c>
      <c r="D63" s="60">
        <v>54.89</v>
      </c>
      <c r="E63" s="51">
        <v>0.1</v>
      </c>
      <c r="F63" s="51">
        <v>0.8</v>
      </c>
      <c r="G63" s="51">
        <v>0</v>
      </c>
      <c r="H63" s="51">
        <v>0.1</v>
      </c>
      <c r="I63" s="49">
        <f>IF(A63&lt;&gt;0,(B63-(B62-D62))/(A63-A62),"")</f>
        <v>22.868000000000002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26</v>
      </c>
      <c r="B64" s="60">
        <v>297.39999999999998</v>
      </c>
      <c r="C64" s="60">
        <v>3</v>
      </c>
      <c r="D64" s="60">
        <v>55.94</v>
      </c>
      <c r="E64" s="51">
        <v>0.1</v>
      </c>
      <c r="F64" s="51">
        <v>0.8</v>
      </c>
      <c r="G64" s="51">
        <v>0</v>
      </c>
      <c r="H64" s="51">
        <v>0.1</v>
      </c>
      <c r="I64" s="49">
        <f>IF(A64&lt;&gt;0,(B64-(B63-D63))/(A64-A63),"")</f>
        <v>24.2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32</v>
      </c>
      <c r="B65" s="60">
        <v>391.32</v>
      </c>
      <c r="C65" s="60">
        <v>4</v>
      </c>
      <c r="D65" s="60">
        <v>79.400000000000006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24.97666666666667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498.39</v>
      </c>
      <c r="C66" s="60">
        <v>5</v>
      </c>
      <c r="D66" s="60">
        <v>116.49</v>
      </c>
      <c r="E66" s="51">
        <v>0.3</v>
      </c>
      <c r="F66" s="51">
        <v>0.5</v>
      </c>
      <c r="G66" s="51">
        <v>0</v>
      </c>
      <c r="H66" s="51">
        <v>0.2</v>
      </c>
      <c r="I66" s="49">
        <f t="shared" ref="I66:I81" si="2">IF(A66&lt;&gt;0,(B66-(B65-D65))/(A66-A65),"")</f>
        <v>23.308750000000003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48</v>
      </c>
      <c r="B67" s="60">
        <v>538.1</v>
      </c>
      <c r="C67" s="60">
        <v>6</v>
      </c>
      <c r="D67" s="60">
        <v>106.15</v>
      </c>
      <c r="E67" s="51">
        <v>0.3</v>
      </c>
      <c r="F67" s="51">
        <v>0.5</v>
      </c>
      <c r="G67" s="51">
        <v>0</v>
      </c>
      <c r="H67" s="51">
        <v>0.2</v>
      </c>
      <c r="I67" s="49">
        <f t="shared" si="2"/>
        <v>19.525000000000006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56</v>
      </c>
      <c r="B68" s="60">
        <v>562.74</v>
      </c>
      <c r="C68" s="60">
        <v>7</v>
      </c>
      <c r="D68" s="60">
        <v>562.74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16.348749999999995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Tulipier de Virginie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125</v>
      </c>
      <c r="C88" s="60">
        <v>1</v>
      </c>
      <c r="D88" s="60">
        <v>0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12.5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257">
        <v>232</v>
      </c>
      <c r="C89" s="60">
        <v>2</v>
      </c>
      <c r="D89" s="60">
        <v>0</v>
      </c>
      <c r="E89" s="51">
        <v>0</v>
      </c>
      <c r="F89" s="51">
        <v>0</v>
      </c>
      <c r="G89" s="51">
        <v>0</v>
      </c>
      <c r="H89" s="87">
        <v>1</v>
      </c>
      <c r="I89" s="53">
        <f>IF(A89&lt;&gt;0,(B89-(B88-D88))/(A89-A88),"")</f>
        <v>21.4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343</v>
      </c>
      <c r="C90" s="60">
        <v>3</v>
      </c>
      <c r="D90" s="60">
        <v>0</v>
      </c>
      <c r="E90" s="87">
        <v>0</v>
      </c>
      <c r="F90" s="87">
        <v>0</v>
      </c>
      <c r="G90" s="87">
        <v>0</v>
      </c>
      <c r="H90" s="87">
        <v>1</v>
      </c>
      <c r="I90" s="53">
        <f t="shared" ref="I90:I107" si="3">IF(A90&lt;&gt;0,(B90-(B89-D89))/(A90-A89),"")</f>
        <v>22.2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22</v>
      </c>
      <c r="B91" s="60">
        <v>382</v>
      </c>
      <c r="C91" s="60">
        <v>4</v>
      </c>
      <c r="D91" s="60">
        <v>0</v>
      </c>
      <c r="E91" s="87">
        <v>0</v>
      </c>
      <c r="F91" s="87">
        <v>0</v>
      </c>
      <c r="G91" s="87">
        <v>0</v>
      </c>
      <c r="H91" s="87">
        <v>1</v>
      </c>
      <c r="I91" s="53">
        <f>IF(A91&lt;&gt;0,(B91-(B90-D90))/(A91-A90),"")</f>
        <v>19.5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24</v>
      </c>
      <c r="B92" s="60">
        <v>421</v>
      </c>
      <c r="C92" s="60">
        <v>5</v>
      </c>
      <c r="D92" s="60">
        <v>0</v>
      </c>
      <c r="E92" s="87">
        <v>0</v>
      </c>
      <c r="F92" s="87">
        <v>0</v>
      </c>
      <c r="G92" s="87">
        <v>0</v>
      </c>
      <c r="H92" s="87">
        <v>1</v>
      </c>
      <c r="I92" s="53">
        <f>IF(A92&lt;&gt;0,(B92-(B91-D91))/(A92-A91),"")</f>
        <v>19.5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26</v>
      </c>
      <c r="B93" s="60">
        <v>449</v>
      </c>
      <c r="C93" s="60">
        <v>6</v>
      </c>
      <c r="D93" s="60">
        <v>449</v>
      </c>
      <c r="E93" s="87">
        <v>0</v>
      </c>
      <c r="F93" s="87">
        <v>0</v>
      </c>
      <c r="G93" s="87">
        <v>0</v>
      </c>
      <c r="H93" s="87">
        <v>1</v>
      </c>
      <c r="I93" s="53">
        <f t="shared" si="3"/>
        <v>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Eucalyptus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125</v>
      </c>
      <c r="C114" s="50">
        <v>1</v>
      </c>
      <c r="D114" s="60">
        <v>0</v>
      </c>
      <c r="E114" s="51">
        <v>0.75</v>
      </c>
      <c r="F114" s="51">
        <v>0.2</v>
      </c>
      <c r="G114" s="51">
        <v>0</v>
      </c>
      <c r="H114" s="51">
        <v>0.05</v>
      </c>
      <c r="I114" s="53">
        <f>IFERROR(B114/A114,"")</f>
        <v>12.5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232</v>
      </c>
      <c r="C115" s="50">
        <v>2</v>
      </c>
      <c r="D115" s="60">
        <v>0</v>
      </c>
      <c r="E115" s="51">
        <v>0.75</v>
      </c>
      <c r="F115" s="51">
        <v>0.2</v>
      </c>
      <c r="G115" s="51">
        <v>0</v>
      </c>
      <c r="H115" s="51">
        <v>0.05</v>
      </c>
      <c r="I115" s="53">
        <f t="shared" ref="I115:I133" si="4">IF(A115&lt;&gt;0,(B115-(B114-D114))/(A115-A114),"")</f>
        <v>21.4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343</v>
      </c>
      <c r="C116" s="50">
        <v>3</v>
      </c>
      <c r="D116" s="60">
        <v>0</v>
      </c>
      <c r="E116" s="51">
        <v>0.75</v>
      </c>
      <c r="F116" s="51">
        <v>0.2</v>
      </c>
      <c r="G116" s="51">
        <v>0</v>
      </c>
      <c r="H116" s="51">
        <v>0.05</v>
      </c>
      <c r="I116" s="53">
        <f t="shared" si="4"/>
        <v>22.2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22</v>
      </c>
      <c r="B117" s="60">
        <v>382</v>
      </c>
      <c r="C117" s="50">
        <v>4</v>
      </c>
      <c r="D117" s="60">
        <v>0</v>
      </c>
      <c r="E117" s="51">
        <v>0.75</v>
      </c>
      <c r="F117" s="51">
        <v>0.2</v>
      </c>
      <c r="G117" s="51">
        <v>0</v>
      </c>
      <c r="H117" s="51">
        <v>0.05</v>
      </c>
      <c r="I117" s="53">
        <f t="shared" si="4"/>
        <v>19.5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24</v>
      </c>
      <c r="B118" s="60">
        <v>421</v>
      </c>
      <c r="C118" s="50">
        <v>5</v>
      </c>
      <c r="D118" s="60">
        <v>0</v>
      </c>
      <c r="E118" s="51">
        <v>0.75</v>
      </c>
      <c r="F118" s="51">
        <v>0.2</v>
      </c>
      <c r="G118" s="51">
        <v>0</v>
      </c>
      <c r="H118" s="51">
        <v>0.05</v>
      </c>
      <c r="I118" s="53">
        <f t="shared" si="4"/>
        <v>19.5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26</v>
      </c>
      <c r="B119" s="60">
        <v>449</v>
      </c>
      <c r="C119" s="50">
        <v>6</v>
      </c>
      <c r="D119" s="60">
        <v>449</v>
      </c>
      <c r="E119" s="51">
        <v>0.75</v>
      </c>
      <c r="F119" s="51">
        <v>0.2</v>
      </c>
      <c r="G119" s="51">
        <v>0</v>
      </c>
      <c r="H119" s="51">
        <v>0.05</v>
      </c>
      <c r="I119" s="53">
        <f t="shared" si="4"/>
        <v>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Douglas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21</v>
      </c>
      <c r="B140" s="60">
        <v>195.15</v>
      </c>
      <c r="C140" s="50">
        <v>1</v>
      </c>
      <c r="D140" s="60">
        <v>64.58</v>
      </c>
      <c r="E140" s="51">
        <v>0.1</v>
      </c>
      <c r="F140" s="51">
        <v>0.8</v>
      </c>
      <c r="G140" s="51">
        <v>0</v>
      </c>
      <c r="H140" s="51">
        <v>0.1</v>
      </c>
      <c r="I140" s="57">
        <f>IFERROR(B140/A140,"")</f>
        <v>9.2928571428571427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28</v>
      </c>
      <c r="B141" s="60">
        <v>281.86</v>
      </c>
      <c r="C141" s="50">
        <v>2</v>
      </c>
      <c r="D141" s="60">
        <v>67.61</v>
      </c>
      <c r="E141" s="51">
        <v>0.1</v>
      </c>
      <c r="F141" s="51">
        <v>0.8</v>
      </c>
      <c r="G141" s="51">
        <v>0</v>
      </c>
      <c r="H141" s="51">
        <v>0.1</v>
      </c>
      <c r="I141" s="57">
        <f t="shared" ref="I141:I159" si="5">IF(A141&lt;&gt;0,(B141-(B140-D140))/(A141-A140),"")</f>
        <v>21.612857142857145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35</v>
      </c>
      <c r="B142" s="60">
        <v>377.12</v>
      </c>
      <c r="C142" s="50">
        <v>3</v>
      </c>
      <c r="D142" s="60">
        <v>86.68</v>
      </c>
      <c r="E142" s="51">
        <v>0.3</v>
      </c>
      <c r="F142" s="51">
        <v>0.5</v>
      </c>
      <c r="G142" s="51">
        <v>0</v>
      </c>
      <c r="H142" s="51">
        <v>0.2</v>
      </c>
      <c r="I142" s="57">
        <f t="shared" si="5"/>
        <v>23.267142857142858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42</v>
      </c>
      <c r="B143" s="60">
        <v>450.23</v>
      </c>
      <c r="C143" s="50">
        <v>4</v>
      </c>
      <c r="D143" s="60">
        <v>99.98</v>
      </c>
      <c r="E143" s="51">
        <v>0.3</v>
      </c>
      <c r="F143" s="51">
        <v>0.5</v>
      </c>
      <c r="G143" s="51">
        <v>0</v>
      </c>
      <c r="H143" s="51">
        <v>0.2</v>
      </c>
      <c r="I143" s="57">
        <f t="shared" si="5"/>
        <v>22.82714285714286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49</v>
      </c>
      <c r="B144" s="60">
        <v>503.83</v>
      </c>
      <c r="C144" s="50">
        <v>5</v>
      </c>
      <c r="D144" s="60">
        <v>112.61</v>
      </c>
      <c r="E144" s="51">
        <v>0.3</v>
      </c>
      <c r="F144" s="51">
        <v>0.5</v>
      </c>
      <c r="G144" s="51">
        <v>0</v>
      </c>
      <c r="H144" s="51">
        <v>0.2</v>
      </c>
      <c r="I144" s="57">
        <f t="shared" si="5"/>
        <v>21.939999999999998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56</v>
      </c>
      <c r="B145" s="60">
        <v>533.49</v>
      </c>
      <c r="C145" s="50">
        <v>6</v>
      </c>
      <c r="D145" s="60">
        <v>94.57</v>
      </c>
      <c r="E145" s="51">
        <v>0.7</v>
      </c>
      <c r="F145" s="51">
        <v>0.3</v>
      </c>
      <c r="G145" s="51">
        <v>0</v>
      </c>
      <c r="H145" s="51">
        <v>0</v>
      </c>
      <c r="I145" s="57">
        <f t="shared" si="5"/>
        <v>20.324285714285718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63</v>
      </c>
      <c r="B146" s="60">
        <v>569</v>
      </c>
      <c r="C146" s="50">
        <v>7</v>
      </c>
      <c r="D146" s="60">
        <v>99.49</v>
      </c>
      <c r="E146" s="51">
        <v>0.7</v>
      </c>
      <c r="F146" s="51">
        <v>0.3</v>
      </c>
      <c r="G146" s="51">
        <v>0</v>
      </c>
      <c r="H146" s="51">
        <v>0</v>
      </c>
      <c r="I146" s="57">
        <f t="shared" si="5"/>
        <v>18.58285714285714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70</v>
      </c>
      <c r="B147" s="60">
        <v>586.05999999999995</v>
      </c>
      <c r="C147" s="50">
        <v>8</v>
      </c>
      <c r="D147" s="60">
        <v>586.05999999999995</v>
      </c>
      <c r="E147" s="51">
        <v>0.7</v>
      </c>
      <c r="F147" s="51">
        <v>0.3</v>
      </c>
      <c r="G147" s="51">
        <v>0</v>
      </c>
      <c r="H147" s="51">
        <v>0</v>
      </c>
      <c r="I147" s="57">
        <f>IF(A147&lt;&gt;0,(B147-(B146-D146))/(A147-A146),"")</f>
        <v>16.649999999999995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sessile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60</v>
      </c>
      <c r="B166" s="60">
        <v>190.57</v>
      </c>
      <c r="C166" s="60">
        <v>1</v>
      </c>
      <c r="D166" s="60">
        <v>69.84</v>
      </c>
      <c r="E166" s="51">
        <v>0.6</v>
      </c>
      <c r="F166" s="51">
        <v>0</v>
      </c>
      <c r="G166" s="51">
        <v>0</v>
      </c>
      <c r="H166" s="51">
        <v>0.4</v>
      </c>
      <c r="I166" s="49">
        <f>IFERROR(B166/A166,"")</f>
        <v>3.1761666666666666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69</v>
      </c>
      <c r="B167" s="60">
        <v>177.57</v>
      </c>
      <c r="C167" s="60">
        <v>2</v>
      </c>
      <c r="D167" s="60">
        <v>39.35</v>
      </c>
      <c r="E167" s="51">
        <v>0.6</v>
      </c>
      <c r="F167" s="51">
        <v>0</v>
      </c>
      <c r="G167" s="51">
        <v>0</v>
      </c>
      <c r="H167" s="51">
        <v>0.4</v>
      </c>
      <c r="I167" s="49">
        <f t="shared" ref="I167:I185" si="6">IF(A167&lt;&gt;0,(B167-(B166-D166))/(A167-A166),"")</f>
        <v>6.315555555555556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77</v>
      </c>
      <c r="B168" s="60">
        <v>187.27</v>
      </c>
      <c r="C168" s="60">
        <v>3</v>
      </c>
      <c r="D168" s="60">
        <v>31.56</v>
      </c>
      <c r="E168" s="51">
        <v>0.6</v>
      </c>
      <c r="F168" s="51">
        <v>0</v>
      </c>
      <c r="G168" s="51">
        <v>0</v>
      </c>
      <c r="H168" s="51">
        <v>0.4</v>
      </c>
      <c r="I168" s="49">
        <f t="shared" si="6"/>
        <v>6.1312500000000014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86</v>
      </c>
      <c r="B169" s="60">
        <v>210.57</v>
      </c>
      <c r="C169" s="60">
        <v>4</v>
      </c>
      <c r="D169" s="60">
        <v>34.46</v>
      </c>
      <c r="E169" s="51">
        <v>0.6</v>
      </c>
      <c r="F169" s="51">
        <v>0</v>
      </c>
      <c r="G169" s="51">
        <v>0</v>
      </c>
      <c r="H169" s="51">
        <v>0.4</v>
      </c>
      <c r="I169" s="49">
        <f t="shared" si="6"/>
        <v>6.0955555555555536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95</v>
      </c>
      <c r="B170" s="60">
        <v>230.89</v>
      </c>
      <c r="C170" s="60">
        <v>5</v>
      </c>
      <c r="D170" s="60">
        <v>38.770000000000003</v>
      </c>
      <c r="E170" s="51">
        <v>0.6</v>
      </c>
      <c r="F170" s="51">
        <v>0</v>
      </c>
      <c r="G170" s="51">
        <v>0</v>
      </c>
      <c r="H170" s="51">
        <v>0.4</v>
      </c>
      <c r="I170" s="49">
        <f t="shared" si="6"/>
        <v>6.0866666666666669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104</v>
      </c>
      <c r="B171" s="60">
        <v>246.76</v>
      </c>
      <c r="C171" s="60">
        <v>6</v>
      </c>
      <c r="D171" s="60">
        <v>35.979999999999997</v>
      </c>
      <c r="E171" s="51">
        <v>0.6</v>
      </c>
      <c r="F171" s="51">
        <v>0</v>
      </c>
      <c r="G171" s="51">
        <v>0</v>
      </c>
      <c r="H171" s="51">
        <v>0.4</v>
      </c>
      <c r="I171" s="49">
        <f t="shared" si="6"/>
        <v>6.0711111111111125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113</v>
      </c>
      <c r="B172" s="60">
        <v>266.06</v>
      </c>
      <c r="C172" s="60">
        <v>7</v>
      </c>
      <c r="D172" s="60">
        <v>37.82</v>
      </c>
      <c r="E172" s="51">
        <v>0.6</v>
      </c>
      <c r="F172" s="51">
        <v>0</v>
      </c>
      <c r="G172" s="51">
        <v>0</v>
      </c>
      <c r="H172" s="51">
        <v>0.4</v>
      </c>
      <c r="I172" s="49">
        <f t="shared" si="6"/>
        <v>6.1422222222222222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122</v>
      </c>
      <c r="B173" s="50">
        <v>284.32</v>
      </c>
      <c r="C173" s="50">
        <v>8</v>
      </c>
      <c r="D173" s="50">
        <v>41.63</v>
      </c>
      <c r="E173" s="51">
        <v>0.6</v>
      </c>
      <c r="F173" s="51">
        <v>0</v>
      </c>
      <c r="G173" s="51">
        <v>0</v>
      </c>
      <c r="H173" s="51">
        <v>0.4</v>
      </c>
      <c r="I173" s="49">
        <f t="shared" si="6"/>
        <v>6.231111111111109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132</v>
      </c>
      <c r="B174" s="50">
        <v>305.76</v>
      </c>
      <c r="C174" s="50">
        <v>9</v>
      </c>
      <c r="D174" s="50">
        <v>44.19</v>
      </c>
      <c r="E174" s="51">
        <v>0.6</v>
      </c>
      <c r="F174" s="51">
        <v>0</v>
      </c>
      <c r="G174" s="51">
        <v>0</v>
      </c>
      <c r="H174" s="51">
        <v>0.4</v>
      </c>
      <c r="I174" s="49">
        <f t="shared" si="6"/>
        <v>6.3069999999999995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144</v>
      </c>
      <c r="B175" s="50">
        <v>339.36</v>
      </c>
      <c r="C175" s="50">
        <v>10</v>
      </c>
      <c r="D175" s="50">
        <v>55.05</v>
      </c>
      <c r="E175" s="51">
        <v>0.6</v>
      </c>
      <c r="F175" s="51">
        <v>0</v>
      </c>
      <c r="G175" s="51">
        <v>0</v>
      </c>
      <c r="H175" s="51">
        <v>0.4</v>
      </c>
      <c r="I175" s="49">
        <f t="shared" si="6"/>
        <v>6.4825000000000017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156</v>
      </c>
      <c r="B176" s="50">
        <v>363.66</v>
      </c>
      <c r="C176" s="50">
        <v>11</v>
      </c>
      <c r="D176" s="50">
        <v>59.1</v>
      </c>
      <c r="E176" s="51">
        <v>0.6</v>
      </c>
      <c r="F176" s="51">
        <v>0</v>
      </c>
      <c r="G176" s="51">
        <v>0</v>
      </c>
      <c r="H176" s="51">
        <v>0.4</v>
      </c>
      <c r="I176" s="49">
        <f t="shared" si="6"/>
        <v>6.6125000000000016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168</v>
      </c>
      <c r="B177" s="50">
        <v>385.3</v>
      </c>
      <c r="C177" s="50">
        <v>12</v>
      </c>
      <c r="D177" s="50">
        <v>63.91</v>
      </c>
      <c r="E177" s="51">
        <v>0.6</v>
      </c>
      <c r="F177" s="51">
        <v>0</v>
      </c>
      <c r="G177" s="51">
        <v>0</v>
      </c>
      <c r="H177" s="51">
        <v>0.4</v>
      </c>
      <c r="I177" s="49">
        <f t="shared" si="6"/>
        <v>6.7283333333333344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180</v>
      </c>
      <c r="B178" s="50">
        <v>401.79</v>
      </c>
      <c r="C178" s="50">
        <v>13</v>
      </c>
      <c r="D178" s="50">
        <v>154.91999999999999</v>
      </c>
      <c r="E178" s="51">
        <v>0.6</v>
      </c>
      <c r="F178" s="51">
        <v>0</v>
      </c>
      <c r="G178" s="51">
        <v>0</v>
      </c>
      <c r="H178" s="51">
        <v>0.4</v>
      </c>
      <c r="I178" s="49">
        <f t="shared" si="6"/>
        <v>6.7000000000000028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184</v>
      </c>
      <c r="B179" s="50">
        <v>263.29000000000002</v>
      </c>
      <c r="C179" s="50">
        <v>14</v>
      </c>
      <c r="D179" s="50">
        <v>88.94</v>
      </c>
      <c r="E179" s="51">
        <v>0.6</v>
      </c>
      <c r="F179" s="51">
        <v>0</v>
      </c>
      <c r="G179" s="51">
        <v>0</v>
      </c>
      <c r="H179" s="51">
        <v>0.4</v>
      </c>
      <c r="I179" s="49">
        <f t="shared" si="6"/>
        <v>4.1049999999999969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188</v>
      </c>
      <c r="B180" s="50">
        <v>184.75</v>
      </c>
      <c r="C180" s="50">
        <v>15</v>
      </c>
      <c r="D180" s="50">
        <v>63.4</v>
      </c>
      <c r="E180" s="51">
        <v>0.6</v>
      </c>
      <c r="F180" s="51">
        <v>0</v>
      </c>
      <c r="G180" s="51">
        <v>0</v>
      </c>
      <c r="H180" s="51">
        <v>0.4</v>
      </c>
      <c r="I180" s="49">
        <f t="shared" si="6"/>
        <v>2.5999999999999943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191</v>
      </c>
      <c r="B181" s="50">
        <v>126.3</v>
      </c>
      <c r="C181" s="50">
        <v>16</v>
      </c>
      <c r="D181" s="50">
        <v>126.3</v>
      </c>
      <c r="E181" s="51">
        <v>0.6</v>
      </c>
      <c r="F181" s="51">
        <v>0</v>
      </c>
      <c r="G181" s="51">
        <v>0</v>
      </c>
      <c r="H181" s="51">
        <v>0.4</v>
      </c>
      <c r="I181" s="49">
        <f t="shared" si="6"/>
        <v>1.650000000000001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Séquoia toujours vert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18</v>
      </c>
      <c r="B192" s="60">
        <v>202.31</v>
      </c>
      <c r="C192" s="60">
        <v>1</v>
      </c>
      <c r="D192" s="60">
        <v>74.819999999999993</v>
      </c>
      <c r="E192" s="51">
        <v>0</v>
      </c>
      <c r="F192" s="51">
        <v>1</v>
      </c>
      <c r="G192" s="51">
        <v>0</v>
      </c>
      <c r="H192" s="51">
        <v>0</v>
      </c>
      <c r="I192" s="49">
        <f>IFERROR(B192/A192,"")</f>
        <v>11.239444444444445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24</v>
      </c>
      <c r="B193" s="60">
        <v>289.08999999999997</v>
      </c>
      <c r="C193" s="60">
        <v>2</v>
      </c>
      <c r="D193" s="60">
        <v>51.39</v>
      </c>
      <c r="E193" s="51">
        <v>0</v>
      </c>
      <c r="F193" s="51">
        <v>1</v>
      </c>
      <c r="G193" s="51">
        <v>0</v>
      </c>
      <c r="H193" s="51">
        <v>0</v>
      </c>
      <c r="I193" s="49">
        <f t="shared" ref="I193:I211" si="7">IF(A193&lt;&gt;0,(B193-(B192-D192))/(A193-A192),"")</f>
        <v>26.933333333333326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30</v>
      </c>
      <c r="B194" s="60">
        <v>410.56</v>
      </c>
      <c r="C194" s="60">
        <v>3</v>
      </c>
      <c r="D194" s="60">
        <v>80.97</v>
      </c>
      <c r="E194" s="51">
        <v>0</v>
      </c>
      <c r="F194" s="51">
        <v>1</v>
      </c>
      <c r="G194" s="51">
        <v>0</v>
      </c>
      <c r="H194" s="51">
        <v>0</v>
      </c>
      <c r="I194" s="49">
        <f t="shared" si="7"/>
        <v>28.810000000000002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36</v>
      </c>
      <c r="B195" s="60">
        <v>501.41</v>
      </c>
      <c r="C195" s="60">
        <v>4</v>
      </c>
      <c r="D195" s="60">
        <v>85.88</v>
      </c>
      <c r="E195" s="51">
        <v>0</v>
      </c>
      <c r="F195" s="51">
        <v>1</v>
      </c>
      <c r="G195" s="51">
        <v>0</v>
      </c>
      <c r="H195" s="51">
        <v>0</v>
      </c>
      <c r="I195" s="49">
        <f t="shared" si="7"/>
        <v>28.636666666666667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42</v>
      </c>
      <c r="B196" s="60">
        <v>583.89</v>
      </c>
      <c r="C196" s="60">
        <v>5</v>
      </c>
      <c r="D196" s="60">
        <v>91.25</v>
      </c>
      <c r="E196" s="51">
        <v>0.5</v>
      </c>
      <c r="F196" s="51">
        <v>0.5</v>
      </c>
      <c r="G196" s="51">
        <v>0</v>
      </c>
      <c r="H196" s="51">
        <v>0</v>
      </c>
      <c r="I196" s="49">
        <f t="shared" si="7"/>
        <v>28.059999999999992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48</v>
      </c>
      <c r="B197" s="60">
        <v>655.04999999999995</v>
      </c>
      <c r="C197" s="60">
        <v>6</v>
      </c>
      <c r="D197" s="60">
        <v>101.34</v>
      </c>
      <c r="E197" s="51">
        <v>0.5</v>
      </c>
      <c r="F197" s="51">
        <v>0.5</v>
      </c>
      <c r="G197" s="51">
        <v>0</v>
      </c>
      <c r="H197" s="51">
        <v>0</v>
      </c>
      <c r="I197" s="49">
        <f t="shared" si="7"/>
        <v>27.068333333333328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54</v>
      </c>
      <c r="B198" s="60">
        <v>707.75</v>
      </c>
      <c r="C198" s="60">
        <v>7</v>
      </c>
      <c r="D198" s="60">
        <v>707.75</v>
      </c>
      <c r="E198" s="51">
        <v>0.7</v>
      </c>
      <c r="F198" s="51">
        <v>0.3</v>
      </c>
      <c r="G198" s="51">
        <v>0</v>
      </c>
      <c r="H198" s="51">
        <v>0</v>
      </c>
      <c r="I198" s="49">
        <f t="shared" si="7"/>
        <v>25.673333333333346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Cèdre de l'Atlas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51</v>
      </c>
      <c r="B218" s="60">
        <v>390.67</v>
      </c>
      <c r="C218" s="50">
        <v>1</v>
      </c>
      <c r="D218" s="60">
        <v>171.3</v>
      </c>
      <c r="E218" s="63">
        <v>0.7</v>
      </c>
      <c r="F218" s="63">
        <v>0.3</v>
      </c>
      <c r="G218" s="63">
        <v>0</v>
      </c>
      <c r="H218" s="63">
        <v>0</v>
      </c>
      <c r="I218" s="53">
        <f>IFERROR(B218/A218,"")</f>
        <v>7.6601960784313725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61</v>
      </c>
      <c r="B219" s="60">
        <v>348.21</v>
      </c>
      <c r="C219" s="50">
        <v>2</v>
      </c>
      <c r="D219" s="60">
        <v>100.2</v>
      </c>
      <c r="E219" s="63">
        <v>0.7</v>
      </c>
      <c r="F219" s="63">
        <v>0.3</v>
      </c>
      <c r="G219" s="63">
        <v>0</v>
      </c>
      <c r="H219" s="63">
        <v>0</v>
      </c>
      <c r="I219" s="53">
        <f t="shared" ref="I219:I237" si="8">IF(A219&lt;&gt;0,(B219-(B218-D218))/(A219-A218),"")</f>
        <v>12.883999999999997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73</v>
      </c>
      <c r="B220" s="60">
        <v>390.43</v>
      </c>
      <c r="C220" s="50">
        <v>3</v>
      </c>
      <c r="D220" s="60">
        <v>102.1</v>
      </c>
      <c r="E220" s="63">
        <v>0.7</v>
      </c>
      <c r="F220" s="63">
        <v>0.3</v>
      </c>
      <c r="G220" s="63">
        <v>0</v>
      </c>
      <c r="H220" s="63">
        <v>0</v>
      </c>
      <c r="I220" s="53">
        <f t="shared" si="8"/>
        <v>11.868333333333334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85</v>
      </c>
      <c r="B221" s="55">
        <v>420.16</v>
      </c>
      <c r="C221" s="55">
        <v>4</v>
      </c>
      <c r="D221" s="55">
        <v>94.69</v>
      </c>
      <c r="E221" s="63">
        <v>0.7</v>
      </c>
      <c r="F221" s="63">
        <v>0.3</v>
      </c>
      <c r="G221" s="63">
        <v>0</v>
      </c>
      <c r="H221" s="63">
        <v>0</v>
      </c>
      <c r="I221" s="53">
        <f t="shared" si="8"/>
        <v>10.985833333333332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97</v>
      </c>
      <c r="B222" s="55">
        <v>446.19</v>
      </c>
      <c r="C222" s="55">
        <v>5</v>
      </c>
      <c r="D222" s="55">
        <v>89.6</v>
      </c>
      <c r="E222" s="63">
        <v>0.7</v>
      </c>
      <c r="F222" s="63">
        <v>0.3</v>
      </c>
      <c r="G222" s="63">
        <v>0</v>
      </c>
      <c r="H222" s="63">
        <v>0</v>
      </c>
      <c r="I222" s="53">
        <f t="shared" si="8"/>
        <v>10.059999999999997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109</v>
      </c>
      <c r="B223" s="55">
        <v>465.16</v>
      </c>
      <c r="C223" s="55">
        <v>6</v>
      </c>
      <c r="D223" s="55">
        <v>91.09</v>
      </c>
      <c r="E223" s="63">
        <v>0.7</v>
      </c>
      <c r="F223" s="63">
        <v>0.3</v>
      </c>
      <c r="G223" s="63">
        <v>0</v>
      </c>
      <c r="H223" s="63">
        <v>0</v>
      </c>
      <c r="I223" s="53">
        <f t="shared" si="8"/>
        <v>9.0474999999999994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121</v>
      </c>
      <c r="B224" s="55">
        <v>471.22</v>
      </c>
      <c r="C224" s="55">
        <v>7</v>
      </c>
      <c r="D224" s="55">
        <v>233.54</v>
      </c>
      <c r="E224" s="63">
        <v>0.7</v>
      </c>
      <c r="F224" s="63">
        <v>0.3</v>
      </c>
      <c r="G224" s="63">
        <v>0</v>
      </c>
      <c r="H224" s="63">
        <v>0</v>
      </c>
      <c r="I224" s="53">
        <f t="shared" si="8"/>
        <v>8.0958333333333314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131</v>
      </c>
      <c r="B225" s="55">
        <v>294.08999999999997</v>
      </c>
      <c r="C225" s="55">
        <v>8</v>
      </c>
      <c r="D225" s="55">
        <v>294.08999999999997</v>
      </c>
      <c r="E225" s="63">
        <v>0.7</v>
      </c>
      <c r="F225" s="63">
        <v>0.3</v>
      </c>
      <c r="G225" s="63">
        <v>0</v>
      </c>
      <c r="H225" s="63">
        <v>0</v>
      </c>
      <c r="I225" s="53">
        <f t="shared" si="8"/>
        <v>5.6409999999999938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Hêtre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57</v>
      </c>
      <c r="B244" s="60">
        <v>289.23</v>
      </c>
      <c r="C244" s="60">
        <v>1</v>
      </c>
      <c r="D244" s="60">
        <v>141.91999999999999</v>
      </c>
      <c r="E244" s="51">
        <v>0.3</v>
      </c>
      <c r="F244" s="51">
        <v>0</v>
      </c>
      <c r="G244" s="51">
        <v>0</v>
      </c>
      <c r="H244" s="63">
        <v>0.7</v>
      </c>
      <c r="I244" s="53">
        <f>IFERROR(B244/A244,"")</f>
        <v>5.0742105263157899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66</v>
      </c>
      <c r="B245" s="60">
        <v>239.51</v>
      </c>
      <c r="C245" s="60">
        <v>2</v>
      </c>
      <c r="D245" s="60">
        <v>71.91</v>
      </c>
      <c r="E245" s="63">
        <v>0.6</v>
      </c>
      <c r="F245" s="63">
        <v>0</v>
      </c>
      <c r="G245" s="63">
        <v>0</v>
      </c>
      <c r="H245" s="63">
        <v>0.4</v>
      </c>
      <c r="I245" s="53">
        <f>IF(A245&lt;&gt;0,(B245-(B244-D244))/(A245-A244),"")</f>
        <v>10.24444444444444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75</v>
      </c>
      <c r="B246" s="60">
        <v>257.86</v>
      </c>
      <c r="C246" s="60">
        <v>3</v>
      </c>
      <c r="D246" s="60">
        <v>68.540000000000006</v>
      </c>
      <c r="E246" s="63">
        <v>0.6</v>
      </c>
      <c r="F246" s="63">
        <v>0</v>
      </c>
      <c r="G246" s="63">
        <v>0</v>
      </c>
      <c r="H246" s="63">
        <v>0.4</v>
      </c>
      <c r="I246" s="53">
        <f>IF(A246&lt;&gt;0,(B246-(B245-D245))/(A246-A245),"")</f>
        <v>10.028888888888892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84</v>
      </c>
      <c r="B247" s="60">
        <v>275.23</v>
      </c>
      <c r="C247" s="60">
        <v>4</v>
      </c>
      <c r="D247" s="60">
        <v>60.45</v>
      </c>
      <c r="E247" s="63">
        <v>0.6</v>
      </c>
      <c r="F247" s="63">
        <v>0</v>
      </c>
      <c r="G247" s="63">
        <v>0</v>
      </c>
      <c r="H247" s="63">
        <v>0.4</v>
      </c>
      <c r="I247" s="53">
        <f t="shared" ref="I247:I263" si="9">IF(A247&lt;&gt;0,(B247-(B246-D246))/(A247-A246),"")</f>
        <v>9.5455555555555591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93</v>
      </c>
      <c r="B248" s="60">
        <v>296.45999999999998</v>
      </c>
      <c r="C248" s="60">
        <v>5</v>
      </c>
      <c r="D248" s="60">
        <v>62.39</v>
      </c>
      <c r="E248" s="63">
        <v>0.6</v>
      </c>
      <c r="F248" s="63">
        <v>0</v>
      </c>
      <c r="G248" s="63">
        <v>0</v>
      </c>
      <c r="H248" s="63">
        <v>0.4</v>
      </c>
      <c r="I248" s="53">
        <f t="shared" si="9"/>
        <v>9.0755555555555496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105</v>
      </c>
      <c r="B249" s="60">
        <v>335.09</v>
      </c>
      <c r="C249" s="60">
        <v>6</v>
      </c>
      <c r="D249" s="60">
        <v>77.41</v>
      </c>
      <c r="E249" s="63">
        <v>0.6</v>
      </c>
      <c r="F249" s="63">
        <v>0</v>
      </c>
      <c r="G249" s="63">
        <v>0</v>
      </c>
      <c r="H249" s="63">
        <v>0.4</v>
      </c>
      <c r="I249" s="53">
        <f t="shared" si="9"/>
        <v>8.4183333333333312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117</v>
      </c>
      <c r="B250" s="60">
        <v>349.11</v>
      </c>
      <c r="C250" s="60">
        <v>7</v>
      </c>
      <c r="D250" s="60">
        <v>68.06</v>
      </c>
      <c r="E250" s="63">
        <v>0.6</v>
      </c>
      <c r="F250" s="63">
        <v>0</v>
      </c>
      <c r="G250" s="63">
        <v>0</v>
      </c>
      <c r="H250" s="63">
        <v>0.4</v>
      </c>
      <c r="I250" s="53">
        <f t="shared" si="9"/>
        <v>7.619166666666672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129</v>
      </c>
      <c r="B251" s="55">
        <v>363.51</v>
      </c>
      <c r="C251" s="55">
        <v>8</v>
      </c>
      <c r="D251" s="55">
        <v>128.76</v>
      </c>
      <c r="E251" s="63">
        <v>0.6</v>
      </c>
      <c r="F251" s="63">
        <v>0</v>
      </c>
      <c r="G251" s="63">
        <v>0</v>
      </c>
      <c r="H251" s="63">
        <v>0.4</v>
      </c>
      <c r="I251" s="53">
        <f t="shared" si="9"/>
        <v>6.8716666666666653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134</v>
      </c>
      <c r="B252" s="55">
        <v>264.67</v>
      </c>
      <c r="C252" s="55">
        <v>9</v>
      </c>
      <c r="D252" s="55">
        <v>93.94</v>
      </c>
      <c r="E252" s="63">
        <v>0.6</v>
      </c>
      <c r="F252" s="63">
        <v>0</v>
      </c>
      <c r="G252" s="63">
        <v>0</v>
      </c>
      <c r="H252" s="63">
        <v>0.4</v>
      </c>
      <c r="I252" s="53">
        <f t="shared" si="9"/>
        <v>5.9840000000000035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139</v>
      </c>
      <c r="B253" s="55">
        <v>194.43</v>
      </c>
      <c r="C253" s="55">
        <v>10</v>
      </c>
      <c r="D253" s="55">
        <v>79.77</v>
      </c>
      <c r="E253" s="63">
        <v>0.6</v>
      </c>
      <c r="F253" s="63">
        <v>0</v>
      </c>
      <c r="G253" s="63">
        <v>0</v>
      </c>
      <c r="H253" s="63">
        <v>0.4</v>
      </c>
      <c r="I253" s="53">
        <f t="shared" si="9"/>
        <v>4.7399999999999975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143</v>
      </c>
      <c r="B254" s="55">
        <v>128.80000000000001</v>
      </c>
      <c r="C254" s="55">
        <v>11</v>
      </c>
      <c r="D254" s="55">
        <v>128.80000000000001</v>
      </c>
      <c r="E254" s="63">
        <v>0.6</v>
      </c>
      <c r="F254" s="63">
        <v>0</v>
      </c>
      <c r="G254" s="63">
        <v>0</v>
      </c>
      <c r="H254" s="63">
        <v>0.4</v>
      </c>
      <c r="I254" s="53">
        <f t="shared" si="9"/>
        <v>3.5350000000000001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Pin maritime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15</v>
      </c>
      <c r="B270" s="60">
        <v>142.76</v>
      </c>
      <c r="C270" s="50">
        <v>1</v>
      </c>
      <c r="D270" s="60">
        <v>50.01</v>
      </c>
      <c r="E270" s="51">
        <v>0</v>
      </c>
      <c r="F270" s="51">
        <v>1</v>
      </c>
      <c r="G270" s="51">
        <v>0</v>
      </c>
      <c r="H270" s="51">
        <v>0</v>
      </c>
      <c r="I270" s="53">
        <f>IFERROR(B270/A270,"")</f>
        <v>9.5173333333333332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20</v>
      </c>
      <c r="B271" s="60">
        <v>207.09</v>
      </c>
      <c r="C271" s="50">
        <v>2</v>
      </c>
      <c r="D271" s="60">
        <v>54.89</v>
      </c>
      <c r="E271" s="51">
        <v>0.1</v>
      </c>
      <c r="F271" s="51">
        <v>0.8</v>
      </c>
      <c r="G271" s="51">
        <v>0</v>
      </c>
      <c r="H271" s="51">
        <v>0.1</v>
      </c>
      <c r="I271" s="53">
        <f>IF(A271&lt;&gt;0,(B271-(B270-D270))/(A271-A270),"")</f>
        <v>22.868000000000002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26</v>
      </c>
      <c r="B272" s="60">
        <v>297.39999999999998</v>
      </c>
      <c r="C272" s="50">
        <v>3</v>
      </c>
      <c r="D272" s="60">
        <v>55.94</v>
      </c>
      <c r="E272" s="51">
        <v>0.1</v>
      </c>
      <c r="F272" s="51">
        <v>0.8</v>
      </c>
      <c r="G272" s="51">
        <v>0</v>
      </c>
      <c r="H272" s="51">
        <v>0.1</v>
      </c>
      <c r="I272" s="53">
        <f t="shared" ref="I272:I289" si="10">IF(A272&lt;&gt;0,(B272-(B271-D271))/(A272-A271),"")</f>
        <v>24.2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32</v>
      </c>
      <c r="B273" s="60">
        <v>391.32</v>
      </c>
      <c r="C273" s="50">
        <v>4</v>
      </c>
      <c r="D273" s="60">
        <v>79.400000000000006</v>
      </c>
      <c r="E273" s="51">
        <v>0.3</v>
      </c>
      <c r="F273" s="51">
        <v>0.5</v>
      </c>
      <c r="G273" s="51">
        <v>0</v>
      </c>
      <c r="H273" s="51">
        <v>0.2</v>
      </c>
      <c r="I273" s="53">
        <f t="shared" si="10"/>
        <v>24.97666666666667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40</v>
      </c>
      <c r="B274" s="60">
        <v>498.39</v>
      </c>
      <c r="C274" s="50">
        <v>5</v>
      </c>
      <c r="D274" s="60">
        <v>116.49</v>
      </c>
      <c r="E274" s="51">
        <v>0.3</v>
      </c>
      <c r="F274" s="51">
        <v>0.5</v>
      </c>
      <c r="G274" s="51">
        <v>0</v>
      </c>
      <c r="H274" s="51">
        <v>0.2</v>
      </c>
      <c r="I274" s="53">
        <f t="shared" si="10"/>
        <v>23.308750000000003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48</v>
      </c>
      <c r="B275" s="60">
        <v>538.1</v>
      </c>
      <c r="C275" s="50">
        <v>6</v>
      </c>
      <c r="D275" s="60">
        <v>106.15</v>
      </c>
      <c r="E275" s="63">
        <v>0.3</v>
      </c>
      <c r="F275" s="63">
        <v>0.5</v>
      </c>
      <c r="G275" s="63">
        <v>0</v>
      </c>
      <c r="H275" s="63">
        <v>0.2</v>
      </c>
      <c r="I275" s="53">
        <f t="shared" si="10"/>
        <v>19.525000000000006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56</v>
      </c>
      <c r="B276" s="60">
        <v>562.74</v>
      </c>
      <c r="C276" s="50">
        <v>7</v>
      </c>
      <c r="D276" s="60">
        <v>562.74</v>
      </c>
      <c r="E276" s="63">
        <v>0.7</v>
      </c>
      <c r="F276" s="63">
        <v>0.3</v>
      </c>
      <c r="G276" s="63">
        <v>0</v>
      </c>
      <c r="H276" s="63">
        <v>0</v>
      </c>
      <c r="I276" s="53">
        <f t="shared" si="10"/>
        <v>16.348749999999995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5" t="s">
        <v>176</v>
      </c>
      <c r="C1" s="276"/>
      <c r="D1" s="276"/>
      <c r="E1" s="276"/>
      <c r="F1" s="276"/>
      <c r="G1" s="276"/>
      <c r="H1" s="277"/>
      <c r="I1" s="272" t="str">
        <f>IF('Données projet'!$B$9="","",'Données projet'!$B$9)</f>
        <v>Chêne rouge d'Amérique</v>
      </c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73" t="str">
        <f>IF('Données projet'!$B$10="","",'Données projet'!$B$10)</f>
        <v>Pin taeda</v>
      </c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4"/>
      <c r="AY1" s="272" t="str">
        <f>IF('Données projet'!$B$11="","",'Données projet'!$B$11)</f>
        <v>Tulipier de Virginie</v>
      </c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4"/>
      <c r="BT1" s="272" t="str">
        <f>IF('Données projet'!$B$12="","",'Données projet'!$B$12)</f>
        <v>Eucalyptus</v>
      </c>
      <c r="BU1" s="273"/>
      <c r="BV1" s="273"/>
      <c r="BW1" s="273"/>
      <c r="BX1" s="273"/>
      <c r="BY1" s="273"/>
      <c r="BZ1" s="273"/>
      <c r="CA1" s="273"/>
      <c r="CB1" s="273"/>
      <c r="CC1" s="273"/>
      <c r="CD1" s="273"/>
      <c r="CE1" s="273"/>
      <c r="CF1" s="273"/>
      <c r="CG1" s="273"/>
      <c r="CH1" s="273"/>
      <c r="CI1" s="273"/>
      <c r="CJ1" s="273"/>
      <c r="CK1" s="273"/>
      <c r="CL1" s="273"/>
      <c r="CM1" s="273"/>
      <c r="CN1" s="274"/>
      <c r="CO1" s="272" t="str">
        <f>IF('Données projet'!$B$13="","",'Données projet'!$B$13)</f>
        <v>Douglas</v>
      </c>
      <c r="CP1" s="273"/>
      <c r="CQ1" s="273"/>
      <c r="CR1" s="273"/>
      <c r="CS1" s="273"/>
      <c r="CT1" s="273"/>
      <c r="CU1" s="273"/>
      <c r="CV1" s="273"/>
      <c r="CW1" s="273"/>
      <c r="CX1" s="273"/>
      <c r="CY1" s="273"/>
      <c r="CZ1" s="273"/>
      <c r="DA1" s="273"/>
      <c r="DB1" s="273"/>
      <c r="DC1" s="273"/>
      <c r="DD1" s="273"/>
      <c r="DE1" s="273"/>
      <c r="DF1" s="273"/>
      <c r="DG1" s="273"/>
      <c r="DH1" s="273"/>
      <c r="DI1" s="274"/>
      <c r="DJ1" s="272" t="str">
        <f>IF('Données projet'!$B$14="","",'Données projet'!$B$14)</f>
        <v>Chêne sessile</v>
      </c>
      <c r="DK1" s="273"/>
      <c r="DL1" s="273"/>
      <c r="DM1" s="273"/>
      <c r="DN1" s="273"/>
      <c r="DO1" s="273"/>
      <c r="DP1" s="273"/>
      <c r="DQ1" s="273"/>
      <c r="DR1" s="273"/>
      <c r="DS1" s="273"/>
      <c r="DT1" s="273"/>
      <c r="DU1" s="273"/>
      <c r="DV1" s="273"/>
      <c r="DW1" s="273"/>
      <c r="DX1" s="273"/>
      <c r="DY1" s="273"/>
      <c r="DZ1" s="273"/>
      <c r="EA1" s="273"/>
      <c r="EB1" s="273"/>
      <c r="EC1" s="273"/>
      <c r="ED1" s="274"/>
      <c r="EE1" s="272" t="str">
        <f>IF('Données projet'!$B$15="","",'Données projet'!$B$15)</f>
        <v>Séquoia toujours vert</v>
      </c>
      <c r="EF1" s="273"/>
      <c r="EG1" s="273"/>
      <c r="EH1" s="273"/>
      <c r="EI1" s="273"/>
      <c r="EJ1" s="273"/>
      <c r="EK1" s="273"/>
      <c r="EL1" s="273"/>
      <c r="EM1" s="273"/>
      <c r="EN1" s="273"/>
      <c r="EO1" s="273"/>
      <c r="EP1" s="273"/>
      <c r="EQ1" s="273"/>
      <c r="ER1" s="273"/>
      <c r="ES1" s="273"/>
      <c r="ET1" s="273"/>
      <c r="EU1" s="273"/>
      <c r="EV1" s="273"/>
      <c r="EW1" s="273"/>
      <c r="EX1" s="273"/>
      <c r="EY1" s="274"/>
      <c r="EZ1" s="272" t="str">
        <f>IF('Données projet'!$B$16="","",'Données projet'!$B$16)</f>
        <v>Cèdre de l'Atlas</v>
      </c>
      <c r="FA1" s="273"/>
      <c r="FB1" s="273"/>
      <c r="FC1" s="273"/>
      <c r="FD1" s="273"/>
      <c r="FE1" s="273"/>
      <c r="FF1" s="273"/>
      <c r="FG1" s="273"/>
      <c r="FH1" s="273"/>
      <c r="FI1" s="273"/>
      <c r="FJ1" s="273"/>
      <c r="FK1" s="273"/>
      <c r="FL1" s="273"/>
      <c r="FM1" s="273"/>
      <c r="FN1" s="273"/>
      <c r="FO1" s="273"/>
      <c r="FP1" s="273"/>
      <c r="FQ1" s="273"/>
      <c r="FR1" s="273"/>
      <c r="FS1" s="273"/>
      <c r="FT1" s="274"/>
      <c r="FU1" s="272" t="str">
        <f>IF('Données projet'!$B$17="","",'Données projet'!$B$17)</f>
        <v>Hêtre</v>
      </c>
      <c r="FV1" s="273"/>
      <c r="FW1" s="273"/>
      <c r="FX1" s="273"/>
      <c r="FY1" s="273"/>
      <c r="FZ1" s="273"/>
      <c r="GA1" s="273"/>
      <c r="GB1" s="273"/>
      <c r="GC1" s="273"/>
      <c r="GD1" s="273"/>
      <c r="GE1" s="273"/>
      <c r="GF1" s="273"/>
      <c r="GG1" s="273"/>
      <c r="GH1" s="273"/>
      <c r="GI1" s="273"/>
      <c r="GJ1" s="273"/>
      <c r="GK1" s="273"/>
      <c r="GL1" s="273"/>
      <c r="GM1" s="273"/>
      <c r="GN1" s="273"/>
      <c r="GO1" s="274"/>
      <c r="GP1" s="272" t="str">
        <f>IF('Données projet'!$B$18="","",'Données projet'!$B$18)</f>
        <v>Pin maritime</v>
      </c>
      <c r="GQ1" s="273"/>
      <c r="GR1" s="273"/>
      <c r="GS1" s="273"/>
      <c r="GT1" s="273"/>
      <c r="GU1" s="273"/>
      <c r="GV1" s="273"/>
      <c r="GW1" s="273"/>
      <c r="GX1" s="273"/>
      <c r="GY1" s="273"/>
      <c r="GZ1" s="273"/>
      <c r="HA1" s="273"/>
      <c r="HB1" s="273"/>
      <c r="HC1" s="273"/>
      <c r="HD1" s="273"/>
      <c r="HE1" s="273"/>
      <c r="HF1" s="273"/>
      <c r="HG1" s="273"/>
      <c r="HH1" s="273"/>
      <c r="HI1" s="273"/>
      <c r="HJ1" s="274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4.3499999999999996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15.949999999999998</v>
      </c>
      <c r="H3" s="67">
        <f>(B3+E3+F3)*44/12+(C3+D3)*0.475*44/12</f>
        <v>192.86666666666667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176.91666666666666</v>
      </c>
      <c r="S3" s="59">
        <f ca="1">AVERAGE(OFFSET($R$3,0,0,'Données projet'!$E$9+1,1))-AVERAGE(OFFSET($H$3,0,0,'Données projet'!$E$9+1,1))</f>
        <v>433.46721010558042</v>
      </c>
      <c r="T3" s="59">
        <f>IF('Données projet'!E9&gt;30,$R$33-$H$33,LOOKUP('Données projet'!$E$9,$A$3:$A$203,R3:R203)-LOOKUP('Données projet'!$E$9,$A$3:$A$203,$H$3:$H$203))</f>
        <v>306.18862295347509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176.91666666666666</v>
      </c>
      <c r="AN3" s="59">
        <f ca="1">AVERAGE(OFFSET($AM$3,0,0,'Données projet'!$E$10+1,1))-AVERAGE(OFFSET($H$3,0,0,'Données projet'!$E$10+1,1))</f>
        <v>400.1942260113168</v>
      </c>
      <c r="AO3" s="59">
        <f>IF('Données projet'!E10&gt;30,$AM$33-$H$33,LOOKUP('Données projet'!$E$10,$A$3:$A$203,AM3:AM203)-LOOKUP('Données projet'!$E$10,$A$3:$A$203,$H$3:$H$203))</f>
        <v>497.04866930593926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176.91666666666666</v>
      </c>
      <c r="BI3" s="59">
        <f ca="1">AVERAGE(OFFSET($BH$3,0,0,'Données projet'!$E$11+1,1))-AVERAGE(OFFSET($H$3,0,0,'Données projet'!$E$11+1,1))</f>
        <v>284.78505691662588</v>
      </c>
      <c r="BJ3" s="59">
        <f>IF('Données projet'!E11&gt;30,$BH$33-$H$33,LOOKUP('Données projet'!$E$11,$A$3:$A$203,BH3:BH203)-LOOKUP('Données projet'!$E$11,$A$3:$A$203,$H$3:$H$203))</f>
        <v>664.42623058686308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176.91666666666666</v>
      </c>
      <c r="CD3" s="59">
        <f ca="1">AVERAGE(OFFSET($CC$3,0,0,'Données projet'!$E$12+1,1))-AVERAGE(OFFSET($H$3,0,0,'Données projet'!$E$12+1,1))</f>
        <v>380.64318988568527</v>
      </c>
      <c r="CE3" s="59">
        <f>IF('Données projet'!E12&gt;30,$CC$33-$H$33,LOOKUP('Données projet'!$E$12,$A$3:$A$203,CC3:CC203)-LOOKUP('Données projet'!$E$12,$A$3:$A$203,$H$3:$H$203))</f>
        <v>885.24651320439159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176.91666666666666</v>
      </c>
      <c r="CY3" s="59">
        <f ca="1">AVERAGE(OFFSET($CX$3,0,0,'Données projet'!$E$13+1,1))-AVERAGE(OFFSET($H$3,0,0,'Données projet'!$E$13+1,1))</f>
        <v>404.10467005188889</v>
      </c>
      <c r="CZ3" s="59">
        <f>IF('Données projet'!E13&gt;30,$CX$33-$H$33,LOOKUP('Données projet'!$E$13,$A$3:$A$203,CX3:CX203)-LOOKUP('Données projet'!$E$13,$A$3:$A$203,$H$3:$H$203))</f>
        <v>372.70490129557845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176.91666666666666</v>
      </c>
      <c r="DT3" s="59">
        <f ca="1">AVERAGE(OFFSET($DS$3,0,0,'Données projet'!$E$14+1,1))-AVERAGE(OFFSET($H$3,0,0,'Données projet'!$E$14+1,1))</f>
        <v>479.53113328461268</v>
      </c>
      <c r="DU3" s="59">
        <f>IF('Données projet'!E14&gt;30,$DS$33-$H$33,LOOKUP('Données projet'!$E$14,$A$3:$A$203,DS3:DS203)-LOOKUP('Données projet'!$E$14,$A$3:$A$203,$H$3:$H$203))</f>
        <v>244.6360664588118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176.91666666666666</v>
      </c>
      <c r="EO3" s="59">
        <f ca="1">AVERAGE(OFFSET($EN$3,0,0,'Données projet'!$E$15+1,1))-AVERAGE(OFFSET($H$3,0,0,'Données projet'!$E$15+1,1))</f>
        <v>339.23049610652492</v>
      </c>
      <c r="EP3" s="59">
        <f>IF('Données projet'!E15&gt;30,$EN$33-$H$33,LOOKUP('Données projet'!$E$15,$A$3:$A$203,EN3:EN203)-LOOKUP('Données projet'!$E$15,$A$3:$A$203,$H$3:$H$203))</f>
        <v>448.85057640789785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176.91666666666666</v>
      </c>
      <c r="FJ3" s="59">
        <f ca="1">AVERAGE(OFFSET($FI$3,0,0,'Données projet'!$E$16+1,1))-AVERAGE(OFFSET($H$3,0,0,'Données projet'!$E$16+1,1))</f>
        <v>365.63278362856033</v>
      </c>
      <c r="FK3" s="59">
        <f>IF('Données projet'!E16&gt;30,$FI$33-$H$33,LOOKUP('Données projet'!$E$16,$A$3:$A$203,FI3:FI203)-LOOKUP('Données projet'!$E$16,$A$3:$A$203,$H$3:$H$203))</f>
        <v>290.68267842697452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176.91666666666666</v>
      </c>
      <c r="GE3" s="59">
        <f ca="1">AVERAGE(OFFSET($GD$3,0,0,'Données projet'!$E$17+1,1))-AVERAGE(OFFSET($H$3,0,0,'Données projet'!$E$17+1,1))</f>
        <v>460.46300302025099</v>
      </c>
      <c r="GF3" s="59">
        <f>IF('Données projet'!E17&gt;30,$GD$33-$H$33,LOOKUP('Données projet'!$E$17,$A$3:$A$203,GD3:GD203)-LOOKUP('Données projet'!$E$17,$A$3:$A$203,$H$3:$H$203))</f>
        <v>340.22534554615879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48.25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176.91666666666666</v>
      </c>
      <c r="GZ3" s="59">
        <f ca="1">AVERAGE(OFFSET($GY$3,0,0,'Données projet'!$E$18+1,1))-AVERAGE(OFFSET($H$3,0,0,'Données projet'!$E$18+1,1))</f>
        <v>-15.950000000000017</v>
      </c>
      <c r="HA3" s="59">
        <f>IF('Données projet'!E18&gt;30,$GY$33-$H$33,LOOKUP('Données projet'!$E$18,$A$3:$A$203,GY3:GY203)-LOOKUP('Données projet'!$E$18,$A$3:$A$203,$H$3:$H$203))</f>
        <v>-15.950000000000017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4.3499999999999996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15.949999999999998</v>
      </c>
      <c r="H4" s="67">
        <f t="shared" ref="H4:H67" si="1">(B4+E4+F4)*44/12+(C4+D4)*0.475*44/12</f>
        <v>192.86666666666667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5.044827586206897</v>
      </c>
      <c r="N4" s="13">
        <f>IF('Données projet'!$A$36&gt;35,N3+M4-V3,IF(A4&lt;'Données projet'!$A$36,$K$205^A4,IF(A4='Données projet'!$A$36,'Données projet'!$B$36,N3+M4-V3)))</f>
        <v>1.187581975428267</v>
      </c>
      <c r="O4" s="13">
        <f>N4*VLOOKUP('Données projet'!$B$9,Paramètres!$A$1:$I$89,3,0)*VLOOKUP('Données projet'!$B$9,Paramètres!$A$1:$I$89,5,0)</f>
        <v>1.0374716137341342</v>
      </c>
      <c r="P4" s="13">
        <f>EXP(-1.0587+0.8836*LN(O4)+0.284)</f>
        <v>0.47606763276559194</v>
      </c>
      <c r="Q4" s="20">
        <f t="shared" ref="Q4:Q34" si="2">(O4+P4)*0.475*44/12</f>
        <v>2.636080854320356</v>
      </c>
      <c r="R4" s="59">
        <f t="shared" si="0"/>
        <v>182.15845394891969</v>
      </c>
      <c r="S4" s="59">
        <f ca="1">AVERAGE(OFFSET($R$3,0,0,'Données projet'!$E$9+1,1))-AVERAGE(OFFSET($H$3,0,0,'Données projet'!$E$9+1,1))</f>
        <v>433.46721010558042</v>
      </c>
      <c r="T4" s="59">
        <f>$T$3</f>
        <v>306.18862295347509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9.5173333333333332</v>
      </c>
      <c r="AI4" s="13">
        <f>IF('Données projet'!$A$62&gt;35,AI3+AH4-AQ3,IF(A4&lt;'Données projet'!$A$62,$AF$205^A4,IF(A4='Données projet'!$A$62,'Données projet'!$B$62,AI3+AH4-AQ3)))</f>
        <v>1.3920038484156163</v>
      </c>
      <c r="AJ4" s="13">
        <f>AI4*VLOOKUP('Données projet'!$B$10,Paramètres!$A$1:$I$89,3,0)*VLOOKUP('Données projet'!$B$10,Paramètres!$A$1:$I$89,5,0)</f>
        <v>0.83241830135253858</v>
      </c>
      <c r="AK4" s="13">
        <f>EXP(-1.0587+0.8836*LN(AJ4)+0.284)</f>
        <v>0.39189156891876969</v>
      </c>
      <c r="AL4" s="20">
        <f t="shared" ref="AL4:AL67" si="4">(AJ4+AK4)*0.475*44/12</f>
        <v>2.1323396907225285</v>
      </c>
      <c r="AM4" s="59">
        <f t="shared" ref="AM4:AM67" si="5">AL4+(AD4+AE4)*44/12</f>
        <v>181.65471278532183</v>
      </c>
      <c r="AN4" s="59">
        <f ca="1">AVERAGE(OFFSET($AM$3,0,0,'Données projet'!$E$10+1,1))-AVERAGE(OFFSET($H$3,0,0,'Données projet'!$E$10+1,1))</f>
        <v>400.1942260113168</v>
      </c>
      <c r="AO4" s="59">
        <f>$AO$3</f>
        <v>497.04866930593926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12.5</v>
      </c>
      <c r="BD4" s="12">
        <f>IF('Données projet'!$A$88&gt;35,BD3+BC4-BL3,IF(A4&lt;'Données projet'!$A$88,$BA$205^A4,IF(A4='Données projet'!$A$88,'Données projet'!$B$88,BD3+BC4-BL3)))</f>
        <v>1.6206565966927624</v>
      </c>
      <c r="BE4" s="13">
        <f>BD4*VLOOKUP('Données projet'!$B$11,Paramètres!$A$1:$I$89,3,0)*VLOOKUP('Données projet'!$B$11,Paramètres!$A$1:$I$89,5,0)</f>
        <v>1.0365719592446909</v>
      </c>
      <c r="BF4" s="13">
        <f>EXP(-1.0587+0.8836*LN(BE4)+0.284)</f>
        <v>0.47570284033677973</v>
      </c>
      <c r="BG4" s="20">
        <f t="shared" ref="BG4:BG67" si="7">(BE4+BF4)*0.475*44/12</f>
        <v>2.6338786092710618</v>
      </c>
      <c r="BH4" s="59">
        <f t="shared" ref="BH4:BH67" si="8">BG4+(AY4+AZ4)*44/12</f>
        <v>182.15625170387037</v>
      </c>
      <c r="BI4" s="59">
        <f ca="1">AVERAGE(OFFSET($BH$3,0,0,'Données projet'!$E$11+1,1))-AVERAGE(OFFSET($H$3,0,0,'Données projet'!$E$11+1,1))</f>
        <v>284.78505691662588</v>
      </c>
      <c r="BJ4" s="59">
        <f>$BJ$3</f>
        <v>664.42623058686308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12.5</v>
      </c>
      <c r="BY4" s="12">
        <f>IF('Données projet'!$A$114&gt;35,BY3+BX4-CG3,IF(A4&lt;'Données projet'!$A$114,$BV$205^A4,IF(A4='Données projet'!$A$114,'Données projet'!$B$114,BY3+BX4-CG3)))</f>
        <v>1.6206565966927624</v>
      </c>
      <c r="BZ4" s="13">
        <f>BY4*VLOOKUP('Données projet'!$B$12,Paramètres!$A$1:$I$89,3,0)*VLOOKUP('Données projet'!$B$12,Paramètres!$A$1:$I$89,5,0)</f>
        <v>1.4158056028707975</v>
      </c>
      <c r="CA4" s="13">
        <f>EXP(-1.0587+0.8836*LN(BZ4)+0.284)</f>
        <v>0.62658337749571502</v>
      </c>
      <c r="CB4" s="20">
        <f t="shared" ref="CB4:CB67" si="10">(BZ4+CA4)*0.475*44/12</f>
        <v>3.5571608074716754</v>
      </c>
      <c r="CC4" s="59">
        <f t="shared" ref="CC4:CC67" si="11">CB4+(BT4+BU4)*44/12</f>
        <v>183.07953390207101</v>
      </c>
      <c r="CD4" s="59">
        <f ca="1">AVERAGE(OFFSET($CC$3,0,0,'Données projet'!$E$12+1,1))-AVERAGE(OFFSET($H$3,0,0,'Données projet'!$E$12+1,1))</f>
        <v>380.64318988568527</v>
      </c>
      <c r="CE4" s="59">
        <f>$CE$3</f>
        <v>885.24651320439159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9.2928571428571427</v>
      </c>
      <c r="CT4" s="12">
        <f>IF('Données projet'!$A$140&gt;35,CT3+CS4-DB3,IF(A4&lt;'Données projet'!$A$140,$CQ$205^A4,IF(A4='Données projet'!$A$140,'Données projet'!$B$140,CT3+CS4-DB3)))</f>
        <v>1.2854795418236975</v>
      </c>
      <c r="CU4" s="17">
        <f>CT4*VLOOKUP('Données projet'!$B$13,Paramètres!$A$1:$I$89,3,0)*VLOOKUP('Données projet'!$B$13,Paramètres!$A$1:$I$89,5,0)</f>
        <v>0.71858306387944693</v>
      </c>
      <c r="CV4" s="13">
        <f>EXP(-1.0587+0.8836*LN(CU4)+0.284)</f>
        <v>0.34413997429051324</v>
      </c>
      <c r="CW4" s="20">
        <f t="shared" ref="CW4:CW67" si="13">(CU4+CV4)*0.475*44/12</f>
        <v>1.850909291479347</v>
      </c>
      <c r="CX4" s="59">
        <f t="shared" ref="CX4:CX67" si="14">CW4+(CO4+CP4)*44/12</f>
        <v>181.37328238607867</v>
      </c>
      <c r="CY4" s="59">
        <f ca="1">AVERAGE(OFFSET($CX$3,0,0,'Données projet'!$E$13+1,1))-AVERAGE(OFFSET($H$3,0,0,'Données projet'!$E$13+1,1))</f>
        <v>404.10467005188889</v>
      </c>
      <c r="CZ4" s="59">
        <f>$CZ$3</f>
        <v>372.70490129557845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3.1761666666666666</v>
      </c>
      <c r="DO4" s="12">
        <f>IF('Données projet'!$A$166&gt;35,DO3+DN4-DW3,IF(A4&lt;'Données projet'!$A$166,$DL$205^A4,IF(A4='Données projet'!$A$166,'Données projet'!$B$166,DO3+DN4-DW3)))</f>
        <v>3.1761666666666666</v>
      </c>
      <c r="DP4" s="17">
        <f>DO4*VLOOKUP('Données projet'!$B$14,Paramètres!$A$1:$I$89,3,0)*VLOOKUP('Données projet'!$B$14,Paramètres!$A$1:$I$89,5,0)</f>
        <v>2.8737955999999998</v>
      </c>
      <c r="DQ4" s="13">
        <f>EXP(-1.0587+0.8836*LN(DP4)+0.284)</f>
        <v>1.1712340144111775</v>
      </c>
      <c r="DR4" s="20">
        <f t="shared" ref="DR4:DR67" si="16">(DP4+DQ4)*0.475*44/12</f>
        <v>7.0450932450994683</v>
      </c>
      <c r="DS4" s="59">
        <f t="shared" ref="DS4:DS67" si="17">DR4+(DJ4+DK4)*44/12</f>
        <v>186.5674663396988</v>
      </c>
      <c r="DT4" s="59">
        <f ca="1">AVERAGE(OFFSET($DS$3,0,0,'Données projet'!$E$14+1,1))-AVERAGE(OFFSET($H$3,0,0,'Données projet'!$E$14+1,1))</f>
        <v>479.53113328461268</v>
      </c>
      <c r="DU4" s="59">
        <f>$DU$3</f>
        <v>244.6360664588118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11.239444444444445</v>
      </c>
      <c r="EJ4" s="12">
        <f>IF('Données projet'!$A$192&gt;35,EJ3+EI4-ER3,IF(A4&lt;'Données projet'!$A$192,$EG$205^A4,IF(A4='Données projet'!$A$192,'Données projet'!$B$192,EJ3+EI4-ER3)))</f>
        <v>1.3431115227802051</v>
      </c>
      <c r="EK4" s="17">
        <f>EJ4*VLOOKUP('Données projet'!$B$15,Paramètres!$A$1:$I$89,3,0)*VLOOKUP('Données projet'!$B$15,Paramètres!$A$1:$I$89,5,0)</f>
        <v>0.59365529306885068</v>
      </c>
      <c r="EL4" s="13">
        <f>EXP(-1.0587+0.8836*LN(EK4)+0.284)</f>
        <v>0.29070132518488428</v>
      </c>
      <c r="EM4" s="20">
        <f t="shared" ref="EM4:EM67" si="19">(EK4+EL4)*0.475*44/12</f>
        <v>1.5402544434585883</v>
      </c>
      <c r="EN4" s="59">
        <f t="shared" ref="EN4:EN67" si="20">EM4+(EE4+EF4)*44/12</f>
        <v>181.06262753805791</v>
      </c>
      <c r="EO4" s="59">
        <f ca="1">AVERAGE(OFFSET($EN$3,0,0,'Données projet'!$E$15+1,1))-AVERAGE(OFFSET($H$3,0,0,'Données projet'!$E$15+1,1))</f>
        <v>339.23049610652492</v>
      </c>
      <c r="EP4" s="59">
        <f>$EP$3</f>
        <v>448.85057640789785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7.6601960784313725</v>
      </c>
      <c r="FE4" s="12">
        <f>IF('Données projet'!$A$218&gt;35,FE3+FD4-FM3,IF(A4&lt;'Données projet'!$A$218,$FB$205^A4,IF(A4='Données projet'!$A$218,'Données projet'!$B$218,FE3+FD4-FM3)))</f>
        <v>7.6601960784313725</v>
      </c>
      <c r="FF4" s="17">
        <f>FE4*VLOOKUP('Données projet'!$B$16,Paramètres!$A$1:$I$89,3,0)*VLOOKUP('Données projet'!$B$16,Paramètres!$A$1:$I$89,5,0)</f>
        <v>3.5849717647058821</v>
      </c>
      <c r="FG4" s="13">
        <f>EXP(-1.0587+0.8836*LN(FF4)+0.284)</f>
        <v>1.4239530307926282</v>
      </c>
      <c r="FH4" s="20">
        <f t="shared" ref="FH4:FH67" si="22">(FF4+FG4)*0.475*44/12</f>
        <v>8.7238773521599047</v>
      </c>
      <c r="FI4" s="59">
        <f t="shared" ref="FI4:FI67" si="23">FH4+(EZ4+FA4)*44/12</f>
        <v>188.24625044675923</v>
      </c>
      <c r="FJ4" s="59">
        <f ca="1">AVERAGE(OFFSET($FI$3,0,0,'Données projet'!$E$16+1,1))-AVERAGE(OFFSET($H$3,0,0,'Données projet'!$E$16+1,1))</f>
        <v>365.63278362856033</v>
      </c>
      <c r="FK4" s="59">
        <f>$FK$3</f>
        <v>290.68267842697452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5.0742105263157899</v>
      </c>
      <c r="FZ4" s="12">
        <f>IF('Données projet'!$A$244&gt;35,FZ3+FY4-GH3,IF(A4&lt;'Données projet'!$A$244,$FW$205^A4,IF(A4='Données projet'!$A$244,'Données projet'!$B$244,FZ3+FY4-GH3)))</f>
        <v>5.0742105263157899</v>
      </c>
      <c r="GA4" s="17">
        <f>FZ4*VLOOKUP('Données projet'!$B$17,Paramètres!$A$1:$I$89,3,0)*VLOOKUP('Données projet'!$B$17,Paramètres!$A$1:$I$89,5,0)</f>
        <v>4.3536726315789487</v>
      </c>
      <c r="GB4" s="13">
        <f>EXP(-1.0587+0.8836*LN(GA4)+0.284)</f>
        <v>1.6906161876407306</v>
      </c>
      <c r="GC4" s="20">
        <f t="shared" ref="GC4:GC67" si="25">(GA4+GB4)*0.475*44/12</f>
        <v>10.527136360140942</v>
      </c>
      <c r="GD4" s="59">
        <f t="shared" ref="GD4:GD67" si="26">GC4+(FU4+FV4)*44/12</f>
        <v>190.04950945474025</v>
      </c>
      <c r="GE4" s="59">
        <f ca="1">AVERAGE(OFFSET($GD$3,0,0,'Données projet'!$E$17+1,1))-AVERAGE(OFFSET($H$3,0,0,'Données projet'!$E$17+1,1))</f>
        <v>460.46300302025099</v>
      </c>
      <c r="GF4" s="59">
        <f>$GF$3</f>
        <v>340.22534554615879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48.62731387428466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9.5173333333333332</v>
      </c>
      <c r="GU4" s="12">
        <f>IF('Données projet'!$A$270&gt;35,GU3+GT4-HC3,IF(A4&lt;'Données projet'!$A$270,$GR$205^A4,IF(A4='Données projet'!$A$270,'Données projet'!$B$270,GU3+GT4-HC3)))</f>
        <v>1.3920038484156163</v>
      </c>
      <c r="GV4" s="17">
        <f>GU4*VLOOKUP('Données projet'!$B$18,Paramètres!$A$1:$I$89,3,0)*VLOOKUP('Données projet'!$B$18,Paramètres!$A$1:$I$89,5,0)</f>
        <v>0.83241830135253858</v>
      </c>
      <c r="GW4" s="13">
        <f>EXP(-1.0587+0.8836*LN(GV4)+0.284)</f>
        <v>0.39189156891876969</v>
      </c>
      <c r="GX4" s="20">
        <f t="shared" ref="GX4:GX67" si="28">(GV4+GW4)*0.475*44/12</f>
        <v>2.1323396907225285</v>
      </c>
      <c r="GY4" s="59">
        <f t="shared" ref="GY4:GY67" si="29">GX4+(GP4+GQ4)*44/12</f>
        <v>181.65471278532183</v>
      </c>
      <c r="GZ4" s="59">
        <f ca="1">AVERAGE(OFFSET($GY$3,0,0,'Données projet'!$E$18+1,1))-AVERAGE(OFFSET($H$3,0,0,'Données projet'!$E$18+1,1))</f>
        <v>-15.950000000000017</v>
      </c>
      <c r="HA4" s="59">
        <f>$HA$3</f>
        <v>-15.950000000000017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4.3499999999999996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15.949999999999998</v>
      </c>
      <c r="H5" s="67">
        <f t="shared" si="1"/>
        <v>192.86666666666667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5.044827586206897</v>
      </c>
      <c r="N5" s="13">
        <f>IF('Données projet'!$A$36&gt;35,N4+M5-V4,IF(A5&lt;'Données projet'!$A$36,$K$205^A5,IF(A5='Données projet'!$A$36,'Données projet'!$B$36,N4+M5-V4)))</f>
        <v>1.4103509483621051</v>
      </c>
      <c r="O5" s="13">
        <f>N5*VLOOKUP('Données projet'!$B$9,Paramètres!$A$1:$I$89,3,0)*VLOOKUP('Données projet'!$B$9,Paramètres!$A$1:$I$89,5,0)</f>
        <v>1.2320825884891351</v>
      </c>
      <c r="P5" s="13">
        <f t="shared" ref="P5:P68" si="33">EXP(-1.0587+0.8836*LN(O5)+0.284)</f>
        <v>0.55416795646629724</v>
      </c>
      <c r="Q5" s="20">
        <f t="shared" si="2"/>
        <v>3.1110530324640444</v>
      </c>
      <c r="R5" s="59">
        <f t="shared" si="0"/>
        <v>185.21513219703422</v>
      </c>
      <c r="S5" s="59">
        <f ca="1">AVERAGE(OFFSET($R$3,0,0,'Données projet'!$E$9+1,1))-AVERAGE(OFFSET($H$3,0,0,'Données projet'!$E$9+1,1))</f>
        <v>433.46721010558042</v>
      </c>
      <c r="T5" s="59">
        <f t="shared" ref="T5:T68" si="34">$T$3</f>
        <v>306.18862295347509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9.5173333333333332</v>
      </c>
      <c r="AI5" s="13">
        <f>IF('Données projet'!$A$62&gt;35,AI4+AH5-AQ4,IF(A5&lt;'Données projet'!$A$62,$AF$205^A5,IF(A5='Données projet'!$A$62,'Données projet'!$B$62,AI4+AH5-AQ4)))</f>
        <v>1.9376747140038861</v>
      </c>
      <c r="AJ5" s="13">
        <f>AI5*VLOOKUP('Données projet'!$B$10,Paramètres!$A$1:$I$89,3,0)*VLOOKUP('Données projet'!$B$10,Paramètres!$A$1:$I$89,5,0)</f>
        <v>1.1587294789743241</v>
      </c>
      <c r="AK5" s="13">
        <f t="shared" ref="AK5:AK68" si="35">EXP(-1.0587+0.8836*LN(AJ5)+0.284)</f>
        <v>0.52491213075187837</v>
      </c>
      <c r="AL5" s="20">
        <f t="shared" si="4"/>
        <v>2.9323424702731358</v>
      </c>
      <c r="AM5" s="59">
        <f t="shared" si="5"/>
        <v>185.03642163484332</v>
      </c>
      <c r="AN5" s="59">
        <f ca="1">AVERAGE(OFFSET($AM$3,0,0,'Données projet'!$E$10+1,1))-AVERAGE(OFFSET($H$3,0,0,'Données projet'!$E$10+1,1))</f>
        <v>400.1942260113168</v>
      </c>
      <c r="AO5" s="59">
        <f t="shared" ref="AO5:AO68" si="36">$AO$3</f>
        <v>497.04866930593926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12.5</v>
      </c>
      <c r="BD5" s="12">
        <f>IF('Données projet'!$A$88&gt;35,BD4+BC5-BL4,IF(A5&lt;'Données projet'!$A$88,$BA$205^A5,IF(A5='Données projet'!$A$88,'Données projet'!$B$88,BD4+BC5-BL4)))</f>
        <v>2.626527804403767</v>
      </c>
      <c r="BE5" s="13">
        <f>BD5*VLOOKUP('Données projet'!$B$11,Paramètres!$A$1:$I$89,3,0)*VLOOKUP('Données projet'!$B$11,Paramètres!$A$1:$I$89,5,0)</f>
        <v>1.6799271836966494</v>
      </c>
      <c r="BF5" s="13">
        <f t="shared" ref="BF5:BF68" si="37">EXP(-1.0587+0.8836*LN(BE5)+0.284)</f>
        <v>0.72881736762748062</v>
      </c>
      <c r="BG5" s="20">
        <f t="shared" si="7"/>
        <v>4.1952300935561926</v>
      </c>
      <c r="BH5" s="59">
        <f t="shared" si="8"/>
        <v>186.29930925812639</v>
      </c>
      <c r="BI5" s="59">
        <f ca="1">AVERAGE(OFFSET($BH$3,0,0,'Données projet'!$E$11+1,1))-AVERAGE(OFFSET($H$3,0,0,'Données projet'!$E$11+1,1))</f>
        <v>284.78505691662588</v>
      </c>
      <c r="BJ5" s="59">
        <f t="shared" ref="BJ5:BJ68" si="38">$BJ$3</f>
        <v>664.42623058686308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12.5</v>
      </c>
      <c r="BY5" s="12">
        <f>IF('Données projet'!$A$114&gt;35,BY4+BX5-CG4,IF(A5&lt;'Données projet'!$A$114,$BV$205^A5,IF(A5='Données projet'!$A$114,'Données projet'!$B$114,BY4+BX5-CG4)))</f>
        <v>2.626527804403767</v>
      </c>
      <c r="BZ5" s="13">
        <f>BY5*VLOOKUP('Données projet'!$B$12,Paramètres!$A$1:$I$89,3,0)*VLOOKUP('Données projet'!$B$12,Paramètres!$A$1:$I$89,5,0)</f>
        <v>2.2945346899271311</v>
      </c>
      <c r="CA5" s="13">
        <f t="shared" ref="CA5:CA68" si="39">EXP(-1.0587+0.8836*LN(BZ5)+0.284)</f>
        <v>0.95997923296455723</v>
      </c>
      <c r="CB5" s="20">
        <f t="shared" si="10"/>
        <v>5.6682784157030239</v>
      </c>
      <c r="CC5" s="59">
        <f t="shared" si="11"/>
        <v>187.77235758027319</v>
      </c>
      <c r="CD5" s="59">
        <f ca="1">AVERAGE(OFFSET($CC$3,0,0,'Données projet'!$E$12+1,1))-AVERAGE(OFFSET($H$3,0,0,'Données projet'!$E$12+1,1))</f>
        <v>380.64318988568527</v>
      </c>
      <c r="CE5" s="59">
        <f t="shared" ref="CE5:CE68" si="40">$CE$3</f>
        <v>885.24651320439159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9.2928571428571427</v>
      </c>
      <c r="CT5" s="12">
        <f>IF('Données projet'!$A$140&gt;35,CT4+CS5-DB4,IF(A5&lt;'Données projet'!$A$140,$CQ$205^A5,IF(A5='Données projet'!$A$140,'Données projet'!$B$140,CT4+CS5-DB4)))</f>
        <v>1.6524576524472632</v>
      </c>
      <c r="CU5" s="17">
        <f>CT5*VLOOKUP('Données projet'!$B$13,Paramètres!$A$1:$I$89,3,0)*VLOOKUP('Données projet'!$B$13,Paramètres!$A$1:$I$89,5,0)</f>
        <v>0.92372382771802009</v>
      </c>
      <c r="CV5" s="13">
        <f t="shared" ref="CV5:CV68" si="41">EXP(-1.0587+0.8836*LN(CU5)+0.284)</f>
        <v>0.42964039335873705</v>
      </c>
      <c r="CW5" s="20">
        <f t="shared" si="13"/>
        <v>2.3571093517086852</v>
      </c>
      <c r="CX5" s="59">
        <f t="shared" si="14"/>
        <v>184.46118851627887</v>
      </c>
      <c r="CY5" s="59">
        <f ca="1">AVERAGE(OFFSET($CX$3,0,0,'Données projet'!$E$13+1,1))-AVERAGE(OFFSET($H$3,0,0,'Données projet'!$E$13+1,1))</f>
        <v>404.10467005188889</v>
      </c>
      <c r="CZ5" s="59">
        <f t="shared" ref="CZ5:CZ68" si="42">$CZ$3</f>
        <v>372.70490129557845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3.1761666666666666</v>
      </c>
      <c r="DO5" s="12">
        <f>IF('Données projet'!$A$166&gt;35,DO4+DN5-DW4,IF(A5&lt;'Données projet'!$A$166,$DL$205^A5,IF(A5='Données projet'!$A$166,'Données projet'!$B$166,DO4+DN5-DW4)))</f>
        <v>6.3523333333333332</v>
      </c>
      <c r="DP5" s="17">
        <f>DO5*VLOOKUP('Données projet'!$B$14,Paramètres!$A$1:$I$89,3,0)*VLOOKUP('Données projet'!$B$14,Paramètres!$A$1:$I$89,5,0)</f>
        <v>5.7475911999999996</v>
      </c>
      <c r="DQ5" s="13">
        <f t="shared" ref="DQ5:DQ68" si="43">EXP(-1.0587+0.8836*LN(DP5)+0.284)</f>
        <v>2.160895577342222</v>
      </c>
      <c r="DR5" s="20">
        <f t="shared" si="16"/>
        <v>13.773947803871033</v>
      </c>
      <c r="DS5" s="59">
        <f t="shared" si="17"/>
        <v>195.87802696844122</v>
      </c>
      <c r="DT5" s="59">
        <f ca="1">AVERAGE(OFFSET($DS$3,0,0,'Données projet'!$E$14+1,1))-AVERAGE(OFFSET($H$3,0,0,'Données projet'!$E$14+1,1))</f>
        <v>479.53113328461268</v>
      </c>
      <c r="DU5" s="59">
        <f t="shared" ref="DU5:DU68" si="44">$DU$3</f>
        <v>244.6360664588118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11.239444444444445</v>
      </c>
      <c r="EJ5" s="12">
        <f>IF('Données projet'!$A$192&gt;35,EJ4+EI5-ER4,IF(A5&lt;'Données projet'!$A$192,$EG$205^A5,IF(A5='Données projet'!$A$192,'Données projet'!$B$192,EJ4+EI5-ER4)))</f>
        <v>1.8039485626249614</v>
      </c>
      <c r="EK5" s="17">
        <f>EJ5*VLOOKUP('Données projet'!$B$15,Paramètres!$A$1:$I$89,3,0)*VLOOKUP('Données projet'!$B$15,Paramètres!$A$1:$I$89,5,0)</f>
        <v>0.79734526468023303</v>
      </c>
      <c r="EL5" s="13">
        <f t="shared" ref="EL5:EL68" si="45">EXP(-1.0587+0.8836*LN(EK5)+0.284)</f>
        <v>0.37726528209686516</v>
      </c>
      <c r="EM5" s="20">
        <f t="shared" si="19"/>
        <v>2.045780035636779</v>
      </c>
      <c r="EN5" s="59">
        <f t="shared" si="20"/>
        <v>184.14985920020695</v>
      </c>
      <c r="EO5" s="59">
        <f ca="1">AVERAGE(OFFSET($EN$3,0,0,'Données projet'!$E$15+1,1))-AVERAGE(OFFSET($H$3,0,0,'Données projet'!$E$15+1,1))</f>
        <v>339.23049610652492</v>
      </c>
      <c r="EP5" s="59">
        <f t="shared" ref="EP5:EP68" si="46">$EP$3</f>
        <v>448.85057640789785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7.6601960784313725</v>
      </c>
      <c r="FE5" s="12">
        <f>IF('Données projet'!$A$218&gt;35,FE4+FD5-FM4,IF(A5&lt;'Données projet'!$A$218,$FB$205^A5,IF(A5='Données projet'!$A$218,'Données projet'!$B$218,FE4+FD5-FM4)))</f>
        <v>15.320392156862745</v>
      </c>
      <c r="FF5" s="17">
        <f>FE5*VLOOKUP('Données projet'!$B$16,Paramètres!$A$1:$I$89,3,0)*VLOOKUP('Données projet'!$B$16,Paramètres!$A$1:$I$89,5,0)</f>
        <v>7.1699435294117642</v>
      </c>
      <c r="FG5" s="13">
        <f t="shared" ref="FG5:FG68" si="47">EXP(-1.0587+0.8836*LN(FF5)+0.284)</f>
        <v>2.6271554349706712</v>
      </c>
      <c r="FH5" s="20">
        <f t="shared" si="22"/>
        <v>17.063280696299408</v>
      </c>
      <c r="FI5" s="59">
        <f t="shared" si="23"/>
        <v>199.1673598608696</v>
      </c>
      <c r="FJ5" s="59">
        <f ca="1">AVERAGE(OFFSET($FI$3,0,0,'Données projet'!$E$16+1,1))-AVERAGE(OFFSET($H$3,0,0,'Données projet'!$E$16+1,1))</f>
        <v>365.63278362856033</v>
      </c>
      <c r="FK5" s="59">
        <f t="shared" ref="FK5:FK68" si="48">$FK$3</f>
        <v>290.68267842697452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5.0742105263157899</v>
      </c>
      <c r="FZ5" s="12">
        <f>IF('Données projet'!$A$244&gt;35,FZ4+FY5-GH4,IF(A5&lt;'Données projet'!$A$244,$FW$205^A5,IF(A5='Données projet'!$A$244,'Données projet'!$B$244,FZ4+FY5-GH4)))</f>
        <v>10.14842105263158</v>
      </c>
      <c r="GA5" s="17">
        <f>FZ5*VLOOKUP('Données projet'!$B$17,Paramètres!$A$1:$I$89,3,0)*VLOOKUP('Données projet'!$B$17,Paramètres!$A$1:$I$89,5,0)</f>
        <v>8.7073452631578974</v>
      </c>
      <c r="GB5" s="13">
        <f t="shared" ref="GB5:GB68" si="49">EXP(-1.0587+0.8836*LN(GA5)+0.284)</f>
        <v>3.1191418605552053</v>
      </c>
      <c r="GC5" s="20">
        <f t="shared" si="25"/>
        <v>20.597798407133652</v>
      </c>
      <c r="GD5" s="59">
        <f t="shared" si="26"/>
        <v>202.70187757170385</v>
      </c>
      <c r="GE5" s="59">
        <f ca="1">AVERAGE(OFFSET($GD$3,0,0,'Données projet'!$E$17+1,1))-AVERAGE(OFFSET($H$3,0,0,'Données projet'!$E$17+1,1))</f>
        <v>460.46300302025099</v>
      </c>
      <c r="GF5" s="59">
        <f t="shared" ref="GF5:GF68" si="50">$GF$3</f>
        <v>340.22534554615879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48.998082196397931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9.5173333333333332</v>
      </c>
      <c r="GU5" s="12">
        <f>IF('Données projet'!$A$270&gt;35,GU4+GT5-HC4,IF(A5&lt;'Données projet'!$A$270,$GR$205^A5,IF(A5='Données projet'!$A$270,'Données projet'!$B$270,GU4+GT5-HC4)))</f>
        <v>1.9376747140038861</v>
      </c>
      <c r="GV5" s="17">
        <f>GU5*VLOOKUP('Données projet'!$B$18,Paramètres!$A$1:$I$89,3,0)*VLOOKUP('Données projet'!$B$18,Paramètres!$A$1:$I$89,5,0)</f>
        <v>1.1587294789743241</v>
      </c>
      <c r="GW5" s="13">
        <f t="shared" ref="GW5:GW68" si="51">EXP(-1.0587+0.8836*LN(GV5)+0.284)</f>
        <v>0.52491213075187837</v>
      </c>
      <c r="GX5" s="20">
        <f t="shared" si="28"/>
        <v>2.9323424702731358</v>
      </c>
      <c r="GY5" s="59">
        <f t="shared" si="29"/>
        <v>185.03642163484332</v>
      </c>
      <c r="GZ5" s="59">
        <f ca="1">AVERAGE(OFFSET($GY$3,0,0,'Données projet'!$E$18+1,1))-AVERAGE(OFFSET($H$3,0,0,'Données projet'!$E$18+1,1))</f>
        <v>-15.950000000000017</v>
      </c>
      <c r="HA5" s="59">
        <f t="shared" ref="HA5:HA68" si="52">$HA$3</f>
        <v>-15.950000000000017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4.3499999999999996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15.949999999999998</v>
      </c>
      <c r="H6" s="67">
        <f t="shared" si="1"/>
        <v>192.86666666666667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5.044827586206897</v>
      </c>
      <c r="N6" s="13">
        <f>IF('Données projet'!$A$36&gt;35,N5+M6-V5,IF(A6&lt;'Données projet'!$A$36,$K$205^A6,IF(A6='Données projet'!$A$36,'Données projet'!$B$36,N5+M6-V5)))</f>
        <v>1.6749073653029987</v>
      </c>
      <c r="O6" s="13">
        <f>N6*VLOOKUP('Données projet'!$B$9,Paramètres!$A$1:$I$89,3,0)*VLOOKUP('Données projet'!$B$9,Paramètres!$A$1:$I$89,5,0)</f>
        <v>1.4631990743286998</v>
      </c>
      <c r="P6" s="13">
        <f t="shared" si="33"/>
        <v>0.64508087262728098</v>
      </c>
      <c r="Q6" s="20">
        <f t="shared" si="2"/>
        <v>3.6719209076150001</v>
      </c>
      <c r="R6" s="59">
        <f t="shared" si="0"/>
        <v>188.33412213674819</v>
      </c>
      <c r="S6" s="59">
        <f ca="1">AVERAGE(OFFSET($R$3,0,0,'Données projet'!$E$9+1,1))-AVERAGE(OFFSET($H$3,0,0,'Données projet'!$E$9+1,1))</f>
        <v>433.46721010558042</v>
      </c>
      <c r="T6" s="59">
        <f t="shared" si="34"/>
        <v>306.18862295347509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9.5173333333333332</v>
      </c>
      <c r="AI6" s="13">
        <f>IF('Données projet'!$A$62&gt;35,AI5+AH6-AQ5,IF(A6&lt;'Données projet'!$A$62,$AF$205^A6,IF(A6='Données projet'!$A$62,'Données projet'!$B$62,AI5+AH6-AQ5)))</f>
        <v>2.6972506588710381</v>
      </c>
      <c r="AJ6" s="13">
        <f>AI6*VLOOKUP('Données projet'!$B$10,Paramètres!$A$1:$I$89,3,0)*VLOOKUP('Données projet'!$B$10,Paramètres!$A$1:$I$89,5,0)</f>
        <v>1.6129558940048809</v>
      </c>
      <c r="AK6" s="13">
        <f t="shared" si="35"/>
        <v>0.70308413567220385</v>
      </c>
      <c r="AL6" s="20">
        <f t="shared" si="4"/>
        <v>4.0337697183542565</v>
      </c>
      <c r="AM6" s="59">
        <f t="shared" si="5"/>
        <v>188.69597094748744</v>
      </c>
      <c r="AN6" s="59">
        <f ca="1">AVERAGE(OFFSET($AM$3,0,0,'Données projet'!$E$10+1,1))-AVERAGE(OFFSET($H$3,0,0,'Données projet'!$E$10+1,1))</f>
        <v>400.1942260113168</v>
      </c>
      <c r="AO6" s="59">
        <f t="shared" si="36"/>
        <v>497.04866930593926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12.5</v>
      </c>
      <c r="BD6" s="12">
        <f>IF('Données projet'!$A$88&gt;35,BD5+BC6-BL5,IF(A6&lt;'Données projet'!$A$88,$BA$205^A6,IF(A6='Données projet'!$A$88,'Données projet'!$B$88,BD5+BC6-BL5)))</f>
        <v>4.2566996126039225</v>
      </c>
      <c r="BE6" s="13">
        <f>BD6*VLOOKUP('Données projet'!$B$11,Paramètres!$A$1:$I$89,3,0)*VLOOKUP('Données projet'!$B$11,Paramètres!$A$1:$I$89,5,0)</f>
        <v>2.7225850722214688</v>
      </c>
      <c r="BF6" s="13">
        <f t="shared" si="37"/>
        <v>1.1166104347398864</v>
      </c>
      <c r="BG6" s="20">
        <f t="shared" si="7"/>
        <v>6.6865988412910271</v>
      </c>
      <c r="BH6" s="59">
        <f t="shared" si="8"/>
        <v>191.3488000704242</v>
      </c>
      <c r="BI6" s="59">
        <f ca="1">AVERAGE(OFFSET($BH$3,0,0,'Données projet'!$E$11+1,1))-AVERAGE(OFFSET($H$3,0,0,'Données projet'!$E$11+1,1))</f>
        <v>284.78505691662588</v>
      </c>
      <c r="BJ6" s="59">
        <f t="shared" si="38"/>
        <v>664.42623058686308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12.5</v>
      </c>
      <c r="BY6" s="12">
        <f>IF('Données projet'!$A$114&gt;35,BY5+BX6-CG5,IF(A6&lt;'Données projet'!$A$114,$BV$205^A6,IF(A6='Données projet'!$A$114,'Données projet'!$B$114,BY5+BX6-CG5)))</f>
        <v>4.2566996126039225</v>
      </c>
      <c r="BZ6" s="13">
        <f>BY6*VLOOKUP('Données projet'!$B$12,Paramètres!$A$1:$I$89,3,0)*VLOOKUP('Données projet'!$B$12,Paramètres!$A$1:$I$89,5,0)</f>
        <v>3.7186527815707868</v>
      </c>
      <c r="CA6" s="13">
        <f t="shared" si="39"/>
        <v>1.4707701493876957</v>
      </c>
      <c r="CB6" s="20">
        <f t="shared" si="10"/>
        <v>9.0382449380860219</v>
      </c>
      <c r="CC6" s="59">
        <f t="shared" si="11"/>
        <v>193.70044616721921</v>
      </c>
      <c r="CD6" s="59">
        <f ca="1">AVERAGE(OFFSET($CC$3,0,0,'Données projet'!$E$12+1,1))-AVERAGE(OFFSET($H$3,0,0,'Données projet'!$E$12+1,1))</f>
        <v>380.64318988568527</v>
      </c>
      <c r="CE6" s="59">
        <f t="shared" si="40"/>
        <v>885.24651320439159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9.2928571428571427</v>
      </c>
      <c r="CT6" s="12">
        <f>IF('Données projet'!$A$140&gt;35,CT5+CS6-DB5,IF(A6&lt;'Données projet'!$A$140,$CQ$205^A6,IF(A6='Données projet'!$A$140,'Données projet'!$B$140,CT5+CS6-DB5)))</f>
        <v>2.1242005059509705</v>
      </c>
      <c r="CU6" s="17">
        <f>CT6*VLOOKUP('Données projet'!$B$13,Paramètres!$A$1:$I$89,3,0)*VLOOKUP('Données projet'!$B$13,Paramètres!$A$1:$I$89,5,0)</f>
        <v>1.1874280828265924</v>
      </c>
      <c r="CV6" s="13">
        <f t="shared" si="41"/>
        <v>0.53638310395648459</v>
      </c>
      <c r="CW6" s="20">
        <f t="shared" si="13"/>
        <v>3.0023044836471922</v>
      </c>
      <c r="CX6" s="59">
        <f t="shared" si="14"/>
        <v>187.66450571278037</v>
      </c>
      <c r="CY6" s="59">
        <f ca="1">AVERAGE(OFFSET($CX$3,0,0,'Données projet'!$E$13+1,1))-AVERAGE(OFFSET($H$3,0,0,'Données projet'!$E$13+1,1))</f>
        <v>404.10467005188889</v>
      </c>
      <c r="CZ6" s="59">
        <f t="shared" si="42"/>
        <v>372.70490129557845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3.1761666666666666</v>
      </c>
      <c r="DO6" s="12">
        <f>IF('Données projet'!$A$166&gt;35,DO5+DN6-DW5,IF(A6&lt;'Données projet'!$A$166,$DL$205^A6,IF(A6='Données projet'!$A$166,'Données projet'!$B$166,DO5+DN6-DW5)))</f>
        <v>9.5284999999999993</v>
      </c>
      <c r="DP6" s="17">
        <f>DO6*VLOOKUP('Données projet'!$B$14,Paramètres!$A$1:$I$89,3,0)*VLOOKUP('Données projet'!$B$14,Paramètres!$A$1:$I$89,5,0)</f>
        <v>8.6213867999999998</v>
      </c>
      <c r="DQ6" s="13">
        <f t="shared" si="43"/>
        <v>3.091918352812089</v>
      </c>
      <c r="DR6" s="20">
        <f t="shared" si="16"/>
        <v>20.40067314114772</v>
      </c>
      <c r="DS6" s="59">
        <f t="shared" si="17"/>
        <v>205.06287437028089</v>
      </c>
      <c r="DT6" s="59">
        <f ca="1">AVERAGE(OFFSET($DS$3,0,0,'Données projet'!$E$14+1,1))-AVERAGE(OFFSET($H$3,0,0,'Données projet'!$E$14+1,1))</f>
        <v>479.53113328461268</v>
      </c>
      <c r="DU6" s="59">
        <f t="shared" si="44"/>
        <v>244.6360664588118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11.239444444444445</v>
      </c>
      <c r="EJ6" s="12">
        <f>IF('Données projet'!$A$192&gt;35,EJ5+EI6-ER5,IF(A6&lt;'Données projet'!$A$192,$EG$205^A6,IF(A6='Données projet'!$A$192,'Données projet'!$B$192,EJ5+EI6-ER5)))</f>
        <v>2.4229041009643741</v>
      </c>
      <c r="EK6" s="17">
        <f>EJ6*VLOOKUP('Données projet'!$B$15,Paramètres!$A$1:$I$89,3,0)*VLOOKUP('Données projet'!$B$15,Paramètres!$A$1:$I$89,5,0)</f>
        <v>1.0709236126262536</v>
      </c>
      <c r="EL6" s="13">
        <f t="shared" si="45"/>
        <v>0.48960593139748082</v>
      </c>
      <c r="EM6" s="20">
        <f t="shared" si="19"/>
        <v>2.717922289174671</v>
      </c>
      <c r="EN6" s="59">
        <f t="shared" si="20"/>
        <v>187.38012351830787</v>
      </c>
      <c r="EO6" s="59">
        <f ca="1">AVERAGE(OFFSET($EN$3,0,0,'Données projet'!$E$15+1,1))-AVERAGE(OFFSET($H$3,0,0,'Données projet'!$E$15+1,1))</f>
        <v>339.23049610652492</v>
      </c>
      <c r="EP6" s="59">
        <f t="shared" si="46"/>
        <v>448.85057640789785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7.6601960784313725</v>
      </c>
      <c r="FE6" s="12">
        <f>IF('Données projet'!$A$218&gt;35,FE5+FD6-FM5,IF(A6&lt;'Données projet'!$A$218,$FB$205^A6,IF(A6='Données projet'!$A$218,'Données projet'!$B$218,FE5+FD6-FM5)))</f>
        <v>22.980588235294118</v>
      </c>
      <c r="FF6" s="17">
        <f>FE6*VLOOKUP('Données projet'!$B$16,Paramètres!$A$1:$I$89,3,0)*VLOOKUP('Données projet'!$B$16,Paramètres!$A$1:$I$89,5,0)</f>
        <v>10.754915294117646</v>
      </c>
      <c r="FG6" s="13">
        <f t="shared" si="47"/>
        <v>3.7590664677404781</v>
      </c>
      <c r="FH6" s="20">
        <f t="shared" si="22"/>
        <v>25.278518235236231</v>
      </c>
      <c r="FI6" s="59">
        <f t="shared" si="23"/>
        <v>209.94071946436941</v>
      </c>
      <c r="FJ6" s="59">
        <f ca="1">AVERAGE(OFFSET($FI$3,0,0,'Données projet'!$E$16+1,1))-AVERAGE(OFFSET($H$3,0,0,'Données projet'!$E$16+1,1))</f>
        <v>365.63278362856033</v>
      </c>
      <c r="FK6" s="59">
        <f t="shared" si="48"/>
        <v>290.68267842697452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5.0742105263157899</v>
      </c>
      <c r="FZ6" s="12">
        <f>IF('Données projet'!$A$244&gt;35,FZ5+FY6-GH5,IF(A6&lt;'Données projet'!$A$244,$FW$205^A6,IF(A6='Données projet'!$A$244,'Données projet'!$B$244,FZ5+FY6-GH5)))</f>
        <v>15.22263157894737</v>
      </c>
      <c r="GA6" s="17">
        <f>FZ6*VLOOKUP('Données projet'!$B$17,Paramètres!$A$1:$I$89,3,0)*VLOOKUP('Données projet'!$B$17,Paramètres!$A$1:$I$89,5,0)</f>
        <v>13.061017894736846</v>
      </c>
      <c r="GB6" s="13">
        <f t="shared" si="49"/>
        <v>4.4630254533339428</v>
      </c>
      <c r="GC6" s="20">
        <f t="shared" si="25"/>
        <v>30.521042164556622</v>
      </c>
      <c r="GD6" s="59">
        <f t="shared" si="26"/>
        <v>215.18324339368982</v>
      </c>
      <c r="GE6" s="59">
        <f ca="1">AVERAGE(OFFSET($GD$3,0,0,'Données projet'!$E$17+1,1))-AVERAGE(OFFSET($H$3,0,0,'Données projet'!$E$17+1,1))</f>
        <v>460.46300302025099</v>
      </c>
      <c r="GF6" s="59">
        <f t="shared" si="50"/>
        <v>340.22534554615879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49.362418517036325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9.5173333333333332</v>
      </c>
      <c r="GU6" s="12">
        <f>IF('Données projet'!$A$270&gt;35,GU5+GT6-HC5,IF(A6&lt;'Données projet'!$A$270,$GR$205^A6,IF(A6='Données projet'!$A$270,'Données projet'!$B$270,GU5+GT6-HC5)))</f>
        <v>2.6972506588710381</v>
      </c>
      <c r="GV6" s="17">
        <f>GU6*VLOOKUP('Données projet'!$B$18,Paramètres!$A$1:$I$89,3,0)*VLOOKUP('Données projet'!$B$18,Paramètres!$A$1:$I$89,5,0)</f>
        <v>1.6129558940048809</v>
      </c>
      <c r="GW6" s="13">
        <f t="shared" si="51"/>
        <v>0.70308413567220385</v>
      </c>
      <c r="GX6" s="20">
        <f t="shared" si="28"/>
        <v>4.0337697183542565</v>
      </c>
      <c r="GY6" s="59">
        <f t="shared" si="29"/>
        <v>188.69597094748744</v>
      </c>
      <c r="GZ6" s="59">
        <f ca="1">AVERAGE(OFFSET($GY$3,0,0,'Données projet'!$E$18+1,1))-AVERAGE(OFFSET($H$3,0,0,'Données projet'!$E$18+1,1))</f>
        <v>-15.950000000000017</v>
      </c>
      <c r="HA6" s="59">
        <f t="shared" si="52"/>
        <v>-15.950000000000017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4.3499999999999996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15.949999999999998</v>
      </c>
      <c r="H7" s="67">
        <f t="shared" si="1"/>
        <v>192.86666666666667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5.044827586206897</v>
      </c>
      <c r="N7" s="13">
        <f>IF('Données projet'!$A$36&gt;35,N6+M7-V6,IF(A7&lt;'Données projet'!$A$36,$K$205^A7,IF(A7='Données projet'!$A$36,'Données projet'!$B$36,N6+M7-V6)))</f>
        <v>1.9890897975458892</v>
      </c>
      <c r="O7" s="13">
        <f>N7*VLOOKUP('Données projet'!$B$9,Paramètres!$A$1:$I$89,3,0)*VLOOKUP('Données projet'!$B$9,Paramètres!$A$1:$I$89,5,0)</f>
        <v>1.737668847136089</v>
      </c>
      <c r="P7" s="13">
        <f t="shared" si="33"/>
        <v>0.75090832548864994</v>
      </c>
      <c r="Q7" s="20">
        <f t="shared" si="2"/>
        <v>4.3342719089880859</v>
      </c>
      <c r="R7" s="59">
        <f t="shared" si="0"/>
        <v>191.53142032704426</v>
      </c>
      <c r="S7" s="59">
        <f ca="1">AVERAGE(OFFSET($R$3,0,0,'Données projet'!$E$9+1,1))-AVERAGE(OFFSET($H$3,0,0,'Données projet'!$E$9+1,1))</f>
        <v>433.46721010558042</v>
      </c>
      <c r="T7" s="59">
        <f t="shared" si="34"/>
        <v>306.18862295347509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9.5173333333333332</v>
      </c>
      <c r="AI7" s="13">
        <f>IF('Données projet'!$A$62&gt;35,AI6+AH7-AQ6,IF(A7&lt;'Données projet'!$A$62,$AF$205^A7,IF(A7='Données projet'!$A$62,'Données projet'!$B$62,AI6+AH7-AQ6)))</f>
        <v>3.7545832972900421</v>
      </c>
      <c r="AJ7" s="13">
        <f>AI7*VLOOKUP('Données projet'!$B$10,Paramètres!$A$1:$I$89,3,0)*VLOOKUP('Données projet'!$B$10,Paramètres!$A$1:$I$89,5,0)</f>
        <v>2.2452408117794453</v>
      </c>
      <c r="AK7" s="13">
        <f t="shared" si="35"/>
        <v>0.94173343093797601</v>
      </c>
      <c r="AL7" s="20">
        <f t="shared" si="4"/>
        <v>5.550646806066176</v>
      </c>
      <c r="AM7" s="59">
        <f t="shared" si="5"/>
        <v>192.74779522412234</v>
      </c>
      <c r="AN7" s="59">
        <f ca="1">AVERAGE(OFFSET($AM$3,0,0,'Données projet'!$E$10+1,1))-AVERAGE(OFFSET($H$3,0,0,'Données projet'!$E$10+1,1))</f>
        <v>400.1942260113168</v>
      </c>
      <c r="AO7" s="59">
        <f t="shared" si="36"/>
        <v>497.04866930593926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12.5</v>
      </c>
      <c r="BD7" s="12">
        <f>IF('Données projet'!$A$88&gt;35,BD6+BC7-BL6,IF(A7&lt;'Données projet'!$A$88,$BA$205^A7,IF(A7='Données projet'!$A$88,'Données projet'!$B$88,BD6+BC7-BL6)))</f>
        <v>6.8986483073060727</v>
      </c>
      <c r="BE7" s="13">
        <f>BD7*VLOOKUP('Données projet'!$B$11,Paramètres!$A$1:$I$89,3,0)*VLOOKUP('Données projet'!$B$11,Paramètres!$A$1:$I$89,5,0)</f>
        <v>4.4123754573529643</v>
      </c>
      <c r="BF7" s="13">
        <f t="shared" si="37"/>
        <v>1.7107425239175733</v>
      </c>
      <c r="BG7" s="20">
        <f t="shared" si="7"/>
        <v>10.664430484046186</v>
      </c>
      <c r="BH7" s="59">
        <f t="shared" si="8"/>
        <v>197.86157890210237</v>
      </c>
      <c r="BI7" s="59">
        <f ca="1">AVERAGE(OFFSET($BH$3,0,0,'Données projet'!$E$11+1,1))-AVERAGE(OFFSET($H$3,0,0,'Données projet'!$E$11+1,1))</f>
        <v>284.78505691662588</v>
      </c>
      <c r="BJ7" s="59">
        <f t="shared" si="38"/>
        <v>664.42623058686308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12.5</v>
      </c>
      <c r="BY7" s="12">
        <f>IF('Données projet'!$A$114&gt;35,BY6+BX7-CG6,IF(A7&lt;'Données projet'!$A$114,$BV$205^A7,IF(A7='Données projet'!$A$114,'Données projet'!$B$114,BY6+BX7-CG6)))</f>
        <v>6.8986483073060727</v>
      </c>
      <c r="BZ7" s="13">
        <f>BY7*VLOOKUP('Données projet'!$B$12,Paramètres!$A$1:$I$89,3,0)*VLOOKUP('Données projet'!$B$12,Paramètres!$A$1:$I$89,5,0)</f>
        <v>6.0266591612625859</v>
      </c>
      <c r="CA7" s="13">
        <f t="shared" si="39"/>
        <v>2.2533454454527457</v>
      </c>
      <c r="CB7" s="20">
        <f t="shared" si="10"/>
        <v>14.421008023362537</v>
      </c>
      <c r="CC7" s="59">
        <f t="shared" si="11"/>
        <v>201.61815644141871</v>
      </c>
      <c r="CD7" s="59">
        <f ca="1">AVERAGE(OFFSET($CC$3,0,0,'Données projet'!$E$12+1,1))-AVERAGE(OFFSET($H$3,0,0,'Données projet'!$E$12+1,1))</f>
        <v>380.64318988568527</v>
      </c>
      <c r="CE7" s="59">
        <f t="shared" si="40"/>
        <v>885.24651320439159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9.2928571428571427</v>
      </c>
      <c r="CT7" s="12">
        <f>IF('Données projet'!$A$140&gt;35,CT6+CS7-DB6,IF(A7&lt;'Données projet'!$A$140,$CQ$205^A7,IF(A7='Données projet'!$A$140,'Données projet'!$B$140,CT6+CS7-DB6)))</f>
        <v>2.7306162931315199</v>
      </c>
      <c r="CU7" s="17">
        <f>CT7*VLOOKUP('Données projet'!$B$13,Paramètres!$A$1:$I$89,3,0)*VLOOKUP('Données projet'!$B$13,Paramètres!$A$1:$I$89,5,0)</f>
        <v>1.5264145078605198</v>
      </c>
      <c r="CV7" s="13">
        <f t="shared" si="41"/>
        <v>0.66964568196400076</v>
      </c>
      <c r="CW7" s="20">
        <f t="shared" si="13"/>
        <v>3.8248048306110398</v>
      </c>
      <c r="CX7" s="59">
        <f t="shared" si="14"/>
        <v>191.02195324866722</v>
      </c>
      <c r="CY7" s="59">
        <f ca="1">AVERAGE(OFFSET($CX$3,0,0,'Données projet'!$E$13+1,1))-AVERAGE(OFFSET($H$3,0,0,'Données projet'!$E$13+1,1))</f>
        <v>404.10467005188889</v>
      </c>
      <c r="CZ7" s="59">
        <f t="shared" si="42"/>
        <v>372.70490129557845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3.1761666666666666</v>
      </c>
      <c r="DO7" s="12">
        <f>IF('Données projet'!$A$166&gt;35,DO6+DN7-DW6,IF(A7&lt;'Données projet'!$A$166,$DL$205^A7,IF(A7='Données projet'!$A$166,'Données projet'!$B$166,DO6+DN7-DW6)))</f>
        <v>12.704666666666666</v>
      </c>
      <c r="DP7" s="17">
        <f>DO7*VLOOKUP('Données projet'!$B$14,Paramètres!$A$1:$I$89,3,0)*VLOOKUP('Données projet'!$B$14,Paramètres!$A$1:$I$89,5,0)</f>
        <v>11.495182399999999</v>
      </c>
      <c r="DQ7" s="13">
        <f t="shared" si="43"/>
        <v>3.986794815316808</v>
      </c>
      <c r="DR7" s="20">
        <f t="shared" si="16"/>
        <v>26.9644436500101</v>
      </c>
      <c r="DS7" s="59">
        <f t="shared" si="17"/>
        <v>214.16159206806628</v>
      </c>
      <c r="DT7" s="59">
        <f ca="1">AVERAGE(OFFSET($DS$3,0,0,'Données projet'!$E$14+1,1))-AVERAGE(OFFSET($H$3,0,0,'Données projet'!$E$14+1,1))</f>
        <v>479.53113328461268</v>
      </c>
      <c r="DU7" s="59">
        <f t="shared" si="44"/>
        <v>244.6360664588118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11.239444444444445</v>
      </c>
      <c r="EJ7" s="12">
        <f>IF('Données projet'!$A$192&gt;35,EJ6+EI7-ER6,IF(A7&lt;'Données projet'!$A$192,$EG$205^A7,IF(A7='Données projet'!$A$192,'Données projet'!$B$192,EJ6+EI7-ER6)))</f>
        <v>3.2542304165966645</v>
      </c>
      <c r="EK7" s="17">
        <f>EJ7*VLOOKUP('Données projet'!$B$15,Paramètres!$A$1:$I$89,3,0)*VLOOKUP('Données projet'!$B$15,Paramètres!$A$1:$I$89,5,0)</f>
        <v>1.438369844135726</v>
      </c>
      <c r="EL7" s="13">
        <f t="shared" si="45"/>
        <v>0.63539896045363298</v>
      </c>
      <c r="EM7" s="20">
        <f t="shared" si="19"/>
        <v>3.6118140013264668</v>
      </c>
      <c r="EN7" s="59">
        <f t="shared" si="20"/>
        <v>190.80896241938265</v>
      </c>
      <c r="EO7" s="59">
        <f ca="1">AVERAGE(OFFSET($EN$3,0,0,'Données projet'!$E$15+1,1))-AVERAGE(OFFSET($H$3,0,0,'Données projet'!$E$15+1,1))</f>
        <v>339.23049610652492</v>
      </c>
      <c r="EP7" s="59">
        <f t="shared" si="46"/>
        <v>448.85057640789785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7.6601960784313725</v>
      </c>
      <c r="FE7" s="12">
        <f>IF('Données projet'!$A$218&gt;35,FE6+FD7-FM6,IF(A7&lt;'Données projet'!$A$218,$FB$205^A7,IF(A7='Données projet'!$A$218,'Données projet'!$B$218,FE6+FD7-FM6)))</f>
        <v>30.64078431372549</v>
      </c>
      <c r="FF7" s="17">
        <f>FE7*VLOOKUP('Données projet'!$B$16,Paramètres!$A$1:$I$89,3,0)*VLOOKUP('Données projet'!$B$16,Paramètres!$A$1:$I$89,5,0)</f>
        <v>14.339887058823528</v>
      </c>
      <c r="FG7" s="13">
        <f t="shared" si="47"/>
        <v>4.8470318404070136</v>
      </c>
      <c r="FH7" s="20">
        <f t="shared" si="22"/>
        <v>33.417217082826525</v>
      </c>
      <c r="FI7" s="59">
        <f t="shared" si="23"/>
        <v>220.61436550088268</v>
      </c>
      <c r="FJ7" s="59">
        <f ca="1">AVERAGE(OFFSET($FI$3,0,0,'Données projet'!$E$16+1,1))-AVERAGE(OFFSET($H$3,0,0,'Données projet'!$E$16+1,1))</f>
        <v>365.63278362856033</v>
      </c>
      <c r="FK7" s="59">
        <f t="shared" si="48"/>
        <v>290.68267842697452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5.0742105263157899</v>
      </c>
      <c r="FZ7" s="12">
        <f>IF('Données projet'!$A$244&gt;35,FZ6+FY7-GH6,IF(A7&lt;'Données projet'!$A$244,$FW$205^A7,IF(A7='Données projet'!$A$244,'Données projet'!$B$244,FZ6+FY7-GH6)))</f>
        <v>20.29684210526316</v>
      </c>
      <c r="GA7" s="17">
        <f>FZ7*VLOOKUP('Données projet'!$B$17,Paramètres!$A$1:$I$89,3,0)*VLOOKUP('Données projet'!$B$17,Paramètres!$A$1:$I$89,5,0)</f>
        <v>17.414690526315795</v>
      </c>
      <c r="GB7" s="13">
        <f t="shared" si="49"/>
        <v>5.7547336985130553</v>
      </c>
      <c r="GC7" s="20">
        <f t="shared" si="25"/>
        <v>40.353413858243577</v>
      </c>
      <c r="GD7" s="59">
        <f t="shared" si="26"/>
        <v>227.55056227629976</v>
      </c>
      <c r="GE7" s="59">
        <f ca="1">AVERAGE(OFFSET($GD$3,0,0,'Données projet'!$E$17+1,1))-AVERAGE(OFFSET($H$3,0,0,'Données projet'!$E$17+1,1))</f>
        <v>460.46300302025099</v>
      </c>
      <c r="GF7" s="59">
        <f t="shared" si="50"/>
        <v>340.22534554615879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49.720434417045624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9.5173333333333332</v>
      </c>
      <c r="GU7" s="12">
        <f>IF('Données projet'!$A$270&gt;35,GU6+GT7-HC6,IF(A7&lt;'Données projet'!$A$270,$GR$205^A7,IF(A7='Données projet'!$A$270,'Données projet'!$B$270,GU6+GT7-HC6)))</f>
        <v>3.7545832972900421</v>
      </c>
      <c r="GV7" s="17">
        <f>GU7*VLOOKUP('Données projet'!$B$18,Paramètres!$A$1:$I$89,3,0)*VLOOKUP('Données projet'!$B$18,Paramètres!$A$1:$I$89,5,0)</f>
        <v>2.2452408117794453</v>
      </c>
      <c r="GW7" s="13">
        <f t="shared" si="51"/>
        <v>0.94173343093797601</v>
      </c>
      <c r="GX7" s="20">
        <f t="shared" si="28"/>
        <v>5.550646806066176</v>
      </c>
      <c r="GY7" s="59">
        <f t="shared" si="29"/>
        <v>192.74779522412234</v>
      </c>
      <c r="GZ7" s="59">
        <f ca="1">AVERAGE(OFFSET($GY$3,0,0,'Données projet'!$E$18+1,1))-AVERAGE(OFFSET($H$3,0,0,'Données projet'!$E$18+1,1))</f>
        <v>-15.950000000000017</v>
      </c>
      <c r="HA7" s="59">
        <f t="shared" si="52"/>
        <v>-15.950000000000017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4.3499999999999996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15.949999999999998</v>
      </c>
      <c r="H8" s="67">
        <f t="shared" si="1"/>
        <v>192.86666666666667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5.044827586206897</v>
      </c>
      <c r="N8" s="13">
        <f>IF('Données projet'!$A$36&gt;35,N7+M8-V7,IF(A8&lt;'Données projet'!$A$36,$K$205^A8,IF(A8='Données projet'!$A$36,'Données projet'!$B$36,N7+M8-V7)))</f>
        <v>2.3622071910737588</v>
      </c>
      <c r="O8" s="13">
        <f>N8*VLOOKUP('Données projet'!$B$9,Paramètres!$A$1:$I$89,3,0)*VLOOKUP('Données projet'!$B$9,Paramètres!$A$1:$I$89,5,0)</f>
        <v>2.0636242021220359</v>
      </c>
      <c r="P8" s="13">
        <f t="shared" si="33"/>
        <v>0.87409708955044585</v>
      </c>
      <c r="Q8" s="20">
        <f t="shared" si="2"/>
        <v>5.1165312496629056</v>
      </c>
      <c r="R8" s="59">
        <f t="shared" si="0"/>
        <v>194.82585401328322</v>
      </c>
      <c r="S8" s="59">
        <f ca="1">AVERAGE(OFFSET($R$3,0,0,'Données projet'!$E$9+1,1))-AVERAGE(OFFSET($H$3,0,0,'Données projet'!$E$9+1,1))</f>
        <v>433.46721010558042</v>
      </c>
      <c r="T8" s="59">
        <f t="shared" si="34"/>
        <v>306.18862295347509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9.5173333333333332</v>
      </c>
      <c r="AI8" s="13">
        <f>IF('Données projet'!$A$62&gt;35,AI7+AH8-AQ7,IF(A8&lt;'Données projet'!$A$62,$AF$205^A8,IF(A8='Données projet'!$A$62,'Données projet'!$B$62,AI7+AH8-AQ7)))</f>
        <v>5.2263943990247324</v>
      </c>
      <c r="AJ8" s="13">
        <f>AI8*VLOOKUP('Données projet'!$B$10,Paramètres!$A$1:$I$89,3,0)*VLOOKUP('Données projet'!$B$10,Paramètres!$A$1:$I$89,5,0)</f>
        <v>3.1253838506167906</v>
      </c>
      <c r="AK8" s="13">
        <f t="shared" si="35"/>
        <v>1.261387947686093</v>
      </c>
      <c r="AL8" s="20">
        <f t="shared" si="4"/>
        <v>7.640294215377522</v>
      </c>
      <c r="AM8" s="59">
        <f t="shared" si="5"/>
        <v>197.34961697899783</v>
      </c>
      <c r="AN8" s="59">
        <f ca="1">AVERAGE(OFFSET($AM$3,0,0,'Données projet'!$E$10+1,1))-AVERAGE(OFFSET($H$3,0,0,'Données projet'!$E$10+1,1))</f>
        <v>400.1942260113168</v>
      </c>
      <c r="AO8" s="59">
        <f t="shared" si="36"/>
        <v>497.04866930593926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12.5</v>
      </c>
      <c r="BD8" s="12">
        <f>IF('Données projet'!$A$88&gt;35,BD7+BC8-BL7,IF(A8&lt;'Données projet'!$A$88,$BA$205^A8,IF(A8='Données projet'!$A$88,'Données projet'!$B$88,BD7+BC8-BL7)))</f>
        <v>11.180339887498945</v>
      </c>
      <c r="BE8" s="13">
        <f>BD8*VLOOKUP('Données projet'!$B$11,Paramètres!$A$1:$I$89,3,0)*VLOOKUP('Données projet'!$B$11,Paramètres!$A$1:$I$89,5,0)</f>
        <v>7.1509453920443251</v>
      </c>
      <c r="BF8" s="13">
        <f t="shared" si="37"/>
        <v>2.6210036124385914</v>
      </c>
      <c r="BG8" s="20">
        <f t="shared" si="7"/>
        <v>17.019477849474413</v>
      </c>
      <c r="BH8" s="59">
        <f t="shared" si="8"/>
        <v>206.72880061309473</v>
      </c>
      <c r="BI8" s="59">
        <f ca="1">AVERAGE(OFFSET($BH$3,0,0,'Données projet'!$E$11+1,1))-AVERAGE(OFFSET($H$3,0,0,'Données projet'!$E$11+1,1))</f>
        <v>284.78505691662588</v>
      </c>
      <c r="BJ8" s="59">
        <f t="shared" si="38"/>
        <v>664.42623058686308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12.5</v>
      </c>
      <c r="BY8" s="12">
        <f>IF('Données projet'!$A$114&gt;35,BY7+BX8-CG7,IF(A8&lt;'Données projet'!$A$114,$BV$205^A8,IF(A8='Données projet'!$A$114,'Données projet'!$B$114,BY7+BX8-CG7)))</f>
        <v>11.180339887498945</v>
      </c>
      <c r="BZ8" s="13">
        <f>BY8*VLOOKUP('Données projet'!$B$12,Paramètres!$A$1:$I$89,3,0)*VLOOKUP('Données projet'!$B$12,Paramètres!$A$1:$I$89,5,0)</f>
        <v>9.7671449257190801</v>
      </c>
      <c r="CA8" s="13">
        <f t="shared" si="39"/>
        <v>3.4523176164926235</v>
      </c>
      <c r="CB8" s="20">
        <f t="shared" si="10"/>
        <v>23.023897261018718</v>
      </c>
      <c r="CC8" s="59">
        <f t="shared" si="11"/>
        <v>212.73322002463902</v>
      </c>
      <c r="CD8" s="59">
        <f ca="1">AVERAGE(OFFSET($CC$3,0,0,'Données projet'!$E$12+1,1))-AVERAGE(OFFSET($H$3,0,0,'Données projet'!$E$12+1,1))</f>
        <v>380.64318988568527</v>
      </c>
      <c r="CE8" s="59">
        <f t="shared" si="40"/>
        <v>885.24651320439159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9.2928571428571427</v>
      </c>
      <c r="CT8" s="12">
        <f>IF('Données projet'!$A$140&gt;35,CT7+CS8-DB7,IF(A8&lt;'Données projet'!$A$140,$CQ$205^A8,IF(A8='Données projet'!$A$140,'Données projet'!$B$140,CT7+CS8-DB7)))</f>
        <v>3.5101513813910294</v>
      </c>
      <c r="CU8" s="17">
        <f>CT8*VLOOKUP('Données projet'!$B$13,Paramètres!$A$1:$I$89,3,0)*VLOOKUP('Données projet'!$B$13,Paramètres!$A$1:$I$89,5,0)</f>
        <v>1.9621746221975855</v>
      </c>
      <c r="CV8" s="13">
        <f t="shared" si="41"/>
        <v>0.83601689923739897</v>
      </c>
      <c r="CW8" s="20">
        <f t="shared" si="13"/>
        <v>4.8735168998325982</v>
      </c>
      <c r="CX8" s="59">
        <f t="shared" si="14"/>
        <v>194.58283966345292</v>
      </c>
      <c r="CY8" s="59">
        <f ca="1">AVERAGE(OFFSET($CX$3,0,0,'Données projet'!$E$13+1,1))-AVERAGE(OFFSET($H$3,0,0,'Données projet'!$E$13+1,1))</f>
        <v>404.10467005188889</v>
      </c>
      <c r="CZ8" s="59">
        <f t="shared" si="42"/>
        <v>372.70490129557845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3.1761666666666666</v>
      </c>
      <c r="DO8" s="12">
        <f>IF('Données projet'!$A$166&gt;35,DO7+DN8-DW7,IF(A8&lt;'Données projet'!$A$166,$DL$205^A8,IF(A8='Données projet'!$A$166,'Données projet'!$B$166,DO7+DN8-DW7)))</f>
        <v>15.880833333333333</v>
      </c>
      <c r="DP8" s="17">
        <f>DO8*VLOOKUP('Données projet'!$B$14,Paramètres!$A$1:$I$89,3,0)*VLOOKUP('Données projet'!$B$14,Paramètres!$A$1:$I$89,5,0)</f>
        <v>14.368978</v>
      </c>
      <c r="DQ8" s="13">
        <f t="shared" si="43"/>
        <v>4.8557192916500513</v>
      </c>
      <c r="DR8" s="20">
        <f t="shared" si="16"/>
        <v>33.483014449623838</v>
      </c>
      <c r="DS8" s="59">
        <f t="shared" si="17"/>
        <v>223.19233721324417</v>
      </c>
      <c r="DT8" s="59">
        <f ca="1">AVERAGE(OFFSET($DS$3,0,0,'Données projet'!$E$14+1,1))-AVERAGE(OFFSET($H$3,0,0,'Données projet'!$E$14+1,1))</f>
        <v>479.53113328461268</v>
      </c>
      <c r="DU8" s="59">
        <f t="shared" si="44"/>
        <v>244.6360664588118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11.239444444444445</v>
      </c>
      <c r="EJ8" s="12">
        <f>IF('Données projet'!$A$192&gt;35,EJ7+EI8-ER7,IF(A8&lt;'Données projet'!$A$192,$EG$205^A8,IF(A8='Données projet'!$A$192,'Données projet'!$B$192,EJ7+EI8-ER7)))</f>
        <v>4.3707943703128072</v>
      </c>
      <c r="EK8" s="17">
        <f>EJ8*VLOOKUP('Données projet'!$B$15,Paramètres!$A$1:$I$89,3,0)*VLOOKUP('Données projet'!$B$15,Paramètres!$A$1:$I$89,5,0)</f>
        <v>1.9318911116782609</v>
      </c>
      <c r="EL8" s="13">
        <f t="shared" si="45"/>
        <v>0.82460569420224694</v>
      </c>
      <c r="EM8" s="20">
        <f t="shared" si="19"/>
        <v>4.8008986035752175</v>
      </c>
      <c r="EN8" s="59">
        <f t="shared" si="20"/>
        <v>194.51022136719553</v>
      </c>
      <c r="EO8" s="59">
        <f ca="1">AVERAGE(OFFSET($EN$3,0,0,'Données projet'!$E$15+1,1))-AVERAGE(OFFSET($H$3,0,0,'Données projet'!$E$15+1,1))</f>
        <v>339.23049610652492</v>
      </c>
      <c r="EP8" s="59">
        <f t="shared" si="46"/>
        <v>448.85057640789785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7.6601960784313725</v>
      </c>
      <c r="FE8" s="12">
        <f>IF('Données projet'!$A$218&gt;35,FE7+FD8-FM7,IF(A8&lt;'Données projet'!$A$218,$FB$205^A8,IF(A8='Données projet'!$A$218,'Données projet'!$B$218,FE7+FD8-FM7)))</f>
        <v>38.300980392156859</v>
      </c>
      <c r="FF8" s="17">
        <f>FE8*VLOOKUP('Données projet'!$B$16,Paramètres!$A$1:$I$89,3,0)*VLOOKUP('Données projet'!$B$16,Paramètres!$A$1:$I$89,5,0)</f>
        <v>17.924858823529409</v>
      </c>
      <c r="FG8" s="13">
        <f t="shared" si="47"/>
        <v>5.9034455257853864</v>
      </c>
      <c r="FH8" s="20">
        <f t="shared" si="22"/>
        <v>41.500963408389929</v>
      </c>
      <c r="FI8" s="59">
        <f t="shared" si="23"/>
        <v>231.21028617201026</v>
      </c>
      <c r="FJ8" s="59">
        <f ca="1">AVERAGE(OFFSET($FI$3,0,0,'Données projet'!$E$16+1,1))-AVERAGE(OFFSET($H$3,0,0,'Données projet'!$E$16+1,1))</f>
        <v>365.63278362856033</v>
      </c>
      <c r="FK8" s="59">
        <f t="shared" si="48"/>
        <v>290.68267842697452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5.0742105263157899</v>
      </c>
      <c r="FZ8" s="12">
        <f>IF('Données projet'!$A$244&gt;35,FZ7+FY8-GH7,IF(A8&lt;'Données projet'!$A$244,$FW$205^A8,IF(A8='Données projet'!$A$244,'Données projet'!$B$244,FZ7+FY8-GH7)))</f>
        <v>25.371052631578948</v>
      </c>
      <c r="GA8" s="17">
        <f>FZ8*VLOOKUP('Données projet'!$B$17,Paramètres!$A$1:$I$89,3,0)*VLOOKUP('Données projet'!$B$17,Paramètres!$A$1:$I$89,5,0)</f>
        <v>21.76836315789474</v>
      </c>
      <c r="GB8" s="13">
        <f t="shared" si="49"/>
        <v>7.0089815836077811</v>
      </c>
      <c r="GC8" s="20">
        <f t="shared" si="25"/>
        <v>50.120542091450226</v>
      </c>
      <c r="GD8" s="59">
        <f t="shared" si="26"/>
        <v>239.82986485507055</v>
      </c>
      <c r="GE8" s="59">
        <f ca="1">AVERAGE(OFFSET($GD$3,0,0,'Données projet'!$E$17+1,1))-AVERAGE(OFFSET($H$3,0,0,'Données projet'!$E$17+1,1))</f>
        <v>460.46300302025099</v>
      </c>
      <c r="GF8" s="59">
        <f t="shared" si="50"/>
        <v>340.22534554615879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50.072239541593419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9.5173333333333332</v>
      </c>
      <c r="GU8" s="12">
        <f>IF('Données projet'!$A$270&gt;35,GU7+GT8-HC7,IF(A8&lt;'Données projet'!$A$270,$GR$205^A8,IF(A8='Données projet'!$A$270,'Données projet'!$B$270,GU7+GT8-HC7)))</f>
        <v>5.2263943990247324</v>
      </c>
      <c r="GV8" s="17">
        <f>GU8*VLOOKUP('Données projet'!$B$18,Paramètres!$A$1:$I$89,3,0)*VLOOKUP('Données projet'!$B$18,Paramètres!$A$1:$I$89,5,0)</f>
        <v>3.1253838506167906</v>
      </c>
      <c r="GW8" s="13">
        <f t="shared" si="51"/>
        <v>1.261387947686093</v>
      </c>
      <c r="GX8" s="20">
        <f t="shared" si="28"/>
        <v>7.640294215377522</v>
      </c>
      <c r="GY8" s="59">
        <f t="shared" si="29"/>
        <v>197.34961697899783</v>
      </c>
      <c r="GZ8" s="59">
        <f ca="1">AVERAGE(OFFSET($GY$3,0,0,'Données projet'!$E$18+1,1))-AVERAGE(OFFSET($H$3,0,0,'Données projet'!$E$18+1,1))</f>
        <v>-15.950000000000017</v>
      </c>
      <c r="HA8" s="59">
        <f t="shared" si="52"/>
        <v>-15.950000000000017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4.3499999999999996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15.949999999999998</v>
      </c>
      <c r="H9" s="67">
        <f t="shared" si="1"/>
        <v>192.86666666666667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5.044827586206897</v>
      </c>
      <c r="N9" s="13">
        <f>IF('Données projet'!$A$36&gt;35,N8+M9-V8,IF(A9&lt;'Données projet'!$A$36,$K$205^A9,IF(A9='Données projet'!$A$36,'Données projet'!$B$36,N8+M9-V8)))</f>
        <v>2.8053146823462325</v>
      </c>
      <c r="O9" s="13">
        <f>N9*VLOOKUP('Données projet'!$B$9,Paramètres!$A$1:$I$89,3,0)*VLOOKUP('Données projet'!$B$9,Paramètres!$A$1:$I$89,5,0)</f>
        <v>2.4507229064976688</v>
      </c>
      <c r="P9" s="13">
        <f t="shared" si="33"/>
        <v>1.0174953400115267</v>
      </c>
      <c r="Q9" s="20">
        <f t="shared" si="2"/>
        <v>6.0404801126701813</v>
      </c>
      <c r="R9" s="59">
        <f t="shared" si="0"/>
        <v>198.23959943641552</v>
      </c>
      <c r="S9" s="59">
        <f ca="1">AVERAGE(OFFSET($R$3,0,0,'Données projet'!$E$9+1,1))-AVERAGE(OFFSET($H$3,0,0,'Données projet'!$E$9+1,1))</f>
        <v>433.46721010558042</v>
      </c>
      <c r="T9" s="59">
        <f t="shared" si="34"/>
        <v>306.18862295347509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9.5173333333333332</v>
      </c>
      <c r="AI9" s="13">
        <f>IF('Données projet'!$A$62&gt;35,AI8+AH9-AQ8,IF(A9&lt;'Données projet'!$A$62,$AF$205^A9,IF(A9='Données projet'!$A$62,'Données projet'!$B$62,AI8+AH9-AQ8)))</f>
        <v>7.2751611167802501</v>
      </c>
      <c r="AJ9" s="13">
        <f>AI9*VLOOKUP('Données projet'!$B$10,Paramètres!$A$1:$I$89,3,0)*VLOOKUP('Données projet'!$B$10,Paramètres!$A$1:$I$89,5,0)</f>
        <v>4.35054634783459</v>
      </c>
      <c r="AK9" s="13">
        <f t="shared" si="35"/>
        <v>1.6895434549700357</v>
      </c>
      <c r="AL9" s="20">
        <f t="shared" si="4"/>
        <v>10.519823073218054</v>
      </c>
      <c r="AM9" s="59">
        <f t="shared" si="5"/>
        <v>202.71894239696337</v>
      </c>
      <c r="AN9" s="59">
        <f ca="1">AVERAGE(OFFSET($AM$3,0,0,'Données projet'!$E$10+1,1))-AVERAGE(OFFSET($H$3,0,0,'Données projet'!$E$10+1,1))</f>
        <v>400.1942260113168</v>
      </c>
      <c r="AO9" s="59">
        <f t="shared" si="36"/>
        <v>497.04866930593926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12.5</v>
      </c>
      <c r="BD9" s="12">
        <f>IF('Données projet'!$A$88&gt;35,BD8+BC9-BL8,IF(A9&lt;'Données projet'!$A$88,$BA$205^A9,IF(A9='Données projet'!$A$88,'Données projet'!$B$88,BD8+BC9-BL8)))</f>
        <v>18.119491591942381</v>
      </c>
      <c r="BE9" s="13">
        <f>BD9*VLOOKUP('Données projet'!$B$11,Paramètres!$A$1:$I$89,3,0)*VLOOKUP('Données projet'!$B$11,Paramètres!$A$1:$I$89,5,0)</f>
        <v>11.589226822206346</v>
      </c>
      <c r="BF9" s="13">
        <f t="shared" si="37"/>
        <v>4.0156013195280442</v>
      </c>
      <c r="BG9" s="20">
        <f t="shared" si="7"/>
        <v>27.178409013520731</v>
      </c>
      <c r="BH9" s="59">
        <f t="shared" si="8"/>
        <v>219.37752833726606</v>
      </c>
      <c r="BI9" s="59">
        <f ca="1">AVERAGE(OFFSET($BH$3,0,0,'Données projet'!$E$11+1,1))-AVERAGE(OFFSET($H$3,0,0,'Données projet'!$E$11+1,1))</f>
        <v>284.78505691662588</v>
      </c>
      <c r="BJ9" s="59">
        <f t="shared" si="38"/>
        <v>664.42623058686308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12.5</v>
      </c>
      <c r="BY9" s="12">
        <f>IF('Données projet'!$A$114&gt;35,BY8+BX9-CG8,IF(A9&lt;'Données projet'!$A$114,$BV$205^A9,IF(A9='Données projet'!$A$114,'Données projet'!$B$114,BY8+BX9-CG8)))</f>
        <v>18.119491591942381</v>
      </c>
      <c r="BZ9" s="13">
        <f>BY9*VLOOKUP('Données projet'!$B$12,Paramètres!$A$1:$I$89,3,0)*VLOOKUP('Données projet'!$B$12,Paramètres!$A$1:$I$89,5,0)</f>
        <v>15.829187854720868</v>
      </c>
      <c r="CA9" s="13">
        <f t="shared" si="39"/>
        <v>5.2892453525920153</v>
      </c>
      <c r="CB9" s="20">
        <f t="shared" si="10"/>
        <v>36.781271169403269</v>
      </c>
      <c r="CC9" s="59">
        <f t="shared" si="11"/>
        <v>228.9803904931486</v>
      </c>
      <c r="CD9" s="59">
        <f ca="1">AVERAGE(OFFSET($CC$3,0,0,'Données projet'!$E$12+1,1))-AVERAGE(OFFSET($H$3,0,0,'Données projet'!$E$12+1,1))</f>
        <v>380.64318988568527</v>
      </c>
      <c r="CE9" s="59">
        <f t="shared" si="40"/>
        <v>885.24651320439159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9.2928571428571427</v>
      </c>
      <c r="CT9" s="12">
        <f>IF('Données projet'!$A$140&gt;35,CT8+CS9-DB8,IF(A9&lt;'Données projet'!$A$140,$CQ$205^A9,IF(A9='Données projet'!$A$140,'Données projet'!$B$140,CT8+CS9-DB8)))</f>
        <v>4.5122277894823588</v>
      </c>
      <c r="CU9" s="17">
        <f>CT9*VLOOKUP('Données projet'!$B$13,Paramètres!$A$1:$I$89,3,0)*VLOOKUP('Données projet'!$B$13,Paramètres!$A$1:$I$89,5,0)</f>
        <v>2.5223353343206387</v>
      </c>
      <c r="CV9" s="13">
        <f t="shared" si="41"/>
        <v>1.0437224858385457</v>
      </c>
      <c r="CW9" s="20">
        <f t="shared" si="13"/>
        <v>6.2108840367772453</v>
      </c>
      <c r="CX9" s="59">
        <f t="shared" si="14"/>
        <v>198.41000336052258</v>
      </c>
      <c r="CY9" s="59">
        <f ca="1">AVERAGE(OFFSET($CX$3,0,0,'Données projet'!$E$13+1,1))-AVERAGE(OFFSET($H$3,0,0,'Données projet'!$E$13+1,1))</f>
        <v>404.10467005188889</v>
      </c>
      <c r="CZ9" s="59">
        <f t="shared" si="42"/>
        <v>372.70490129557845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3.1761666666666666</v>
      </c>
      <c r="DO9" s="12">
        <f>IF('Données projet'!$A$166&gt;35,DO8+DN9-DW8,IF(A9&lt;'Données projet'!$A$166,$DL$205^A9,IF(A9='Données projet'!$A$166,'Données projet'!$B$166,DO8+DN9-DW8)))</f>
        <v>19.056999999999999</v>
      </c>
      <c r="DP9" s="17">
        <f>DO9*VLOOKUP('Données projet'!$B$14,Paramètres!$A$1:$I$89,3,0)*VLOOKUP('Données projet'!$B$14,Paramètres!$A$1:$I$89,5,0)</f>
        <v>17.2427736</v>
      </c>
      <c r="DQ9" s="13">
        <f t="shared" si="43"/>
        <v>5.7045070514399558</v>
      </c>
      <c r="DR9" s="20">
        <f t="shared" si="16"/>
        <v>39.966513801257918</v>
      </c>
      <c r="DS9" s="59">
        <f t="shared" si="17"/>
        <v>232.16563312500324</v>
      </c>
      <c r="DT9" s="59">
        <f ca="1">AVERAGE(OFFSET($DS$3,0,0,'Données projet'!$E$14+1,1))-AVERAGE(OFFSET($H$3,0,0,'Données projet'!$E$14+1,1))</f>
        <v>479.53113328461268</v>
      </c>
      <c r="DU9" s="59">
        <f t="shared" si="44"/>
        <v>244.6360664588118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11.239444444444445</v>
      </c>
      <c r="EJ9" s="12">
        <f>IF('Données projet'!$A$192&gt;35,EJ8+EI9-ER8,IF(A9&lt;'Données projet'!$A$192,$EG$205^A9,IF(A9='Données projet'!$A$192,'Données projet'!$B$192,EJ8+EI9-ER8)))</f>
        <v>5.8704642824699818</v>
      </c>
      <c r="EK9" s="17">
        <f>EJ9*VLOOKUP('Données projet'!$B$15,Paramètres!$A$1:$I$89,3,0)*VLOOKUP('Données projet'!$B$15,Paramètres!$A$1:$I$89,5,0)</f>
        <v>2.5947452128517323</v>
      </c>
      <c r="EL9" s="13">
        <f t="shared" si="45"/>
        <v>1.0701537037852764</v>
      </c>
      <c r="EM9" s="20">
        <f t="shared" si="19"/>
        <v>6.3830322798094565</v>
      </c>
      <c r="EN9" s="59">
        <f t="shared" si="20"/>
        <v>198.58215160355479</v>
      </c>
      <c r="EO9" s="59">
        <f ca="1">AVERAGE(OFFSET($EN$3,0,0,'Données projet'!$E$15+1,1))-AVERAGE(OFFSET($H$3,0,0,'Données projet'!$E$15+1,1))</f>
        <v>339.23049610652492</v>
      </c>
      <c r="EP9" s="59">
        <f t="shared" si="46"/>
        <v>448.85057640789785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7.6601960784313725</v>
      </c>
      <c r="FE9" s="12">
        <f>IF('Données projet'!$A$218&gt;35,FE8+FD9-FM8,IF(A9&lt;'Données projet'!$A$218,$FB$205^A9,IF(A9='Données projet'!$A$218,'Données projet'!$B$218,FE8+FD9-FM8)))</f>
        <v>45.961176470588228</v>
      </c>
      <c r="FF9" s="17">
        <f>FE9*VLOOKUP('Données projet'!$B$16,Paramètres!$A$1:$I$89,3,0)*VLOOKUP('Données projet'!$B$16,Paramètres!$A$1:$I$89,5,0)</f>
        <v>21.509830588235292</v>
      </c>
      <c r="FG9" s="13">
        <f t="shared" si="47"/>
        <v>6.9353775634321488</v>
      </c>
      <c r="FH9" s="20">
        <f t="shared" si="22"/>
        <v>49.54207086415412</v>
      </c>
      <c r="FI9" s="59">
        <f t="shared" si="23"/>
        <v>241.74119018789943</v>
      </c>
      <c r="FJ9" s="59">
        <f ca="1">AVERAGE(OFFSET($FI$3,0,0,'Données projet'!$E$16+1,1))-AVERAGE(OFFSET($H$3,0,0,'Données projet'!$E$16+1,1))</f>
        <v>365.63278362856033</v>
      </c>
      <c r="FK9" s="59">
        <f t="shared" si="48"/>
        <v>290.68267842697452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5.0742105263157899</v>
      </c>
      <c r="FZ9" s="12">
        <f>IF('Données projet'!$A$244&gt;35,FZ8+FY9-GH8,IF(A9&lt;'Données projet'!$A$244,$FW$205^A9,IF(A9='Données projet'!$A$244,'Données projet'!$B$244,FZ8+FY9-GH8)))</f>
        <v>30.445263157894736</v>
      </c>
      <c r="GA9" s="17">
        <f>FZ9*VLOOKUP('Données projet'!$B$17,Paramètres!$A$1:$I$89,3,0)*VLOOKUP('Données projet'!$B$17,Paramètres!$A$1:$I$89,5,0)</f>
        <v>26.122035789473685</v>
      </c>
      <c r="GB9" s="13">
        <f t="shared" si="49"/>
        <v>8.2341631518646903</v>
      </c>
      <c r="GC9" s="20">
        <f t="shared" si="25"/>
        <v>59.837046489497673</v>
      </c>
      <c r="GD9" s="59">
        <f t="shared" si="26"/>
        <v>252.036165813243</v>
      </c>
      <c r="GE9" s="59">
        <f ca="1">AVERAGE(OFFSET($GD$3,0,0,'Données projet'!$E$17+1,1))-AVERAGE(OFFSET($H$3,0,0,'Données projet'!$E$17+1,1))</f>
        <v>460.46300302025099</v>
      </c>
      <c r="GF9" s="59">
        <f t="shared" si="50"/>
        <v>340.22534554615879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50.417941633748725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9.5173333333333332</v>
      </c>
      <c r="GU9" s="12">
        <f>IF('Données projet'!$A$270&gt;35,GU8+GT9-HC8,IF(A9&lt;'Données projet'!$A$270,$GR$205^A9,IF(A9='Données projet'!$A$270,'Données projet'!$B$270,GU8+GT9-HC8)))</f>
        <v>7.2751611167802501</v>
      </c>
      <c r="GV9" s="17">
        <f>GU9*VLOOKUP('Données projet'!$B$18,Paramètres!$A$1:$I$89,3,0)*VLOOKUP('Données projet'!$B$18,Paramètres!$A$1:$I$89,5,0)</f>
        <v>4.35054634783459</v>
      </c>
      <c r="GW9" s="13">
        <f t="shared" si="51"/>
        <v>1.6895434549700357</v>
      </c>
      <c r="GX9" s="20">
        <f t="shared" si="28"/>
        <v>10.519823073218054</v>
      </c>
      <c r="GY9" s="59">
        <f t="shared" si="29"/>
        <v>202.71894239696337</v>
      </c>
      <c r="GZ9" s="59">
        <f ca="1">AVERAGE(OFFSET($GY$3,0,0,'Données projet'!$E$18+1,1))-AVERAGE(OFFSET($H$3,0,0,'Données projet'!$E$18+1,1))</f>
        <v>-15.950000000000017</v>
      </c>
      <c r="HA9" s="59">
        <f t="shared" si="52"/>
        <v>-15.950000000000017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4.3499999999999996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15.949999999999998</v>
      </c>
      <c r="H10" s="67">
        <f t="shared" si="1"/>
        <v>192.86666666666667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5.044827586206897</v>
      </c>
      <c r="N10" s="13">
        <f>IF('Données projet'!$A$36&gt;35,N9+M10-V9,IF(A10&lt;'Données projet'!$A$36,$K$205^A10,IF(A10='Données projet'!$A$36,'Données projet'!$B$36,N9+M10-V9)))</f>
        <v>3.3315411521586604</v>
      </c>
      <c r="O10" s="13">
        <f>N10*VLOOKUP('Données projet'!$B$9,Paramètres!$A$1:$I$89,3,0)*VLOOKUP('Données projet'!$B$9,Paramètres!$A$1:$I$89,5,0)</f>
        <v>2.9104343505258061</v>
      </c>
      <c r="P10" s="13">
        <f t="shared" si="33"/>
        <v>1.1844185037586994</v>
      </c>
      <c r="Q10" s="20">
        <f t="shared" si="2"/>
        <v>7.1318687212121814</v>
      </c>
      <c r="R10" s="59">
        <f t="shared" si="0"/>
        <v>201.79879502419161</v>
      </c>
      <c r="S10" s="59">
        <f ca="1">AVERAGE(OFFSET($R$3,0,0,'Données projet'!$E$9+1,1))-AVERAGE(OFFSET($H$3,0,0,'Données projet'!$E$9+1,1))</f>
        <v>433.46721010558042</v>
      </c>
      <c r="T10" s="59">
        <f t="shared" si="34"/>
        <v>306.18862295347509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9.5173333333333332</v>
      </c>
      <c r="AI10" s="13">
        <f>IF('Données projet'!$A$62&gt;35,AI9+AH10-AQ9,IF(A10&lt;'Données projet'!$A$62,$AF$205^A10,IF(A10='Données projet'!$A$62,'Données projet'!$B$62,AI9+AH10-AQ9)))</f>
        <v>10.127052272401761</v>
      </c>
      <c r="AJ10" s="13">
        <f>AI10*VLOOKUP('Données projet'!$B$10,Paramètres!$A$1:$I$89,3,0)*VLOOKUP('Données projet'!$B$10,Paramètres!$A$1:$I$89,5,0)</f>
        <v>6.0559772588962533</v>
      </c>
      <c r="AK10" s="13">
        <f t="shared" si="35"/>
        <v>2.2630286673251656</v>
      </c>
      <c r="AL10" s="20">
        <f t="shared" si="4"/>
        <v>14.488935321502304</v>
      </c>
      <c r="AM10" s="59">
        <f t="shared" si="5"/>
        <v>209.15586162448173</v>
      </c>
      <c r="AN10" s="59">
        <f ca="1">AVERAGE(OFFSET($AM$3,0,0,'Données projet'!$E$10+1,1))-AVERAGE(OFFSET($H$3,0,0,'Données projet'!$E$10+1,1))</f>
        <v>400.1942260113168</v>
      </c>
      <c r="AO10" s="59">
        <f t="shared" si="36"/>
        <v>497.04866930593926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12.5</v>
      </c>
      <c r="BD10" s="12">
        <f>IF('Données projet'!$A$88&gt;35,BD9+BC10-BL9,IF(A10&lt;'Données projet'!$A$88,$BA$205^A10,IF(A10='Données projet'!$A$88,'Données projet'!$B$88,BD9+BC10-BL9)))</f>
        <v>29.365473577200465</v>
      </c>
      <c r="BE10" s="13">
        <f>BD10*VLOOKUP('Données projet'!$B$11,Paramètres!$A$1:$I$89,3,0)*VLOOKUP('Données projet'!$B$11,Paramètres!$A$1:$I$89,5,0)</f>
        <v>18.782156899977416</v>
      </c>
      <c r="BF10" s="13">
        <f t="shared" si="37"/>
        <v>6.1522440796609867</v>
      </c>
      <c r="BG10" s="20">
        <f t="shared" si="7"/>
        <v>43.427415039536889</v>
      </c>
      <c r="BH10" s="59">
        <f t="shared" si="8"/>
        <v>238.09434134251632</v>
      </c>
      <c r="BI10" s="59">
        <f ca="1">AVERAGE(OFFSET($BH$3,0,0,'Données projet'!$E$11+1,1))-AVERAGE(OFFSET($H$3,0,0,'Données projet'!$E$11+1,1))</f>
        <v>284.78505691662588</v>
      </c>
      <c r="BJ10" s="59">
        <f t="shared" si="38"/>
        <v>664.42623058686308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12.5</v>
      </c>
      <c r="BY10" s="12">
        <f>IF('Données projet'!$A$114&gt;35,BY9+BX10-CG9,IF(A10&lt;'Données projet'!$A$114,$BV$205^A10,IF(A10='Données projet'!$A$114,'Données projet'!$B$114,BY9+BX10-CG9)))</f>
        <v>29.365473577200465</v>
      </c>
      <c r="BZ10" s="13">
        <f>BY10*VLOOKUP('Données projet'!$B$12,Paramètres!$A$1:$I$89,3,0)*VLOOKUP('Données projet'!$B$12,Paramètres!$A$1:$I$89,5,0)</f>
        <v>25.653677717042328</v>
      </c>
      <c r="CA10" s="13">
        <f t="shared" si="39"/>
        <v>8.1035754839783536</v>
      </c>
      <c r="CB10" s="20">
        <f t="shared" si="10"/>
        <v>58.793882658444346</v>
      </c>
      <c r="CC10" s="59">
        <f t="shared" si="11"/>
        <v>253.46080896142377</v>
      </c>
      <c r="CD10" s="59">
        <f ca="1">AVERAGE(OFFSET($CC$3,0,0,'Données projet'!$E$12+1,1))-AVERAGE(OFFSET($H$3,0,0,'Données projet'!$E$12+1,1))</f>
        <v>380.64318988568527</v>
      </c>
      <c r="CE10" s="59">
        <f t="shared" si="40"/>
        <v>885.24651320439159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9.2928571428571427</v>
      </c>
      <c r="CT10" s="12">
        <f>IF('Données projet'!$A$140&gt;35,CT9+CS10-DB9,IF(A10&lt;'Données projet'!$A$140,$CQ$205^A10,IF(A10='Données projet'!$A$140,'Données projet'!$B$140,CT9+CS10-DB9)))</f>
        <v>5.8003765114279382</v>
      </c>
      <c r="CU10" s="17">
        <f>CT10*VLOOKUP('Données projet'!$B$13,Paramètres!$A$1:$I$89,3,0)*VLOOKUP('Données projet'!$B$13,Paramètres!$A$1:$I$89,5,0)</f>
        <v>3.2424104698882177</v>
      </c>
      <c r="CV10" s="13">
        <f t="shared" si="41"/>
        <v>1.3030318267952323</v>
      </c>
      <c r="CW10" s="20">
        <f t="shared" si="13"/>
        <v>7.9166453333903419</v>
      </c>
      <c r="CX10" s="59">
        <f t="shared" si="14"/>
        <v>202.58357163636975</v>
      </c>
      <c r="CY10" s="59">
        <f ca="1">AVERAGE(OFFSET($CX$3,0,0,'Données projet'!$E$13+1,1))-AVERAGE(OFFSET($H$3,0,0,'Données projet'!$E$13+1,1))</f>
        <v>404.10467005188889</v>
      </c>
      <c r="CZ10" s="59">
        <f t="shared" si="42"/>
        <v>372.70490129557845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3.1761666666666666</v>
      </c>
      <c r="DO10" s="12">
        <f>IF('Données projet'!$A$166&gt;35,DO9+DN10-DW9,IF(A10&lt;'Données projet'!$A$166,$DL$205^A10,IF(A10='Données projet'!$A$166,'Données projet'!$B$166,DO9+DN10-DW9)))</f>
        <v>22.233166666666666</v>
      </c>
      <c r="DP10" s="17">
        <f>DO10*VLOOKUP('Données projet'!$B$14,Paramètres!$A$1:$I$89,3,0)*VLOOKUP('Données projet'!$B$14,Paramètres!$A$1:$I$89,5,0)</f>
        <v>20.116569200000001</v>
      </c>
      <c r="DQ10" s="13">
        <f t="shared" si="43"/>
        <v>6.5369069741651122</v>
      </c>
      <c r="DR10" s="20">
        <f t="shared" si="16"/>
        <v>46.421471003337565</v>
      </c>
      <c r="DS10" s="59">
        <f t="shared" si="17"/>
        <v>241.08839730631698</v>
      </c>
      <c r="DT10" s="59">
        <f ca="1">AVERAGE(OFFSET($DS$3,0,0,'Données projet'!$E$14+1,1))-AVERAGE(OFFSET($H$3,0,0,'Données projet'!$E$14+1,1))</f>
        <v>479.53113328461268</v>
      </c>
      <c r="DU10" s="59">
        <f t="shared" si="44"/>
        <v>244.6360664588118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11.239444444444445</v>
      </c>
      <c r="EJ10" s="12">
        <f>IF('Données projet'!$A$192&gt;35,EJ9+EI10-ER9,IF(A10&lt;'Données projet'!$A$192,$EG$205^A10,IF(A10='Données projet'!$A$192,'Données projet'!$B$192,EJ9+EI10-ER9)))</f>
        <v>7.884688221855062</v>
      </c>
      <c r="EK10" s="17">
        <f>EJ10*VLOOKUP('Données projet'!$B$15,Paramètres!$A$1:$I$89,3,0)*VLOOKUP('Données projet'!$B$15,Paramètres!$A$1:$I$89,5,0)</f>
        <v>3.4850321940599378</v>
      </c>
      <c r="EL10" s="13">
        <f t="shared" si="45"/>
        <v>1.3888200842868066</v>
      </c>
      <c r="EM10" s="20">
        <f t="shared" si="19"/>
        <v>8.4886260514539114</v>
      </c>
      <c r="EN10" s="59">
        <f t="shared" si="20"/>
        <v>203.15555235443333</v>
      </c>
      <c r="EO10" s="59">
        <f ca="1">AVERAGE(OFFSET($EN$3,0,0,'Données projet'!$E$15+1,1))-AVERAGE(OFFSET($H$3,0,0,'Données projet'!$E$15+1,1))</f>
        <v>339.23049610652492</v>
      </c>
      <c r="EP10" s="59">
        <f t="shared" si="46"/>
        <v>448.85057640789785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7.6601960784313725</v>
      </c>
      <c r="FE10" s="12">
        <f>IF('Données projet'!$A$218&gt;35,FE9+FD10-FM9,IF(A10&lt;'Données projet'!$A$218,$FB$205^A10,IF(A10='Données projet'!$A$218,'Données projet'!$B$218,FE9+FD10-FM9)))</f>
        <v>53.621372549019597</v>
      </c>
      <c r="FF10" s="17">
        <f>FE10*VLOOKUP('Données projet'!$B$16,Paramètres!$A$1:$I$89,3,0)*VLOOKUP('Données projet'!$B$16,Paramètres!$A$1:$I$89,5,0)</f>
        <v>25.094802352941173</v>
      </c>
      <c r="FG10" s="13">
        <f t="shared" si="47"/>
        <v>7.9473857344823413</v>
      </c>
      <c r="FH10" s="20">
        <f t="shared" si="22"/>
        <v>57.548477585595947</v>
      </c>
      <c r="FI10" s="59">
        <f t="shared" si="23"/>
        <v>252.21540388857537</v>
      </c>
      <c r="FJ10" s="59">
        <f ca="1">AVERAGE(OFFSET($FI$3,0,0,'Données projet'!$E$16+1,1))-AVERAGE(OFFSET($H$3,0,0,'Données projet'!$E$16+1,1))</f>
        <v>365.63278362856033</v>
      </c>
      <c r="FK10" s="59">
        <f t="shared" si="48"/>
        <v>290.68267842697452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5.0742105263157899</v>
      </c>
      <c r="FZ10" s="12">
        <f>IF('Données projet'!$A$244&gt;35,FZ9+FY10-GH9,IF(A10&lt;'Données projet'!$A$244,$FW$205^A10,IF(A10='Données projet'!$A$244,'Données projet'!$B$244,FZ9+FY10-GH9)))</f>
        <v>35.519473684210524</v>
      </c>
      <c r="GA10" s="17">
        <f>FZ10*VLOOKUP('Données projet'!$B$17,Paramètres!$A$1:$I$89,3,0)*VLOOKUP('Données projet'!$B$17,Paramètres!$A$1:$I$89,5,0)</f>
        <v>30.475708421052634</v>
      </c>
      <c r="GB10" s="13">
        <f t="shared" si="49"/>
        <v>9.4356897184044506</v>
      </c>
      <c r="GC10" s="20">
        <f t="shared" si="25"/>
        <v>69.51235175955442</v>
      </c>
      <c r="GD10" s="59">
        <f t="shared" si="26"/>
        <v>264.17927806253385</v>
      </c>
      <c r="GE10" s="59">
        <f ca="1">AVERAGE(OFFSET($GD$3,0,0,'Données projet'!$E$17+1,1))-AVERAGE(OFFSET($H$3,0,0,'Données projet'!$E$17+1,1))</f>
        <v>460.46300302025099</v>
      </c>
      <c r="GF10" s="59">
        <f t="shared" si="50"/>
        <v>340.22534554615879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50.757646567479235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9.5173333333333332</v>
      </c>
      <c r="GU10" s="12">
        <f>IF('Données projet'!$A$270&gt;35,GU9+GT10-HC9,IF(A10&lt;'Données projet'!$A$270,$GR$205^A10,IF(A10='Données projet'!$A$270,'Données projet'!$B$270,GU9+GT10-HC9)))</f>
        <v>10.127052272401761</v>
      </c>
      <c r="GV10" s="17">
        <f>GU10*VLOOKUP('Données projet'!$B$18,Paramètres!$A$1:$I$89,3,0)*VLOOKUP('Données projet'!$B$18,Paramètres!$A$1:$I$89,5,0)</f>
        <v>6.0559772588962533</v>
      </c>
      <c r="GW10" s="13">
        <f t="shared" si="51"/>
        <v>2.2630286673251656</v>
      </c>
      <c r="GX10" s="20">
        <f t="shared" si="28"/>
        <v>14.488935321502304</v>
      </c>
      <c r="GY10" s="59">
        <f t="shared" si="29"/>
        <v>209.15586162448173</v>
      </c>
      <c r="GZ10" s="59">
        <f ca="1">AVERAGE(OFFSET($GY$3,0,0,'Données projet'!$E$18+1,1))-AVERAGE(OFFSET($H$3,0,0,'Données projet'!$E$18+1,1))</f>
        <v>-15.950000000000017</v>
      </c>
      <c r="HA10" s="59">
        <f t="shared" si="52"/>
        <v>-15.950000000000017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4.3499999999999996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15.949999999999998</v>
      </c>
      <c r="H11" s="67">
        <f t="shared" si="1"/>
        <v>192.86666666666667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5.044827586206897</v>
      </c>
      <c r="N11" s="13">
        <f>IF('Données projet'!$A$36&gt;35,N10+M11-V10,IF(A11&lt;'Données projet'!$A$36,$K$205^A11,IF(A11='Données projet'!$A$36,'Données projet'!$B$36,N10+M11-V10)))</f>
        <v>3.9564782227011466</v>
      </c>
      <c r="O11" s="13">
        <f>N11*VLOOKUP('Données projet'!$B$9,Paramètres!$A$1:$I$89,3,0)*VLOOKUP('Données projet'!$B$9,Paramètres!$A$1:$I$89,5,0)</f>
        <v>3.4563793753517222</v>
      </c>
      <c r="P11" s="13">
        <f t="shared" si="33"/>
        <v>1.3787259134082159</v>
      </c>
      <c r="Q11" s="20">
        <f t="shared" si="2"/>
        <v>8.421141711256892</v>
      </c>
      <c r="R11" s="59">
        <f t="shared" si="0"/>
        <v>205.53426688264659</v>
      </c>
      <c r="S11" s="59">
        <f ca="1">AVERAGE(OFFSET($R$3,0,0,'Données projet'!$E$9+1,1))-AVERAGE(OFFSET($H$3,0,0,'Données projet'!$E$9+1,1))</f>
        <v>433.46721010558042</v>
      </c>
      <c r="T11" s="59">
        <f t="shared" si="34"/>
        <v>306.18862295347509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9.5173333333333332</v>
      </c>
      <c r="AI11" s="13">
        <f>IF('Données projet'!$A$62&gt;35,AI10+AH11-AQ10,IF(A11&lt;'Données projet'!$A$62,$AF$205^A11,IF(A11='Données projet'!$A$62,'Données projet'!$B$62,AI10+AH11-AQ10)))</f>
        <v>14.096895736289365</v>
      </c>
      <c r="AJ11" s="13">
        <f>AI11*VLOOKUP('Données projet'!$B$10,Paramètres!$A$1:$I$89,3,0)*VLOOKUP('Données projet'!$B$10,Paramètres!$A$1:$I$89,5,0)</f>
        <v>8.4299436503010412</v>
      </c>
      <c r="AK11" s="13">
        <f t="shared" si="35"/>
        <v>3.0311731456627986</v>
      </c>
      <c r="AL11" s="20">
        <f t="shared" si="4"/>
        <v>19.961445086303687</v>
      </c>
      <c r="AM11" s="59">
        <f t="shared" si="5"/>
        <v>217.07457025769338</v>
      </c>
      <c r="AN11" s="59">
        <f ca="1">AVERAGE(OFFSET($AM$3,0,0,'Données projet'!$E$10+1,1))-AVERAGE(OFFSET($H$3,0,0,'Données projet'!$E$10+1,1))</f>
        <v>400.1942260113168</v>
      </c>
      <c r="AO11" s="59">
        <f t="shared" si="36"/>
        <v>497.04866930593926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12.5</v>
      </c>
      <c r="BD11" s="12">
        <f>IF('Données projet'!$A$88&gt;35,BD10+BC11-BL10,IF(A11&lt;'Données projet'!$A$88,$BA$205^A11,IF(A11='Données projet'!$A$88,'Données projet'!$B$88,BD10+BC11-BL10)))</f>
        <v>47.591348467896943</v>
      </c>
      <c r="BE11" s="13">
        <f>BD11*VLOOKUP('Données projet'!$B$11,Paramètres!$A$1:$I$89,3,0)*VLOOKUP('Données projet'!$B$11,Paramètres!$A$1:$I$89,5,0)</f>
        <v>30.439426480066881</v>
      </c>
      <c r="BF11" s="13">
        <f t="shared" si="37"/>
        <v>9.4257632179910171</v>
      </c>
      <c r="BG11" s="20">
        <f t="shared" si="7"/>
        <v>69.431872057450832</v>
      </c>
      <c r="BH11" s="59">
        <f t="shared" si="8"/>
        <v>266.54499722884054</v>
      </c>
      <c r="BI11" s="59">
        <f ca="1">AVERAGE(OFFSET($BH$3,0,0,'Données projet'!$E$11+1,1))-AVERAGE(OFFSET($H$3,0,0,'Données projet'!$E$11+1,1))</f>
        <v>284.78505691662588</v>
      </c>
      <c r="BJ11" s="59">
        <f t="shared" si="38"/>
        <v>664.42623058686308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12.5</v>
      </c>
      <c r="BY11" s="12">
        <f>IF('Données projet'!$A$114&gt;35,BY10+BX11-CG10,IF(A11&lt;'Données projet'!$A$114,$BV$205^A11,IF(A11='Données projet'!$A$114,'Données projet'!$B$114,BY10+BX11-CG10)))</f>
        <v>47.591348467896943</v>
      </c>
      <c r="BZ11" s="13">
        <f>BY11*VLOOKUP('Données projet'!$B$12,Paramètres!$A$1:$I$89,3,0)*VLOOKUP('Données projet'!$B$12,Paramètres!$A$1:$I$89,5,0)</f>
        <v>41.575802021554772</v>
      </c>
      <c r="CA11" s="13">
        <f t="shared" si="39"/>
        <v>12.415369537046377</v>
      </c>
      <c r="CB11" s="20">
        <f t="shared" si="10"/>
        <v>94.034623797896998</v>
      </c>
      <c r="CC11" s="59">
        <f t="shared" si="11"/>
        <v>291.14774896928668</v>
      </c>
      <c r="CD11" s="59">
        <f ca="1">AVERAGE(OFFSET($CC$3,0,0,'Données projet'!$E$12+1,1))-AVERAGE(OFFSET($H$3,0,0,'Données projet'!$E$12+1,1))</f>
        <v>380.64318988568527</v>
      </c>
      <c r="CE11" s="59">
        <f t="shared" si="40"/>
        <v>885.24651320439159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9.2928571428571427</v>
      </c>
      <c r="CT11" s="12">
        <f>IF('Données projet'!$A$140&gt;35,CT10+CS11-DB10,IF(A11&lt;'Données projet'!$A$140,$CQ$205^A11,IF(A11='Données projet'!$A$140,'Données projet'!$B$140,CT10+CS11-DB10)))</f>
        <v>7.4562653403153227</v>
      </c>
      <c r="CU11" s="17">
        <f>CT11*VLOOKUP('Données projet'!$B$13,Paramètres!$A$1:$I$89,3,0)*VLOOKUP('Données projet'!$B$13,Paramètres!$A$1:$I$89,5,0)</f>
        <v>4.1680523252362658</v>
      </c>
      <c r="CV11" s="13">
        <f t="shared" si="41"/>
        <v>1.6267657013034484</v>
      </c>
      <c r="CW11" s="20">
        <f t="shared" si="13"/>
        <v>10.092641396223335</v>
      </c>
      <c r="CX11" s="59">
        <f t="shared" si="14"/>
        <v>207.20576656761304</v>
      </c>
      <c r="CY11" s="59">
        <f ca="1">AVERAGE(OFFSET($CX$3,0,0,'Données projet'!$E$13+1,1))-AVERAGE(OFFSET($H$3,0,0,'Données projet'!$E$13+1,1))</f>
        <v>404.10467005188889</v>
      </c>
      <c r="CZ11" s="59">
        <f t="shared" si="42"/>
        <v>372.70490129557845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3.1761666666666666</v>
      </c>
      <c r="DO11" s="12">
        <f>IF('Données projet'!$A$166&gt;35,DO10+DN11-DW10,IF(A11&lt;'Données projet'!$A$166,$DL$205^A11,IF(A11='Données projet'!$A$166,'Données projet'!$B$166,DO10+DN11-DW10)))</f>
        <v>25.409333333333333</v>
      </c>
      <c r="DP11" s="17">
        <f>DO11*VLOOKUP('Données projet'!$B$14,Paramètres!$A$1:$I$89,3,0)*VLOOKUP('Données projet'!$B$14,Paramètres!$A$1:$I$89,5,0)</f>
        <v>22.990364799999998</v>
      </c>
      <c r="DQ11" s="13">
        <f t="shared" si="43"/>
        <v>7.3555303023880265</v>
      </c>
      <c r="DR11" s="20">
        <f t="shared" si="16"/>
        <v>52.852433969992468</v>
      </c>
      <c r="DS11" s="59">
        <f t="shared" si="17"/>
        <v>249.96555914138216</v>
      </c>
      <c r="DT11" s="59">
        <f ca="1">AVERAGE(OFFSET($DS$3,0,0,'Données projet'!$E$14+1,1))-AVERAGE(OFFSET($H$3,0,0,'Données projet'!$E$14+1,1))</f>
        <v>479.53113328461268</v>
      </c>
      <c r="DU11" s="59">
        <f t="shared" si="44"/>
        <v>244.6360664588118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11.239444444444445</v>
      </c>
      <c r="EJ11" s="12">
        <f>IF('Données projet'!$A$192&gt;35,EJ10+EI11-ER10,IF(A11&lt;'Données projet'!$A$192,$EG$205^A11,IF(A11='Données projet'!$A$192,'Données projet'!$B$192,EJ10+EI11-ER10)))</f>
        <v>10.5900156043029</v>
      </c>
      <c r="EK11" s="17">
        <f>EJ11*VLOOKUP('Données projet'!$B$15,Paramètres!$A$1:$I$89,3,0)*VLOOKUP('Données projet'!$B$15,Paramètres!$A$1:$I$89,5,0)</f>
        <v>4.680786897101882</v>
      </c>
      <c r="EL11" s="13">
        <f t="shared" si="45"/>
        <v>1.8023777516219532</v>
      </c>
      <c r="EM11" s="20">
        <f t="shared" si="19"/>
        <v>11.291511763194011</v>
      </c>
      <c r="EN11" s="59">
        <f t="shared" si="20"/>
        <v>208.40463693458372</v>
      </c>
      <c r="EO11" s="59">
        <f ca="1">AVERAGE(OFFSET($EN$3,0,0,'Données projet'!$E$15+1,1))-AVERAGE(OFFSET($H$3,0,0,'Données projet'!$E$15+1,1))</f>
        <v>339.23049610652492</v>
      </c>
      <c r="EP11" s="59">
        <f t="shared" si="46"/>
        <v>448.85057640789785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7.6601960784313725</v>
      </c>
      <c r="FE11" s="12">
        <f>IF('Données projet'!$A$218&gt;35,FE10+FD11-FM10,IF(A11&lt;'Données projet'!$A$218,$FB$205^A11,IF(A11='Données projet'!$A$218,'Données projet'!$B$218,FE10+FD11-FM10)))</f>
        <v>61.281568627450966</v>
      </c>
      <c r="FF11" s="17">
        <f>FE11*VLOOKUP('Données projet'!$B$16,Paramètres!$A$1:$I$89,3,0)*VLOOKUP('Données projet'!$B$16,Paramètres!$A$1:$I$89,5,0)</f>
        <v>28.679774117647053</v>
      </c>
      <c r="FG11" s="13">
        <f t="shared" si="47"/>
        <v>8.942644713437625</v>
      </c>
      <c r="FH11" s="20">
        <f t="shared" si="22"/>
        <v>65.52571279747248</v>
      </c>
      <c r="FI11" s="59">
        <f t="shared" si="23"/>
        <v>262.63883796886216</v>
      </c>
      <c r="FJ11" s="59">
        <f ca="1">AVERAGE(OFFSET($FI$3,0,0,'Données projet'!$E$16+1,1))-AVERAGE(OFFSET($H$3,0,0,'Données projet'!$E$16+1,1))</f>
        <v>365.63278362856033</v>
      </c>
      <c r="FK11" s="59">
        <f t="shared" si="48"/>
        <v>290.68267842697452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5.0742105263157899</v>
      </c>
      <c r="FZ11" s="12">
        <f>IF('Données projet'!$A$244&gt;35,FZ10+FY11-GH10,IF(A11&lt;'Données projet'!$A$244,$FW$205^A11,IF(A11='Données projet'!$A$244,'Données projet'!$B$244,FZ10+FY11-GH10)))</f>
        <v>40.593684210526312</v>
      </c>
      <c r="GA11" s="17">
        <f>FZ11*VLOOKUP('Données projet'!$B$17,Paramètres!$A$1:$I$89,3,0)*VLOOKUP('Données projet'!$B$17,Paramètres!$A$1:$I$89,5,0)</f>
        <v>34.829381052631575</v>
      </c>
      <c r="GB11" s="13">
        <f t="shared" si="49"/>
        <v>10.617330477847181</v>
      </c>
      <c r="GC11" s="20">
        <f t="shared" si="25"/>
        <v>79.1530225822505</v>
      </c>
      <c r="GD11" s="59">
        <f t="shared" si="26"/>
        <v>276.26614775364021</v>
      </c>
      <c r="GE11" s="59">
        <f ca="1">AVERAGE(OFFSET($GD$3,0,0,'Données projet'!$E$17+1,1))-AVERAGE(OFFSET($H$3,0,0,'Données projet'!$E$17+1,1))</f>
        <v>460.46300302025099</v>
      </c>
      <c r="GF11" s="59">
        <f t="shared" si="50"/>
        <v>340.22534554615879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51.091458380075977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9.5173333333333332</v>
      </c>
      <c r="GU11" s="12">
        <f>IF('Données projet'!$A$270&gt;35,GU10+GT11-HC10,IF(A11&lt;'Données projet'!$A$270,$GR$205^A11,IF(A11='Données projet'!$A$270,'Données projet'!$B$270,GU10+GT11-HC10)))</f>
        <v>14.096895736289365</v>
      </c>
      <c r="GV11" s="17">
        <f>GU11*VLOOKUP('Données projet'!$B$18,Paramètres!$A$1:$I$89,3,0)*VLOOKUP('Données projet'!$B$18,Paramètres!$A$1:$I$89,5,0)</f>
        <v>8.4299436503010412</v>
      </c>
      <c r="GW11" s="13">
        <f t="shared" si="51"/>
        <v>3.0311731456627986</v>
      </c>
      <c r="GX11" s="20">
        <f t="shared" si="28"/>
        <v>19.961445086303687</v>
      </c>
      <c r="GY11" s="59">
        <f t="shared" si="29"/>
        <v>217.07457025769338</v>
      </c>
      <c r="GZ11" s="59">
        <f ca="1">AVERAGE(OFFSET($GY$3,0,0,'Données projet'!$E$18+1,1))-AVERAGE(OFFSET($H$3,0,0,'Données projet'!$E$18+1,1))</f>
        <v>-15.950000000000017</v>
      </c>
      <c r="HA11" s="59">
        <f t="shared" si="52"/>
        <v>-15.950000000000017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4.3499999999999996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15.949999999999998</v>
      </c>
      <c r="H12" s="67">
        <f t="shared" si="1"/>
        <v>192.86666666666667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5.044827586206897</v>
      </c>
      <c r="N12" s="13">
        <f>IF('Données projet'!$A$36&gt;35,N11+M12-V11,IF(A12&lt;'Données projet'!$A$36,$K$205^A12,IF(A12='Données projet'!$A$36,'Données projet'!$B$36,N11+M12-V11)))</f>
        <v>4.698642223454347</v>
      </c>
      <c r="O12" s="13">
        <f>N12*VLOOKUP('Données projet'!$B$9,Paramètres!$A$1:$I$89,3,0)*VLOOKUP('Données projet'!$B$9,Paramètres!$A$1:$I$89,5,0)</f>
        <v>4.1047338464097178</v>
      </c>
      <c r="P12" s="13">
        <f t="shared" si="33"/>
        <v>1.604910036672802</v>
      </c>
      <c r="Q12" s="20">
        <f t="shared" si="2"/>
        <v>9.9442964297020549</v>
      </c>
      <c r="R12" s="59">
        <f t="shared" si="0"/>
        <v>209.48238721109252</v>
      </c>
      <c r="S12" s="59">
        <f ca="1">AVERAGE(OFFSET($R$3,0,0,'Données projet'!$E$9+1,1))-AVERAGE(OFFSET($H$3,0,0,'Données projet'!$E$9+1,1))</f>
        <v>433.46721010558042</v>
      </c>
      <c r="T12" s="59">
        <f t="shared" si="34"/>
        <v>306.18862295347509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9.5173333333333332</v>
      </c>
      <c r="AI12" s="13">
        <f>IF('Données projet'!$A$62&gt;35,AI11+AH12-AQ11,IF(A12&lt;'Données projet'!$A$62,$AF$205^A12,IF(A12='Données projet'!$A$62,'Données projet'!$B$62,AI11+AH12-AQ11)))</f>
        <v>19.622933115628491</v>
      </c>
      <c r="AJ12" s="13">
        <f>AI12*VLOOKUP('Données projet'!$B$10,Paramètres!$A$1:$I$89,3,0)*VLOOKUP('Données projet'!$B$10,Paramètres!$A$1:$I$89,5,0)</f>
        <v>11.734514003145838</v>
      </c>
      <c r="AK12" s="13">
        <f t="shared" si="35"/>
        <v>4.0600504852849548</v>
      </c>
      <c r="AL12" s="20">
        <f t="shared" si="4"/>
        <v>27.508866484016963</v>
      </c>
      <c r="AM12" s="59">
        <f t="shared" si="5"/>
        <v>227.0469572654074</v>
      </c>
      <c r="AN12" s="59">
        <f ca="1">AVERAGE(OFFSET($AM$3,0,0,'Données projet'!$E$10+1,1))-AVERAGE(OFFSET($H$3,0,0,'Données projet'!$E$10+1,1))</f>
        <v>400.1942260113168</v>
      </c>
      <c r="AO12" s="59">
        <f t="shared" si="36"/>
        <v>497.04866930593926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12.5</v>
      </c>
      <c r="BD12" s="12">
        <f>IF('Données projet'!$A$88&gt;35,BD11+BC12-BL11,IF(A12&lt;'Données projet'!$A$88,$BA$205^A12,IF(A12='Données projet'!$A$88,'Données projet'!$B$88,BD11+BC12-BL11)))</f>
        <v>77.129232840001166</v>
      </c>
      <c r="BE12" s="13">
        <f>BD12*VLOOKUP('Données projet'!$B$11,Paramètres!$A$1:$I$89,3,0)*VLOOKUP('Données projet'!$B$11,Paramètres!$A$1:$I$89,5,0)</f>
        <v>49.331857324464742</v>
      </c>
      <c r="BF12" s="13">
        <f t="shared" si="37"/>
        <v>14.441074035952115</v>
      </c>
      <c r="BG12" s="20">
        <f t="shared" si="7"/>
        <v>111.07118878605935</v>
      </c>
      <c r="BH12" s="59">
        <f t="shared" si="8"/>
        <v>310.60927956744979</v>
      </c>
      <c r="BI12" s="59">
        <f ca="1">AVERAGE(OFFSET($BH$3,0,0,'Données projet'!$E$11+1,1))-AVERAGE(OFFSET($H$3,0,0,'Données projet'!$E$11+1,1))</f>
        <v>284.78505691662588</v>
      </c>
      <c r="BJ12" s="59">
        <f t="shared" si="38"/>
        <v>664.42623058686308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12.5</v>
      </c>
      <c r="BY12" s="12">
        <f>IF('Données projet'!$A$114&gt;35,BY11+BX12-CG11,IF(A12&lt;'Données projet'!$A$114,$BV$205^A12,IF(A12='Données projet'!$A$114,'Données projet'!$B$114,BY11+BX12-CG11)))</f>
        <v>77.129232840001166</v>
      </c>
      <c r="BZ12" s="13">
        <f>BY12*VLOOKUP('Données projet'!$B$12,Paramètres!$A$1:$I$89,3,0)*VLOOKUP('Données projet'!$B$12,Paramètres!$A$1:$I$89,5,0)</f>
        <v>67.380097809025017</v>
      </c>
      <c r="CA12" s="13">
        <f t="shared" si="39"/>
        <v>19.021406173876375</v>
      </c>
      <c r="CB12" s="20">
        <f t="shared" si="10"/>
        <v>150.48261943688655</v>
      </c>
      <c r="CC12" s="59">
        <f t="shared" si="11"/>
        <v>350.02071021827703</v>
      </c>
      <c r="CD12" s="59">
        <f ca="1">AVERAGE(OFFSET($CC$3,0,0,'Données projet'!$E$12+1,1))-AVERAGE(OFFSET($H$3,0,0,'Données projet'!$E$12+1,1))</f>
        <v>380.64318988568527</v>
      </c>
      <c r="CE12" s="59">
        <f t="shared" si="40"/>
        <v>885.24651320439159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9.2928571428571427</v>
      </c>
      <c r="CT12" s="12">
        <f>IF('Données projet'!$A$140&gt;35,CT11+CS12-DB11,IF(A12&lt;'Données projet'!$A$140,$CQ$205^A12,IF(A12='Données projet'!$A$140,'Données projet'!$B$140,CT11+CS12-DB11)))</f>
        <v>9.5848765533844578</v>
      </c>
      <c r="CU12" s="17">
        <f>CT12*VLOOKUP('Données projet'!$B$13,Paramètres!$A$1:$I$89,3,0)*VLOOKUP('Données projet'!$B$13,Paramètres!$A$1:$I$89,5,0)</f>
        <v>5.3579459933419118</v>
      </c>
      <c r="CV12" s="13">
        <f t="shared" si="41"/>
        <v>2.0309301680266394</v>
      </c>
      <c r="CW12" s="20">
        <f t="shared" si="13"/>
        <v>12.868959314383559</v>
      </c>
      <c r="CX12" s="59">
        <f t="shared" si="14"/>
        <v>212.40705009577403</v>
      </c>
      <c r="CY12" s="59">
        <f ca="1">AVERAGE(OFFSET($CX$3,0,0,'Données projet'!$E$13+1,1))-AVERAGE(OFFSET($H$3,0,0,'Données projet'!$E$13+1,1))</f>
        <v>404.10467005188889</v>
      </c>
      <c r="CZ12" s="59">
        <f t="shared" si="42"/>
        <v>372.70490129557845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3.1761666666666666</v>
      </c>
      <c r="DO12" s="12">
        <f>IF('Données projet'!$A$166&gt;35,DO11+DN12-DW11,IF(A12&lt;'Données projet'!$A$166,$DL$205^A12,IF(A12='Données projet'!$A$166,'Données projet'!$B$166,DO11+DN12-DW11)))</f>
        <v>28.5855</v>
      </c>
      <c r="DP12" s="17">
        <f>DO12*VLOOKUP('Données projet'!$B$14,Paramètres!$A$1:$I$89,3,0)*VLOOKUP('Données projet'!$B$14,Paramètres!$A$1:$I$89,5,0)</f>
        <v>25.864160399999999</v>
      </c>
      <c r="DQ12" s="13">
        <f t="shared" si="43"/>
        <v>8.1622963326098095</v>
      </c>
      <c r="DR12" s="20">
        <f t="shared" si="16"/>
        <v>59.262745475962085</v>
      </c>
      <c r="DS12" s="59">
        <f t="shared" si="17"/>
        <v>258.80083625735256</v>
      </c>
      <c r="DT12" s="59">
        <f ca="1">AVERAGE(OFFSET($DS$3,0,0,'Données projet'!$E$14+1,1))-AVERAGE(OFFSET($H$3,0,0,'Données projet'!$E$14+1,1))</f>
        <v>479.53113328461268</v>
      </c>
      <c r="DU12" s="59">
        <f t="shared" si="44"/>
        <v>244.6360664588118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11.239444444444445</v>
      </c>
      <c r="EJ12" s="12">
        <f>IF('Données projet'!$A$192&gt;35,EJ11+EI12-ER11,IF(A12&lt;'Données projet'!$A$192,$EG$205^A12,IF(A12='Données projet'!$A$192,'Données projet'!$B$192,EJ11+EI12-ER11)))</f>
        <v>14.223571984561403</v>
      </c>
      <c r="EK12" s="17">
        <f>EJ12*VLOOKUP('Données projet'!$B$15,Paramètres!$A$1:$I$89,3,0)*VLOOKUP('Données projet'!$B$15,Paramètres!$A$1:$I$89,5,0)</f>
        <v>6.2868188171761403</v>
      </c>
      <c r="EL12" s="13">
        <f t="shared" si="45"/>
        <v>2.339083079440075</v>
      </c>
      <c r="EM12" s="20">
        <f t="shared" si="19"/>
        <v>15.023445803273242</v>
      </c>
      <c r="EN12" s="59">
        <f t="shared" si="20"/>
        <v>214.56153658466368</v>
      </c>
      <c r="EO12" s="59">
        <f ca="1">AVERAGE(OFFSET($EN$3,0,0,'Données projet'!$E$15+1,1))-AVERAGE(OFFSET($H$3,0,0,'Données projet'!$E$15+1,1))</f>
        <v>339.23049610652492</v>
      </c>
      <c r="EP12" s="59">
        <f t="shared" si="46"/>
        <v>448.85057640789785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7.6601960784313725</v>
      </c>
      <c r="FE12" s="12">
        <f>IF('Données projet'!$A$218&gt;35,FE11+FD12-FM11,IF(A12&lt;'Données projet'!$A$218,$FB$205^A12,IF(A12='Données projet'!$A$218,'Données projet'!$B$218,FE11+FD12-FM11)))</f>
        <v>68.941764705882335</v>
      </c>
      <c r="FF12" s="17">
        <f>FE12*VLOOKUP('Données projet'!$B$16,Paramètres!$A$1:$I$89,3,0)*VLOOKUP('Données projet'!$B$16,Paramètres!$A$1:$I$89,5,0)</f>
        <v>32.264745882352933</v>
      </c>
      <c r="FG12" s="13">
        <f t="shared" si="47"/>
        <v>9.9234879264418083</v>
      </c>
      <c r="FH12" s="20">
        <f t="shared" si="22"/>
        <v>73.477840550317495</v>
      </c>
      <c r="FI12" s="59">
        <f t="shared" si="23"/>
        <v>273.01593133170798</v>
      </c>
      <c r="FJ12" s="59">
        <f ca="1">AVERAGE(OFFSET($FI$3,0,0,'Données projet'!$E$16+1,1))-AVERAGE(OFFSET($H$3,0,0,'Données projet'!$E$16+1,1))</f>
        <v>365.63278362856033</v>
      </c>
      <c r="FK12" s="59">
        <f t="shared" si="48"/>
        <v>290.68267842697452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5.0742105263157899</v>
      </c>
      <c r="FZ12" s="12">
        <f>IF('Données projet'!$A$244&gt;35,FZ11+FY12-GH11,IF(A12&lt;'Données projet'!$A$244,$FW$205^A12,IF(A12='Données projet'!$A$244,'Données projet'!$B$244,FZ11+FY12-GH11)))</f>
        <v>45.667894736842101</v>
      </c>
      <c r="GA12" s="17">
        <f>FZ12*VLOOKUP('Données projet'!$B$17,Paramètres!$A$1:$I$89,3,0)*VLOOKUP('Données projet'!$B$17,Paramètres!$A$1:$I$89,5,0)</f>
        <v>39.183053684210527</v>
      </c>
      <c r="GB12" s="13">
        <f t="shared" si="49"/>
        <v>11.781855836186697</v>
      </c>
      <c r="GC12" s="20">
        <f t="shared" si="25"/>
        <v>88.763884081358512</v>
      </c>
      <c r="GD12" s="59">
        <f t="shared" si="26"/>
        <v>288.30197486274898</v>
      </c>
      <c r="GE12" s="59">
        <f ca="1">AVERAGE(OFFSET($GD$3,0,0,'Données projet'!$E$17+1,1))-AVERAGE(OFFSET($H$3,0,0,'Données projet'!$E$17+1,1))</f>
        <v>460.46300302025099</v>
      </c>
      <c r="GF12" s="59">
        <f t="shared" si="50"/>
        <v>340.22534554615879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51.419479304015574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9.5173333333333332</v>
      </c>
      <c r="GU12" s="12">
        <f>IF('Données projet'!$A$270&gt;35,GU11+GT12-HC11,IF(A12&lt;'Données projet'!$A$270,$GR$205^A12,IF(A12='Données projet'!$A$270,'Données projet'!$B$270,GU11+GT12-HC11)))</f>
        <v>19.622933115628491</v>
      </c>
      <c r="GV12" s="17">
        <f>GU12*VLOOKUP('Données projet'!$B$18,Paramètres!$A$1:$I$89,3,0)*VLOOKUP('Données projet'!$B$18,Paramètres!$A$1:$I$89,5,0)</f>
        <v>11.734514003145838</v>
      </c>
      <c r="GW12" s="13">
        <f t="shared" si="51"/>
        <v>4.0600504852849548</v>
      </c>
      <c r="GX12" s="20">
        <f t="shared" si="28"/>
        <v>27.508866484016963</v>
      </c>
      <c r="GY12" s="59">
        <f t="shared" si="29"/>
        <v>227.0469572654074</v>
      </c>
      <c r="GZ12" s="59">
        <f ca="1">AVERAGE(OFFSET($GY$3,0,0,'Données projet'!$E$18+1,1))-AVERAGE(OFFSET($H$3,0,0,'Données projet'!$E$18+1,1))</f>
        <v>-15.950000000000017</v>
      </c>
      <c r="HA12" s="59">
        <f t="shared" si="52"/>
        <v>-15.950000000000017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4.3499999999999996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15.949999999999998</v>
      </c>
      <c r="H13" s="67">
        <f t="shared" si="1"/>
        <v>192.86666666666667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5.044827586206897</v>
      </c>
      <c r="N13" s="13">
        <f>IF('Données projet'!$A$36&gt;35,N12+M13-V12,IF(A13&lt;'Données projet'!$A$36,$K$205^A13,IF(A13='Données projet'!$A$36,'Données projet'!$B$36,N12+M13-V12)))</f>
        <v>5.5800228135605776</v>
      </c>
      <c r="O13" s="13">
        <f>N13*VLOOKUP('Données projet'!$B$9,Paramètres!$A$1:$I$89,3,0)*VLOOKUP('Données projet'!$B$9,Paramètres!$A$1:$I$89,5,0)</f>
        <v>4.8747079299265215</v>
      </c>
      <c r="P13" s="13">
        <f t="shared" si="33"/>
        <v>1.8682003440740915</v>
      </c>
      <c r="Q13" s="20">
        <f t="shared" si="2"/>
        <v>11.743898577217735</v>
      </c>
      <c r="R13" s="59">
        <f t="shared" si="0"/>
        <v>213.68609005976236</v>
      </c>
      <c r="S13" s="59">
        <f ca="1">AVERAGE(OFFSET($R$3,0,0,'Données projet'!$E$9+1,1))-AVERAGE(OFFSET($H$3,0,0,'Données projet'!$E$9+1,1))</f>
        <v>433.46721010558042</v>
      </c>
      <c r="T13" s="59">
        <f t="shared" si="34"/>
        <v>306.18862295347509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9.5173333333333332</v>
      </c>
      <c r="AI13" s="13">
        <f>IF('Données projet'!$A$62&gt;35,AI12+AH13-AQ12,IF(A13&lt;'Données projet'!$A$62,$AF$205^A13,IF(A13='Données projet'!$A$62,'Données projet'!$B$62,AI12+AH13-AQ12)))</f>
        <v>27.315198414157098</v>
      </c>
      <c r="AJ13" s="13">
        <f>AI13*VLOOKUP('Données projet'!$B$10,Paramètres!$A$1:$I$89,3,0)*VLOOKUP('Données projet'!$B$10,Paramètres!$A$1:$I$89,5,0)</f>
        <v>16.334488651665946</v>
      </c>
      <c r="AK13" s="13">
        <f t="shared" si="35"/>
        <v>5.4381617779403353</v>
      </c>
      <c r="AL13" s="20">
        <f t="shared" si="4"/>
        <v>37.920699498230938</v>
      </c>
      <c r="AM13" s="59">
        <f t="shared" si="5"/>
        <v>239.86289098077557</v>
      </c>
      <c r="AN13" s="59">
        <f ca="1">AVERAGE(OFFSET($AM$3,0,0,'Données projet'!$E$10+1,1))-AVERAGE(OFFSET($H$3,0,0,'Données projet'!$E$10+1,1))</f>
        <v>400.1942260113168</v>
      </c>
      <c r="AO13" s="59">
        <f t="shared" si="36"/>
        <v>497.04866930593926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125</v>
      </c>
      <c r="BB13" s="12">
        <f>VLOOKUP(A13,'Données projet'!$A$87:$I$107,9,0)</f>
        <v>12.5</v>
      </c>
      <c r="BC13" s="12">
        <f t="array" ref="BC13">INDEX(BB:BB,MIN(IF(ISNUMBER(BB13:BB209),ROW(BB13:BB209),"")))</f>
        <v>12.5</v>
      </c>
      <c r="BD13" s="12">
        <f>IF('Données projet'!$A$88&gt;35,BD12+BC13-BL12,IF(A13&lt;'Données projet'!$A$88,$BA$205^A13,IF(A13='Données projet'!$A$88,'Données projet'!$B$88,BD12+BC13-BL12)))</f>
        <v>125</v>
      </c>
      <c r="BE13" s="13">
        <f>BD13*VLOOKUP('Données projet'!$B$11,Paramètres!$A$1:$I$89,3,0)*VLOOKUP('Données projet'!$B$11,Paramètres!$A$1:$I$89,5,0)</f>
        <v>79.95</v>
      </c>
      <c r="BF13" s="13">
        <f t="shared" si="37"/>
        <v>22.124958423928994</v>
      </c>
      <c r="BG13" s="20">
        <f t="shared" si="7"/>
        <v>177.78055258834297</v>
      </c>
      <c r="BH13" s="59">
        <f t="shared" si="8"/>
        <v>379.72274407088764</v>
      </c>
      <c r="BI13" s="59">
        <f ca="1">AVERAGE(OFFSET($BH$3,0,0,'Données projet'!$E$11+1,1))-AVERAGE(OFFSET($H$3,0,0,'Données projet'!$E$11+1,1))</f>
        <v>284.78505691662588</v>
      </c>
      <c r="BJ13" s="59">
        <f t="shared" si="38"/>
        <v>664.42623058686308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125</v>
      </c>
      <c r="BW13" s="12">
        <f>VLOOKUP(A13,'Données projet'!$A$113:$I$133,9,0)</f>
        <v>12.5</v>
      </c>
      <c r="BX13" s="12">
        <f t="array" ref="BX13">INDEX(BW:BW,MIN(IF(ISNUMBER(BW13:BW209),ROW(BW13:BW209),"")))</f>
        <v>12.5</v>
      </c>
      <c r="BY13" s="12">
        <f>IF('Données projet'!$A$114&gt;35,BY12+BX13-CG12,IF(A13&lt;'Données projet'!$A$114,$BV$205^A13,IF(A13='Données projet'!$A$114,'Données projet'!$B$114,BY12+BX13-CG12)))</f>
        <v>125</v>
      </c>
      <c r="BZ13" s="13">
        <f>BY13*VLOOKUP('Données projet'!$B$12,Paramètres!$A$1:$I$89,3,0)*VLOOKUP('Données projet'!$B$12,Paramètres!$A$1:$I$89,5,0)</f>
        <v>109.2</v>
      </c>
      <c r="CA13" s="13">
        <f t="shared" si="39"/>
        <v>29.142418334948612</v>
      </c>
      <c r="CB13" s="20">
        <f t="shared" si="10"/>
        <v>240.94637860003544</v>
      </c>
      <c r="CC13" s="59">
        <f t="shared" si="11"/>
        <v>442.88857008258009</v>
      </c>
      <c r="CD13" s="59">
        <f ca="1">AVERAGE(OFFSET($CC$3,0,0,'Données projet'!$E$12+1,1))-AVERAGE(OFFSET($H$3,0,0,'Données projet'!$E$12+1,1))</f>
        <v>380.64318988568527</v>
      </c>
      <c r="CE13" s="59">
        <f t="shared" si="40"/>
        <v>885.24651320439159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0.39750000000000002</v>
      </c>
      <c r="CI13" s="16">
        <f>IF(ISNA(VLOOKUP(A13,'Données projet'!$A$113:$I$133,6,0)),0%,VLOOKUP(A13,'Données projet'!$A$113:$I$133,6,0)*VLOOKUP('Données projet'!$B$12,Paramètres!$A$1:$I$89,7,0))</f>
        <v>0.10600000000000001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9.2928571428571427</v>
      </c>
      <c r="CT13" s="12">
        <f>IF('Données projet'!$A$140&gt;35,CT12+CS13-DB12,IF(A13&lt;'Données projet'!$A$140,$CQ$205^A13,IF(A13='Données projet'!$A$140,'Données projet'!$B$140,CT12+CS13-DB12)))</f>
        <v>12.321162720281352</v>
      </c>
      <c r="CU13" s="17">
        <f>CT13*VLOOKUP('Données projet'!$B$13,Paramètres!$A$1:$I$89,3,0)*VLOOKUP('Données projet'!$B$13,Paramètres!$A$1:$I$89,5,0)</f>
        <v>6.8875299606372762</v>
      </c>
      <c r="CV13" s="13">
        <f t="shared" si="41"/>
        <v>2.5355079370654359</v>
      </c>
      <c r="CW13" s="20">
        <f t="shared" si="13"/>
        <v>16.411791005165558</v>
      </c>
      <c r="CX13" s="59">
        <f t="shared" si="14"/>
        <v>218.3539824877102</v>
      </c>
      <c r="CY13" s="59">
        <f ca="1">AVERAGE(OFFSET($CX$3,0,0,'Données projet'!$E$13+1,1))-AVERAGE(OFFSET($H$3,0,0,'Données projet'!$E$13+1,1))</f>
        <v>404.10467005188889</v>
      </c>
      <c r="CZ13" s="59">
        <f t="shared" si="42"/>
        <v>372.70490129557845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3.1761666666666666</v>
      </c>
      <c r="DO13" s="12">
        <f>IF('Données projet'!$A$166&gt;35,DO12+DN13-DW12,IF(A13&lt;'Données projet'!$A$166,$DL$205^A13,IF(A13='Données projet'!$A$166,'Données projet'!$B$166,DO12+DN13-DW12)))</f>
        <v>31.761666666666667</v>
      </c>
      <c r="DP13" s="17">
        <f>DO13*VLOOKUP('Données projet'!$B$14,Paramètres!$A$1:$I$89,3,0)*VLOOKUP('Données projet'!$B$14,Paramètres!$A$1:$I$89,5,0)</f>
        <v>28.737956000000001</v>
      </c>
      <c r="DQ13" s="13">
        <f t="shared" si="43"/>
        <v>8.9586728297136826</v>
      </c>
      <c r="DR13" s="20">
        <f t="shared" si="16"/>
        <v>65.654961878417993</v>
      </c>
      <c r="DS13" s="59">
        <f t="shared" si="17"/>
        <v>267.59715336096264</v>
      </c>
      <c r="DT13" s="59">
        <f ca="1">AVERAGE(OFFSET($DS$3,0,0,'Données projet'!$E$14+1,1))-AVERAGE(OFFSET($H$3,0,0,'Données projet'!$E$14+1,1))</f>
        <v>479.53113328461268</v>
      </c>
      <c r="DU13" s="59">
        <f t="shared" si="44"/>
        <v>244.6360664588118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11.239444444444445</v>
      </c>
      <c r="EJ13" s="12">
        <f>IF('Données projet'!$A$192&gt;35,EJ12+EI13-ER12,IF(A13&lt;'Données projet'!$A$192,$EG$205^A13,IF(A13='Données projet'!$A$192,'Données projet'!$B$192,EJ12+EI13-ER12)))</f>
        <v>19.103843427558129</v>
      </c>
      <c r="EK13" s="17">
        <f>EJ13*VLOOKUP('Données projet'!$B$15,Paramètres!$A$1:$I$89,3,0)*VLOOKUP('Données projet'!$B$15,Paramètres!$A$1:$I$89,5,0)</f>
        <v>8.4438987949806936</v>
      </c>
      <c r="EL13" s="13">
        <f t="shared" si="45"/>
        <v>3.0356065189992774</v>
      </c>
      <c r="EM13" s="20">
        <f t="shared" si="19"/>
        <v>19.99347175518178</v>
      </c>
      <c r="EN13" s="59">
        <f t="shared" si="20"/>
        <v>221.93566323772643</v>
      </c>
      <c r="EO13" s="59">
        <f ca="1">AVERAGE(OFFSET($EN$3,0,0,'Données projet'!$E$15+1,1))-AVERAGE(OFFSET($H$3,0,0,'Données projet'!$E$15+1,1))</f>
        <v>339.23049610652492</v>
      </c>
      <c r="EP13" s="59">
        <f t="shared" si="46"/>
        <v>448.85057640789785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7.6601960784313725</v>
      </c>
      <c r="FE13" s="12">
        <f>IF('Données projet'!$A$218&gt;35,FE12+FD13-FM12,IF(A13&lt;'Données projet'!$A$218,$FB$205^A13,IF(A13='Données projet'!$A$218,'Données projet'!$B$218,FE12+FD13-FM12)))</f>
        <v>76.601960784313704</v>
      </c>
      <c r="FF13" s="17">
        <f>FE13*VLOOKUP('Données projet'!$B$16,Paramètres!$A$1:$I$89,3,0)*VLOOKUP('Données projet'!$B$16,Paramètres!$A$1:$I$89,5,0)</f>
        <v>35.84971764705881</v>
      </c>
      <c r="FG13" s="13">
        <f t="shared" si="47"/>
        <v>10.891699840329213</v>
      </c>
      <c r="FH13" s="20">
        <f t="shared" si="22"/>
        <v>81.407968790534127</v>
      </c>
      <c r="FI13" s="59">
        <f t="shared" si="23"/>
        <v>283.35016027307876</v>
      </c>
      <c r="FJ13" s="59">
        <f ca="1">AVERAGE(OFFSET($FI$3,0,0,'Données projet'!$E$16+1,1))-AVERAGE(OFFSET($H$3,0,0,'Données projet'!$E$16+1,1))</f>
        <v>365.63278362856033</v>
      </c>
      <c r="FK13" s="59">
        <f t="shared" si="48"/>
        <v>290.68267842697452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5.0742105263157899</v>
      </c>
      <c r="FZ13" s="12">
        <f>IF('Données projet'!$A$244&gt;35,FZ12+FY13-GH12,IF(A13&lt;'Données projet'!$A$244,$FW$205^A13,IF(A13='Données projet'!$A$244,'Données projet'!$B$244,FZ12+FY13-GH12)))</f>
        <v>50.742105263157889</v>
      </c>
      <c r="GA13" s="17">
        <f>FZ13*VLOOKUP('Données projet'!$B$17,Paramètres!$A$1:$I$89,3,0)*VLOOKUP('Données projet'!$B$17,Paramètres!$A$1:$I$89,5,0)</f>
        <v>43.536726315789473</v>
      </c>
      <c r="GB13" s="13">
        <f t="shared" si="49"/>
        <v>12.931384436700656</v>
      </c>
      <c r="GC13" s="20">
        <f t="shared" si="25"/>
        <v>98.348626227253632</v>
      </c>
      <c r="GD13" s="59">
        <f t="shared" si="26"/>
        <v>300.29081770979826</v>
      </c>
      <c r="GE13" s="59">
        <f ca="1">AVERAGE(OFFSET($GD$3,0,0,'Données projet'!$E$17+1,1))-AVERAGE(OFFSET($H$3,0,0,'Données projet'!$E$17+1,1))</f>
        <v>460.46300302025099</v>
      </c>
      <c r="GF13" s="59">
        <f t="shared" si="50"/>
        <v>340.22534554615879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51.741809798269742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9.5173333333333332</v>
      </c>
      <c r="GU13" s="12">
        <f>IF('Données projet'!$A$270&gt;35,GU12+GT13-HC12,IF(A13&lt;'Données projet'!$A$270,$GR$205^A13,IF(A13='Données projet'!$A$270,'Données projet'!$B$270,GU12+GT13-HC12)))</f>
        <v>27.315198414157098</v>
      </c>
      <c r="GV13" s="17">
        <f>GU13*VLOOKUP('Données projet'!$B$18,Paramètres!$A$1:$I$89,3,0)*VLOOKUP('Données projet'!$B$18,Paramètres!$A$1:$I$89,5,0)</f>
        <v>16.334488651665946</v>
      </c>
      <c r="GW13" s="13">
        <f t="shared" si="51"/>
        <v>5.4381617779403353</v>
      </c>
      <c r="GX13" s="20">
        <f t="shared" si="28"/>
        <v>37.920699498230938</v>
      </c>
      <c r="GY13" s="59">
        <f t="shared" si="29"/>
        <v>239.86289098077557</v>
      </c>
      <c r="GZ13" s="59">
        <f ca="1">AVERAGE(OFFSET($GY$3,0,0,'Données projet'!$E$18+1,1))-AVERAGE(OFFSET($H$3,0,0,'Données projet'!$E$18+1,1))</f>
        <v>-15.950000000000017</v>
      </c>
      <c r="HA13" s="59">
        <f t="shared" si="52"/>
        <v>-15.950000000000017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4.3499999999999996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15.949999999999998</v>
      </c>
      <c r="H14" s="67">
        <f t="shared" si="1"/>
        <v>192.86666666666667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5.044827586206897</v>
      </c>
      <c r="N14" s="13">
        <f>IF('Données projet'!$A$36&gt;35,N13+M14-V13,IF(A14&lt;'Données projet'!$A$36,$K$205^A14,IF(A14='Données projet'!$A$36,'Données projet'!$B$36,N13+M14-V13)))</f>
        <v>6.6267345158630686</v>
      </c>
      <c r="O14" s="13">
        <f>N14*VLOOKUP('Données projet'!$B$9,Paramètres!$A$1:$I$89,3,0)*VLOOKUP('Données projet'!$B$9,Paramètres!$A$1:$I$89,5,0)</f>
        <v>5.7891152730579769</v>
      </c>
      <c r="P14" s="13">
        <f t="shared" si="33"/>
        <v>2.1746842164649669</v>
      </c>
      <c r="Q14" s="20">
        <f t="shared" si="2"/>
        <v>13.870284110919128</v>
      </c>
      <c r="R14" s="59">
        <f t="shared" si="0"/>
        <v>218.19607334529286</v>
      </c>
      <c r="S14" s="59">
        <f ca="1">AVERAGE(OFFSET($R$3,0,0,'Données projet'!$E$9+1,1))-AVERAGE(OFFSET($H$3,0,0,'Données projet'!$E$9+1,1))</f>
        <v>433.46721010558042</v>
      </c>
      <c r="T14" s="59">
        <f t="shared" si="34"/>
        <v>306.18862295347509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9.5173333333333332</v>
      </c>
      <c r="AI14" s="13">
        <f>IF('Données projet'!$A$62&gt;35,AI13+AH14-AQ13,IF(A14&lt;'Données projet'!$A$62,$AF$205^A14,IF(A14='Données projet'!$A$62,'Données projet'!$B$62,AI13+AH14-AQ13)))</f>
        <v>38.022861312742819</v>
      </c>
      <c r="AJ14" s="13">
        <f>AI14*VLOOKUP('Données projet'!$B$10,Paramètres!$A$1:$I$89,3,0)*VLOOKUP('Données projet'!$B$10,Paramètres!$A$1:$I$89,5,0)</f>
        <v>22.737671065020209</v>
      </c>
      <c r="AK14" s="13">
        <f t="shared" si="35"/>
        <v>7.2840482231037003</v>
      </c>
      <c r="AL14" s="20">
        <f t="shared" si="4"/>
        <v>52.287827760149135</v>
      </c>
      <c r="AM14" s="59">
        <f t="shared" si="5"/>
        <v>256.61361699452289</v>
      </c>
      <c r="AN14" s="59">
        <f ca="1">AVERAGE(OFFSET($AM$3,0,0,'Données projet'!$E$10+1,1))-AVERAGE(OFFSET($H$3,0,0,'Données projet'!$E$10+1,1))</f>
        <v>400.1942260113168</v>
      </c>
      <c r="AO14" s="59">
        <f t="shared" si="36"/>
        <v>497.04866930593926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21.4</v>
      </c>
      <c r="BD14" s="12">
        <f>IF('Données projet'!$A$88&gt;35,BD13+BC14-BL13,IF(A14&lt;'Données projet'!$A$88,$BA$205^A14,IF(A14='Données projet'!$A$88,'Données projet'!$B$88,BD13+BC14-BL13)))</f>
        <v>146.4</v>
      </c>
      <c r="BE14" s="13">
        <f>BD14*VLOOKUP('Données projet'!$B$11,Paramètres!$A$1:$I$89,3,0)*VLOOKUP('Données projet'!$B$11,Paramètres!$A$1:$I$89,5,0)</f>
        <v>93.637439999999998</v>
      </c>
      <c r="BF14" s="13">
        <f t="shared" si="37"/>
        <v>25.440454812880304</v>
      </c>
      <c r="BG14" s="20">
        <f t="shared" si="7"/>
        <v>207.39400013243321</v>
      </c>
      <c r="BH14" s="59">
        <f t="shared" si="8"/>
        <v>411.71978936680694</v>
      </c>
      <c r="BI14" s="59">
        <f ca="1">AVERAGE(OFFSET($BH$3,0,0,'Données projet'!$E$11+1,1))-AVERAGE(OFFSET($H$3,0,0,'Données projet'!$E$11+1,1))</f>
        <v>284.78505691662588</v>
      </c>
      <c r="BJ14" s="59">
        <f t="shared" si="38"/>
        <v>664.42623058686308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21.4</v>
      </c>
      <c r="BY14" s="12">
        <f>IF('Données projet'!$A$114&gt;35,BY13+BX14-CG13,IF(A14&lt;'Données projet'!$A$114,$BV$205^A14,IF(A14='Données projet'!$A$114,'Données projet'!$B$114,BY13+BX14-CG13)))</f>
        <v>146.4</v>
      </c>
      <c r="BZ14" s="13">
        <f>BY14*VLOOKUP('Données projet'!$B$12,Paramètres!$A$1:$I$89,3,0)*VLOOKUP('Données projet'!$B$12,Paramètres!$A$1:$I$89,5,0)</f>
        <v>127.89504000000002</v>
      </c>
      <c r="CA14" s="13">
        <f t="shared" si="39"/>
        <v>33.509503727991913</v>
      </c>
      <c r="CB14" s="20">
        <f t="shared" si="10"/>
        <v>281.11291365958601</v>
      </c>
      <c r="CC14" s="59">
        <f t="shared" si="11"/>
        <v>485.43870289395977</v>
      </c>
      <c r="CD14" s="59">
        <f ca="1">AVERAGE(OFFSET($CC$3,0,0,'Données projet'!$E$12+1,1))-AVERAGE(OFFSET($H$3,0,0,'Données projet'!$E$12+1,1))</f>
        <v>380.64318988568527</v>
      </c>
      <c r="CE14" s="59">
        <f t="shared" si="40"/>
        <v>885.24651320439159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9.2928571428571427</v>
      </c>
      <c r="CT14" s="12">
        <f>IF('Données projet'!$A$140&gt;35,CT13+CS14-DB13,IF(A14&lt;'Données projet'!$A$140,$CQ$205^A14,IF(A14='Données projet'!$A$140,'Données projet'!$B$140,CT13+CS14-DB13)))</f>
        <v>15.838602608402494</v>
      </c>
      <c r="CU14" s="17">
        <f>CT14*VLOOKUP('Données projet'!$B$13,Paramètres!$A$1:$I$89,3,0)*VLOOKUP('Données projet'!$B$13,Paramètres!$A$1:$I$89,5,0)</f>
        <v>8.8537788580969945</v>
      </c>
      <c r="CV14" s="13">
        <f t="shared" si="41"/>
        <v>3.1654463556314143</v>
      </c>
      <c r="CW14" s="20">
        <f t="shared" si="13"/>
        <v>20.933483913910308</v>
      </c>
      <c r="CX14" s="59">
        <f t="shared" si="14"/>
        <v>225.25927314828402</v>
      </c>
      <c r="CY14" s="59">
        <f ca="1">AVERAGE(OFFSET($CX$3,0,0,'Données projet'!$E$13+1,1))-AVERAGE(OFFSET($H$3,0,0,'Données projet'!$E$13+1,1))</f>
        <v>404.10467005188889</v>
      </c>
      <c r="CZ14" s="59">
        <f t="shared" si="42"/>
        <v>372.70490129557845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3.1761666666666666</v>
      </c>
      <c r="DO14" s="12">
        <f>IF('Données projet'!$A$166&gt;35,DO13+DN14-DW13,IF(A14&lt;'Données projet'!$A$166,$DL$205^A14,IF(A14='Données projet'!$A$166,'Données projet'!$B$166,DO13+DN14-DW13)))</f>
        <v>34.93783333333333</v>
      </c>
      <c r="DP14" s="17">
        <f>DO14*VLOOKUP('Données projet'!$B$14,Paramètres!$A$1:$I$89,3,0)*VLOOKUP('Données projet'!$B$14,Paramètres!$A$1:$I$89,5,0)</f>
        <v>31.611751599999995</v>
      </c>
      <c r="DQ14" s="13">
        <f t="shared" si="43"/>
        <v>9.7458170184800252</v>
      </c>
      <c r="DR14" s="20">
        <f t="shared" si="16"/>
        <v>72.031098677186023</v>
      </c>
      <c r="DS14" s="59">
        <f t="shared" si="17"/>
        <v>276.35688791155974</v>
      </c>
      <c r="DT14" s="59">
        <f ca="1">AVERAGE(OFFSET($DS$3,0,0,'Données projet'!$E$14+1,1))-AVERAGE(OFFSET($H$3,0,0,'Données projet'!$E$14+1,1))</f>
        <v>479.53113328461268</v>
      </c>
      <c r="DU14" s="59">
        <f t="shared" si="44"/>
        <v>244.6360664588118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11.239444444444445</v>
      </c>
      <c r="EJ14" s="12">
        <f>IF('Données projet'!$A$192&gt;35,EJ13+EI14-ER13,IF(A14&lt;'Données projet'!$A$192,$EG$205^A14,IF(A14='Données projet'!$A$192,'Données projet'!$B$192,EJ13+EI14-ER13)))</f>
        <v>25.658592236942212</v>
      </c>
      <c r="EK14" s="17">
        <f>EJ14*VLOOKUP('Données projet'!$B$15,Paramètres!$A$1:$I$89,3,0)*VLOOKUP('Données projet'!$B$15,Paramètres!$A$1:$I$89,5,0)</f>
        <v>11.341097768728458</v>
      </c>
      <c r="EL14" s="13">
        <f t="shared" si="45"/>
        <v>3.9395381118300254</v>
      </c>
      <c r="EM14" s="20">
        <f t="shared" si="19"/>
        <v>26.613774158639355</v>
      </c>
      <c r="EN14" s="59">
        <f t="shared" si="20"/>
        <v>230.93956339301309</v>
      </c>
      <c r="EO14" s="59">
        <f ca="1">AVERAGE(OFFSET($EN$3,0,0,'Données projet'!$E$15+1,1))-AVERAGE(OFFSET($H$3,0,0,'Données projet'!$E$15+1,1))</f>
        <v>339.23049610652492</v>
      </c>
      <c r="EP14" s="59">
        <f t="shared" si="46"/>
        <v>448.85057640789785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7.6601960784313725</v>
      </c>
      <c r="FE14" s="12">
        <f>IF('Données projet'!$A$218&gt;35,FE13+FD14-FM13,IF(A14&lt;'Données projet'!$A$218,$FB$205^A14,IF(A14='Données projet'!$A$218,'Données projet'!$B$218,FE13+FD14-FM13)))</f>
        <v>84.262156862745073</v>
      </c>
      <c r="FF14" s="17">
        <f>FE14*VLOOKUP('Données projet'!$B$16,Paramètres!$A$1:$I$89,3,0)*VLOOKUP('Données projet'!$B$16,Paramètres!$A$1:$I$89,5,0)</f>
        <v>39.434689411764694</v>
      </c>
      <c r="FG14" s="13">
        <f t="shared" si="47"/>
        <v>11.848687376102017</v>
      </c>
      <c r="FH14" s="20">
        <f t="shared" si="22"/>
        <v>89.318547905534516</v>
      </c>
      <c r="FI14" s="59">
        <f t="shared" si="23"/>
        <v>293.64433713990826</v>
      </c>
      <c r="FJ14" s="59">
        <f ca="1">AVERAGE(OFFSET($FI$3,0,0,'Données projet'!$E$16+1,1))-AVERAGE(OFFSET($H$3,0,0,'Données projet'!$E$16+1,1))</f>
        <v>365.63278362856033</v>
      </c>
      <c r="FK14" s="59">
        <f t="shared" si="48"/>
        <v>290.68267842697452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5.0742105263157899</v>
      </c>
      <c r="FZ14" s="12">
        <f>IF('Données projet'!$A$244&gt;35,FZ13+FY14-GH13,IF(A14&lt;'Données projet'!$A$244,$FW$205^A14,IF(A14='Données projet'!$A$244,'Données projet'!$B$244,FZ13+FY14-GH13)))</f>
        <v>55.816315789473677</v>
      </c>
      <c r="GA14" s="17">
        <f>FZ14*VLOOKUP('Données projet'!$B$17,Paramètres!$A$1:$I$89,3,0)*VLOOKUP('Données projet'!$B$17,Paramètres!$A$1:$I$89,5,0)</f>
        <v>47.890398947368418</v>
      </c>
      <c r="GB14" s="13">
        <f t="shared" si="49"/>
        <v>14.067586673966394</v>
      </c>
      <c r="GC14" s="20">
        <f t="shared" si="25"/>
        <v>107.91015829049145</v>
      </c>
      <c r="GD14" s="59">
        <f t="shared" si="26"/>
        <v>312.2359475248652</v>
      </c>
      <c r="GE14" s="59">
        <f ca="1">AVERAGE(OFFSET($GD$3,0,0,'Données projet'!$E$17+1,1))-AVERAGE(OFFSET($H$3,0,0,'Données projet'!$E$17+1,1))</f>
        <v>460.46300302025099</v>
      </c>
      <c r="GF14" s="59">
        <f t="shared" si="50"/>
        <v>340.22534554615879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52.058548579071633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9.5173333333333332</v>
      </c>
      <c r="GU14" s="12">
        <f>IF('Données projet'!$A$270&gt;35,GU13+GT14-HC13,IF(A14&lt;'Données projet'!$A$270,$GR$205^A14,IF(A14='Données projet'!$A$270,'Données projet'!$B$270,GU13+GT14-HC13)))</f>
        <v>38.022861312742819</v>
      </c>
      <c r="GV14" s="17">
        <f>GU14*VLOOKUP('Données projet'!$B$18,Paramètres!$A$1:$I$89,3,0)*VLOOKUP('Données projet'!$B$18,Paramètres!$A$1:$I$89,5,0)</f>
        <v>22.737671065020209</v>
      </c>
      <c r="GW14" s="13">
        <f t="shared" si="51"/>
        <v>7.2840482231037003</v>
      </c>
      <c r="GX14" s="20">
        <f t="shared" si="28"/>
        <v>52.287827760149135</v>
      </c>
      <c r="GY14" s="59">
        <f t="shared" si="29"/>
        <v>256.61361699452289</v>
      </c>
      <c r="GZ14" s="59">
        <f ca="1">AVERAGE(OFFSET($GY$3,0,0,'Données projet'!$E$18+1,1))-AVERAGE(OFFSET($H$3,0,0,'Données projet'!$E$18+1,1))</f>
        <v>-15.950000000000017</v>
      </c>
      <c r="HA14" s="59">
        <f t="shared" si="52"/>
        <v>-15.950000000000017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4.3499999999999996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15.949999999999998</v>
      </c>
      <c r="H15" s="67">
        <f t="shared" si="1"/>
        <v>192.86666666666667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5.044827586206897</v>
      </c>
      <c r="N15" s="13">
        <f>IF('Données projet'!$A$36&gt;35,N14+M15-V14,IF(A15&lt;'Données projet'!$A$36,$K$205^A15,IF(A15='Données projet'!$A$36,'Données projet'!$B$36,N14+M15-V14)))</f>
        <v>7.8697904669873431</v>
      </c>
      <c r="O15" s="13">
        <f>N15*VLOOKUP('Données projet'!$B$9,Paramètres!$A$1:$I$89,3,0)*VLOOKUP('Données projet'!$B$9,Paramètres!$A$1:$I$89,5,0)</f>
        <v>6.8750489519601441</v>
      </c>
      <c r="P15" s="13">
        <f t="shared" si="33"/>
        <v>2.53144768779375</v>
      </c>
      <c r="Q15" s="20">
        <f t="shared" si="2"/>
        <v>16.382981647571366</v>
      </c>
      <c r="R15" s="59">
        <f t="shared" si="0"/>
        <v>223.07222136478231</v>
      </c>
      <c r="S15" s="59">
        <f ca="1">AVERAGE(OFFSET($R$3,0,0,'Données projet'!$E$9+1,1))-AVERAGE(OFFSET($H$3,0,0,'Données projet'!$E$9+1,1))</f>
        <v>433.46721010558042</v>
      </c>
      <c r="T15" s="59">
        <f t="shared" si="34"/>
        <v>306.18862295347509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9.5173333333333332</v>
      </c>
      <c r="AI15" s="13">
        <f>IF('Données projet'!$A$62&gt;35,AI14+AH15-AQ14,IF(A15&lt;'Données projet'!$A$62,$AF$205^A15,IF(A15='Données projet'!$A$62,'Données projet'!$B$62,AI14+AH15-AQ14)))</f>
        <v>52.927969275111259</v>
      </c>
      <c r="AJ15" s="13">
        <f>AI15*VLOOKUP('Données projet'!$B$10,Paramètres!$A$1:$I$89,3,0)*VLOOKUP('Données projet'!$B$10,Paramètres!$A$1:$I$89,5,0)</f>
        <v>31.650925626516536</v>
      </c>
      <c r="AK15" s="13">
        <f t="shared" si="35"/>
        <v>9.756487703570162</v>
      </c>
      <c r="AL15" s="20">
        <f t="shared" si="4"/>
        <v>72.117911549900995</v>
      </c>
      <c r="AM15" s="59">
        <f t="shared" si="5"/>
        <v>278.80715126711192</v>
      </c>
      <c r="AN15" s="59">
        <f ca="1">AVERAGE(OFFSET($AM$3,0,0,'Données projet'!$E$10+1,1))-AVERAGE(OFFSET($H$3,0,0,'Données projet'!$E$10+1,1))</f>
        <v>400.1942260113168</v>
      </c>
      <c r="AO15" s="59">
        <f t="shared" si="36"/>
        <v>497.04866930593926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21.4</v>
      </c>
      <c r="BD15" s="12">
        <f>IF('Données projet'!$A$88&gt;35,BD14+BC15-BL14,IF(A15&lt;'Données projet'!$A$88,$BA$205^A15,IF(A15='Données projet'!$A$88,'Données projet'!$B$88,BD14+BC15-BL14)))</f>
        <v>167.8</v>
      </c>
      <c r="BE15" s="13">
        <f>BD15*VLOOKUP('Données projet'!$B$11,Paramètres!$A$1:$I$89,3,0)*VLOOKUP('Données projet'!$B$11,Paramètres!$A$1:$I$89,5,0)</f>
        <v>107.32488000000001</v>
      </c>
      <c r="BF15" s="13">
        <f t="shared" si="37"/>
        <v>28.699805170985062</v>
      </c>
      <c r="BG15" s="20">
        <f t="shared" si="7"/>
        <v>236.9096600061323</v>
      </c>
      <c r="BH15" s="59">
        <f t="shared" si="8"/>
        <v>443.59889972334327</v>
      </c>
      <c r="BI15" s="59">
        <f ca="1">AVERAGE(OFFSET($BH$3,0,0,'Données projet'!$E$11+1,1))-AVERAGE(OFFSET($H$3,0,0,'Données projet'!$E$11+1,1))</f>
        <v>284.78505691662588</v>
      </c>
      <c r="BJ15" s="59">
        <f t="shared" si="38"/>
        <v>664.42623058686308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21.4</v>
      </c>
      <c r="BY15" s="12">
        <f>IF('Données projet'!$A$114&gt;35,BY14+BX15-CG14,IF(A15&lt;'Données projet'!$A$114,$BV$205^A15,IF(A15='Données projet'!$A$114,'Données projet'!$B$114,BY14+BX15-CG14)))</f>
        <v>167.8</v>
      </c>
      <c r="BZ15" s="13">
        <f>BY15*VLOOKUP('Données projet'!$B$12,Paramètres!$A$1:$I$89,3,0)*VLOOKUP('Données projet'!$B$12,Paramètres!$A$1:$I$89,5,0)</f>
        <v>146.59008000000003</v>
      </c>
      <c r="CA15" s="13">
        <f t="shared" si="39"/>
        <v>37.802635033193511</v>
      </c>
      <c r="CB15" s="20">
        <f t="shared" si="10"/>
        <v>321.15064534947874</v>
      </c>
      <c r="CC15" s="59">
        <f t="shared" si="11"/>
        <v>527.8398850666897</v>
      </c>
      <c r="CD15" s="59">
        <f ca="1">AVERAGE(OFFSET($CC$3,0,0,'Données projet'!$E$12+1,1))-AVERAGE(OFFSET($H$3,0,0,'Données projet'!$E$12+1,1))</f>
        <v>380.64318988568527</v>
      </c>
      <c r="CE15" s="59">
        <f t="shared" si="40"/>
        <v>885.24651320439159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9.2928571428571427</v>
      </c>
      <c r="CT15" s="12">
        <f>IF('Données projet'!$A$140&gt;35,CT14+CS15-DB14,IF(A15&lt;'Données projet'!$A$140,$CQ$205^A15,IF(A15='Données projet'!$A$140,'Données projet'!$B$140,CT14+CS15-DB14)))</f>
        <v>20.360199624176857</v>
      </c>
      <c r="CU15" s="17">
        <f>CT15*VLOOKUP('Données projet'!$B$13,Paramètres!$A$1:$I$89,3,0)*VLOOKUP('Données projet'!$B$13,Paramètres!$A$1:$I$89,5,0)</f>
        <v>11.381351589914864</v>
      </c>
      <c r="CV15" s="13">
        <f t="shared" si="41"/>
        <v>3.9518908554383323</v>
      </c>
      <c r="CW15" s="20">
        <f t="shared" si="13"/>
        <v>26.705397258990146</v>
      </c>
      <c r="CX15" s="59">
        <f t="shared" si="14"/>
        <v>233.39463697620107</v>
      </c>
      <c r="CY15" s="59">
        <f ca="1">AVERAGE(OFFSET($CX$3,0,0,'Données projet'!$E$13+1,1))-AVERAGE(OFFSET($H$3,0,0,'Données projet'!$E$13+1,1))</f>
        <v>404.10467005188889</v>
      </c>
      <c r="CZ15" s="59">
        <f t="shared" si="42"/>
        <v>372.70490129557845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3.1761666666666666</v>
      </c>
      <c r="DO15" s="12">
        <f>IF('Données projet'!$A$166&gt;35,DO14+DN15-DW14,IF(A15&lt;'Données projet'!$A$166,$DL$205^A15,IF(A15='Données projet'!$A$166,'Données projet'!$B$166,DO14+DN15-DW14)))</f>
        <v>38.113999999999997</v>
      </c>
      <c r="DP15" s="17">
        <f>DO15*VLOOKUP('Données projet'!$B$14,Paramètres!$A$1:$I$89,3,0)*VLOOKUP('Données projet'!$B$14,Paramètres!$A$1:$I$89,5,0)</f>
        <v>34.485547199999999</v>
      </c>
      <c r="DQ15" s="13">
        <f t="shared" si="43"/>
        <v>10.524663651073414</v>
      </c>
      <c r="DR15" s="20">
        <f t="shared" si="16"/>
        <v>78.392783898952857</v>
      </c>
      <c r="DS15" s="59">
        <f t="shared" si="17"/>
        <v>285.08202361616378</v>
      </c>
      <c r="DT15" s="59">
        <f ca="1">AVERAGE(OFFSET($DS$3,0,0,'Données projet'!$E$14+1,1))-AVERAGE(OFFSET($H$3,0,0,'Données projet'!$E$14+1,1))</f>
        <v>479.53113328461268</v>
      </c>
      <c r="DU15" s="59">
        <f t="shared" si="44"/>
        <v>244.6360664588118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11.239444444444445</v>
      </c>
      <c r="EJ15" s="12">
        <f>IF('Données projet'!$A$192&gt;35,EJ14+EI15-ER14,IF(A15&lt;'Données projet'!$A$192,$EG$205^A15,IF(A15='Données projet'!$A$192,'Données projet'!$B$192,EJ14+EI15-ER14)))</f>
        <v>34.462350891755804</v>
      </c>
      <c r="EK15" s="17">
        <f>EJ15*VLOOKUP('Données projet'!$B$15,Paramètres!$A$1:$I$89,3,0)*VLOOKUP('Données projet'!$B$15,Paramètres!$A$1:$I$89,5,0)</f>
        <v>15.232359094156067</v>
      </c>
      <c r="EL15" s="13">
        <f t="shared" si="45"/>
        <v>5.1126390846194427</v>
      </c>
      <c r="EM15" s="20">
        <f t="shared" si="19"/>
        <v>35.434205161367345</v>
      </c>
      <c r="EN15" s="59">
        <f t="shared" si="20"/>
        <v>242.12344487857828</v>
      </c>
      <c r="EO15" s="59">
        <f ca="1">AVERAGE(OFFSET($EN$3,0,0,'Données projet'!$E$15+1,1))-AVERAGE(OFFSET($H$3,0,0,'Données projet'!$E$15+1,1))</f>
        <v>339.23049610652492</v>
      </c>
      <c r="EP15" s="59">
        <f t="shared" si="46"/>
        <v>448.85057640789785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7.6601960784313725</v>
      </c>
      <c r="FE15" s="12">
        <f>IF('Données projet'!$A$218&gt;35,FE14+FD15-FM14,IF(A15&lt;'Données projet'!$A$218,$FB$205^A15,IF(A15='Données projet'!$A$218,'Données projet'!$B$218,FE14+FD15-FM14)))</f>
        <v>91.922352941176442</v>
      </c>
      <c r="FF15" s="17">
        <f>FE15*VLOOKUP('Données projet'!$B$16,Paramètres!$A$1:$I$89,3,0)*VLOOKUP('Données projet'!$B$16,Paramètres!$A$1:$I$89,5,0)</f>
        <v>43.019661176470578</v>
      </c>
      <c r="FG15" s="13">
        <f t="shared" si="47"/>
        <v>12.795586978878276</v>
      </c>
      <c r="FH15" s="20">
        <f t="shared" si="22"/>
        <v>97.211557203899247</v>
      </c>
      <c r="FI15" s="59">
        <f t="shared" si="23"/>
        <v>303.90079692111021</v>
      </c>
      <c r="FJ15" s="59">
        <f ca="1">AVERAGE(OFFSET($FI$3,0,0,'Données projet'!$E$16+1,1))-AVERAGE(OFFSET($H$3,0,0,'Données projet'!$E$16+1,1))</f>
        <v>365.63278362856033</v>
      </c>
      <c r="FK15" s="59">
        <f t="shared" si="48"/>
        <v>290.68267842697452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5.0742105263157899</v>
      </c>
      <c r="FZ15" s="12">
        <f>IF('Données projet'!$A$244&gt;35,FZ14+FY15-GH14,IF(A15&lt;'Données projet'!$A$244,$FW$205^A15,IF(A15='Données projet'!$A$244,'Données projet'!$B$244,FZ14+FY15-GH14)))</f>
        <v>60.890526315789465</v>
      </c>
      <c r="GA15" s="17">
        <f>FZ15*VLOOKUP('Données projet'!$B$17,Paramètres!$A$1:$I$89,3,0)*VLOOKUP('Données projet'!$B$17,Paramètres!$A$1:$I$89,5,0)</f>
        <v>52.24407157894737</v>
      </c>
      <c r="GB15" s="13">
        <f t="shared" si="49"/>
        <v>15.191811814758454</v>
      </c>
      <c r="GC15" s="20">
        <f t="shared" si="25"/>
        <v>117.45083024403765</v>
      </c>
      <c r="GD15" s="59">
        <f t="shared" si="26"/>
        <v>324.14006996124857</v>
      </c>
      <c r="GE15" s="59">
        <f ca="1">AVERAGE(OFFSET($GD$3,0,0,'Données projet'!$E$17+1,1))-AVERAGE(OFFSET($H$3,0,0,'Données projet'!$E$17+1,1))</f>
        <v>460.46300302025099</v>
      </c>
      <c r="GF15" s="59">
        <f t="shared" si="50"/>
        <v>340.22534554615879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52.369792650148433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9.5173333333333332</v>
      </c>
      <c r="GU15" s="12">
        <f>IF('Données projet'!$A$270&gt;35,GU14+GT15-HC14,IF(A15&lt;'Données projet'!$A$270,$GR$205^A15,IF(A15='Données projet'!$A$270,'Données projet'!$B$270,GU14+GT15-HC14)))</f>
        <v>52.927969275111259</v>
      </c>
      <c r="GV15" s="17">
        <f>GU15*VLOOKUP('Données projet'!$B$18,Paramètres!$A$1:$I$89,3,0)*VLOOKUP('Données projet'!$B$18,Paramètres!$A$1:$I$89,5,0)</f>
        <v>31.650925626516536</v>
      </c>
      <c r="GW15" s="13">
        <f t="shared" si="51"/>
        <v>9.756487703570162</v>
      </c>
      <c r="GX15" s="20">
        <f t="shared" si="28"/>
        <v>72.117911549900995</v>
      </c>
      <c r="GY15" s="59">
        <f t="shared" si="29"/>
        <v>278.80715126711192</v>
      </c>
      <c r="GZ15" s="59">
        <f ca="1">AVERAGE(OFFSET($GY$3,0,0,'Données projet'!$E$18+1,1))-AVERAGE(OFFSET($H$3,0,0,'Données projet'!$E$18+1,1))</f>
        <v>-15.950000000000017</v>
      </c>
      <c r="HA15" s="59">
        <f t="shared" si="52"/>
        <v>-15.950000000000017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4.3499999999999996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15.949999999999998</v>
      </c>
      <c r="H16" s="67">
        <f t="shared" si="1"/>
        <v>192.86666666666667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5.044827586206897</v>
      </c>
      <c r="N16" s="13">
        <f>IF('Données projet'!$A$36&gt;35,N15+M16-V15,IF(A16&lt;'Données projet'!$A$36,$K$205^A16,IF(A16='Données projet'!$A$36,'Données projet'!$B$36,N15+M16-V15)))</f>
        <v>9.3460213089913733</v>
      </c>
      <c r="O16" s="13">
        <f>N16*VLOOKUP('Données projet'!$B$9,Paramètres!$A$1:$I$89,3,0)*VLOOKUP('Données projet'!$B$9,Paramètres!$A$1:$I$89,5,0)</f>
        <v>8.1646842155348658</v>
      </c>
      <c r="P16" s="13">
        <f t="shared" si="33"/>
        <v>2.9467392771411864</v>
      </c>
      <c r="Q16" s="20">
        <f t="shared" si="2"/>
        <v>19.352395916410792</v>
      </c>
      <c r="R16" s="59">
        <f t="shared" si="0"/>
        <v>228.38528835754136</v>
      </c>
      <c r="S16" s="59">
        <f ca="1">AVERAGE(OFFSET($R$3,0,0,'Données projet'!$E$9+1,1))-AVERAGE(OFFSET($H$3,0,0,'Données projet'!$E$9+1,1))</f>
        <v>433.46721010558042</v>
      </c>
      <c r="T16" s="59">
        <f t="shared" si="34"/>
        <v>306.18862295347509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9.5173333333333332</v>
      </c>
      <c r="AI16" s="13">
        <f>IF('Données projet'!$A$62&gt;35,AI15+AH16-AQ15,IF(A16&lt;'Données projet'!$A$62,$AF$205^A16,IF(A16='Données projet'!$A$62,'Données projet'!$B$62,AI15+AH16-AQ15)))</f>
        <v>73.675936919778366</v>
      </c>
      <c r="AJ16" s="13">
        <f>AI16*VLOOKUP('Données projet'!$B$10,Paramètres!$A$1:$I$89,3,0)*VLOOKUP('Données projet'!$B$10,Paramètres!$A$1:$I$89,5,0)</f>
        <v>44.058210278027467</v>
      </c>
      <c r="AK16" s="13">
        <f t="shared" si="35"/>
        <v>13.068152405690167</v>
      </c>
      <c r="AL16" s="20">
        <f t="shared" si="4"/>
        <v>99.495081674141531</v>
      </c>
      <c r="AM16" s="59">
        <f t="shared" si="5"/>
        <v>308.52797411527212</v>
      </c>
      <c r="AN16" s="59">
        <f ca="1">AVERAGE(OFFSET($AM$3,0,0,'Données projet'!$E$10+1,1))-AVERAGE(OFFSET($H$3,0,0,'Données projet'!$E$10+1,1))</f>
        <v>400.1942260113168</v>
      </c>
      <c r="AO16" s="59">
        <f t="shared" si="36"/>
        <v>497.04866930593926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21.4</v>
      </c>
      <c r="BD16" s="12">
        <f>IF('Données projet'!$A$88&gt;35,BD15+BC16-BL15,IF(A16&lt;'Données projet'!$A$88,$BA$205^A16,IF(A16='Données projet'!$A$88,'Données projet'!$B$88,BD15+BC16-BL15)))</f>
        <v>189.20000000000002</v>
      </c>
      <c r="BE16" s="13">
        <f>BD16*VLOOKUP('Données projet'!$B$11,Paramètres!$A$1:$I$89,3,0)*VLOOKUP('Données projet'!$B$11,Paramètres!$A$1:$I$89,5,0)</f>
        <v>121.01232</v>
      </c>
      <c r="BF16" s="13">
        <f t="shared" si="37"/>
        <v>31.910990749554291</v>
      </c>
      <c r="BG16" s="20">
        <f t="shared" si="7"/>
        <v>266.34143288880711</v>
      </c>
      <c r="BH16" s="59">
        <f t="shared" si="8"/>
        <v>475.37432532993768</v>
      </c>
      <c r="BI16" s="59">
        <f ca="1">AVERAGE(OFFSET($BH$3,0,0,'Données projet'!$E$11+1,1))-AVERAGE(OFFSET($H$3,0,0,'Données projet'!$E$11+1,1))</f>
        <v>284.78505691662588</v>
      </c>
      <c r="BJ16" s="59">
        <f t="shared" si="38"/>
        <v>664.42623058686308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21.4</v>
      </c>
      <c r="BY16" s="12">
        <f>IF('Données projet'!$A$114&gt;35,BY15+BX16-CG15,IF(A16&lt;'Données projet'!$A$114,$BV$205^A16,IF(A16='Données projet'!$A$114,'Données projet'!$B$114,BY15+BX16-CG15)))</f>
        <v>189.20000000000002</v>
      </c>
      <c r="BZ16" s="13">
        <f>BY16*VLOOKUP('Données projet'!$B$12,Paramètres!$A$1:$I$89,3,0)*VLOOKUP('Données projet'!$B$12,Paramètres!$A$1:$I$89,5,0)</f>
        <v>165.28512000000003</v>
      </c>
      <c r="CA16" s="13">
        <f t="shared" si="39"/>
        <v>42.032324946671778</v>
      </c>
      <c r="CB16" s="20">
        <f t="shared" si="10"/>
        <v>361.07788328212001</v>
      </c>
      <c r="CC16" s="59">
        <f t="shared" si="11"/>
        <v>570.11077572325053</v>
      </c>
      <c r="CD16" s="59">
        <f ca="1">AVERAGE(OFFSET($CC$3,0,0,'Données projet'!$E$12+1,1))-AVERAGE(OFFSET($H$3,0,0,'Données projet'!$E$12+1,1))</f>
        <v>380.64318988568527</v>
      </c>
      <c r="CE16" s="59">
        <f t="shared" si="40"/>
        <v>885.24651320439159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9.2928571428571427</v>
      </c>
      <c r="CT16" s="12">
        <f>IF('Données projet'!$A$140&gt;35,CT15+CS16-DB15,IF(A16&lt;'Données projet'!$A$140,$CQ$205^A16,IF(A16='Données projet'!$A$140,'Données projet'!$B$140,CT15+CS16-DB15)))</f>
        <v>26.172620084325885</v>
      </c>
      <c r="CU16" s="17">
        <f>CT16*VLOOKUP('Données projet'!$B$13,Paramètres!$A$1:$I$89,3,0)*VLOOKUP('Données projet'!$B$13,Paramètres!$A$1:$I$89,5,0)</f>
        <v>14.63049462713817</v>
      </c>
      <c r="CV16" s="13">
        <f t="shared" si="41"/>
        <v>4.9337248459489009</v>
      </c>
      <c r="CW16" s="20">
        <f t="shared" si="13"/>
        <v>34.074348915626643</v>
      </c>
      <c r="CX16" s="59">
        <f t="shared" si="14"/>
        <v>243.10724135675721</v>
      </c>
      <c r="CY16" s="59">
        <f ca="1">AVERAGE(OFFSET($CX$3,0,0,'Données projet'!$E$13+1,1))-AVERAGE(OFFSET($H$3,0,0,'Données projet'!$E$13+1,1))</f>
        <v>404.10467005188889</v>
      </c>
      <c r="CZ16" s="59">
        <f t="shared" si="42"/>
        <v>372.70490129557845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3.1761666666666666</v>
      </c>
      <c r="DO16" s="12">
        <f>IF('Données projet'!$A$166&gt;35,DO15+DN16-DW15,IF(A16&lt;'Données projet'!$A$166,$DL$205^A16,IF(A16='Données projet'!$A$166,'Données projet'!$B$166,DO15+DN16-DW15)))</f>
        <v>41.290166666666664</v>
      </c>
      <c r="DP16" s="17">
        <f>DO16*VLOOKUP('Données projet'!$B$14,Paramètres!$A$1:$I$89,3,0)*VLOOKUP('Données projet'!$B$14,Paramètres!$A$1:$I$89,5,0)</f>
        <v>37.3593428</v>
      </c>
      <c r="DQ16" s="13">
        <f t="shared" si="43"/>
        <v>11.295982803712262</v>
      </c>
      <c r="DR16" s="20">
        <f t="shared" si="16"/>
        <v>84.741358759798842</v>
      </c>
      <c r="DS16" s="59">
        <f t="shared" si="17"/>
        <v>293.77425120092943</v>
      </c>
      <c r="DT16" s="59">
        <f ca="1">AVERAGE(OFFSET($DS$3,0,0,'Données projet'!$E$14+1,1))-AVERAGE(OFFSET($H$3,0,0,'Données projet'!$E$14+1,1))</f>
        <v>479.53113328461268</v>
      </c>
      <c r="DU16" s="59">
        <f t="shared" si="44"/>
        <v>244.6360664588118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11.239444444444445</v>
      </c>
      <c r="EJ16" s="12">
        <f>IF('Données projet'!$A$192&gt;35,EJ15+EI16-ER15,IF(A16&lt;'Données projet'!$A$192,$EG$205^A16,IF(A16='Données projet'!$A$192,'Données projet'!$B$192,EJ15+EI16-ER15)))</f>
        <v>46.2867805848119</v>
      </c>
      <c r="EK16" s="17">
        <f>EJ16*VLOOKUP('Données projet'!$B$15,Paramètres!$A$1:$I$89,3,0)*VLOOKUP('Données projet'!$B$15,Paramètres!$A$1:$I$89,5,0)</f>
        <v>20.458757018486864</v>
      </c>
      <c r="EL16" s="13">
        <f t="shared" si="45"/>
        <v>6.6350616918987022</v>
      </c>
      <c r="EM16" s="20">
        <f t="shared" si="19"/>
        <v>47.188400920588187</v>
      </c>
      <c r="EN16" s="59">
        <f t="shared" si="20"/>
        <v>256.22129336171878</v>
      </c>
      <c r="EO16" s="59">
        <f ca="1">AVERAGE(OFFSET($EN$3,0,0,'Données projet'!$E$15+1,1))-AVERAGE(OFFSET($H$3,0,0,'Données projet'!$E$15+1,1))</f>
        <v>339.23049610652492</v>
      </c>
      <c r="EP16" s="59">
        <f t="shared" si="46"/>
        <v>448.85057640789785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7.6601960784313725</v>
      </c>
      <c r="FE16" s="12">
        <f>IF('Données projet'!$A$218&gt;35,FE15+FD16-FM15,IF(A16&lt;'Données projet'!$A$218,$FB$205^A16,IF(A16='Données projet'!$A$218,'Données projet'!$B$218,FE15+FD16-FM15)))</f>
        <v>99.582549019607811</v>
      </c>
      <c r="FF16" s="17">
        <f>FE16*VLOOKUP('Données projet'!$B$16,Paramètres!$A$1:$I$89,3,0)*VLOOKUP('Données projet'!$B$16,Paramètres!$A$1:$I$89,5,0)</f>
        <v>46.604632941176455</v>
      </c>
      <c r="FG16" s="13">
        <f t="shared" si="47"/>
        <v>13.733334885440446</v>
      </c>
      <c r="FH16" s="20">
        <f t="shared" si="22"/>
        <v>105.08862729802443</v>
      </c>
      <c r="FI16" s="59">
        <f t="shared" si="23"/>
        <v>314.12151973915502</v>
      </c>
      <c r="FJ16" s="59">
        <f ca="1">AVERAGE(OFFSET($FI$3,0,0,'Données projet'!$E$16+1,1))-AVERAGE(OFFSET($H$3,0,0,'Données projet'!$E$16+1,1))</f>
        <v>365.63278362856033</v>
      </c>
      <c r="FK16" s="59">
        <f t="shared" si="48"/>
        <v>290.68267842697452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5.0742105263157899</v>
      </c>
      <c r="FZ16" s="12">
        <f>IF('Données projet'!$A$244&gt;35,FZ15+FY16-GH15,IF(A16&lt;'Données projet'!$A$244,$FW$205^A16,IF(A16='Données projet'!$A$244,'Données projet'!$B$244,FZ15+FY16-GH15)))</f>
        <v>65.964736842105253</v>
      </c>
      <c r="GA16" s="17">
        <f>FZ16*VLOOKUP('Données projet'!$B$17,Paramètres!$A$1:$I$89,3,0)*VLOOKUP('Données projet'!$B$17,Paramètres!$A$1:$I$89,5,0)</f>
        <v>56.597744210526315</v>
      </c>
      <c r="GB16" s="13">
        <f t="shared" si="49"/>
        <v>16.305171424574894</v>
      </c>
      <c r="GC16" s="20">
        <f t="shared" si="25"/>
        <v>126.97257806446794</v>
      </c>
      <c r="GD16" s="59">
        <f t="shared" si="26"/>
        <v>336.00547050559851</v>
      </c>
      <c r="GE16" s="59">
        <f ca="1">AVERAGE(OFFSET($GD$3,0,0,'Données projet'!$E$17+1,1))-AVERAGE(OFFSET($H$3,0,0,'Données projet'!$E$17+1,1))</f>
        <v>460.46300302025099</v>
      </c>
      <c r="GF16" s="59">
        <f t="shared" si="50"/>
        <v>340.22534554615879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52.675637332429552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9.5173333333333332</v>
      </c>
      <c r="GU16" s="12">
        <f>IF('Données projet'!$A$270&gt;35,GU15+GT16-HC15,IF(A16&lt;'Données projet'!$A$270,$GR$205^A16,IF(A16='Données projet'!$A$270,'Données projet'!$B$270,GU15+GT16-HC15)))</f>
        <v>73.675936919778366</v>
      </c>
      <c r="GV16" s="17">
        <f>GU16*VLOOKUP('Données projet'!$B$18,Paramètres!$A$1:$I$89,3,0)*VLOOKUP('Données projet'!$B$18,Paramètres!$A$1:$I$89,5,0)</f>
        <v>44.058210278027467</v>
      </c>
      <c r="GW16" s="13">
        <f t="shared" si="51"/>
        <v>13.068152405690167</v>
      </c>
      <c r="GX16" s="20">
        <f t="shared" si="28"/>
        <v>99.495081674141531</v>
      </c>
      <c r="GY16" s="59">
        <f t="shared" si="29"/>
        <v>308.52797411527212</v>
      </c>
      <c r="GZ16" s="59">
        <f ca="1">AVERAGE(OFFSET($GY$3,0,0,'Données projet'!$E$18+1,1))-AVERAGE(OFFSET($H$3,0,0,'Données projet'!$E$18+1,1))</f>
        <v>-15.950000000000017</v>
      </c>
      <c r="HA16" s="59">
        <f t="shared" si="52"/>
        <v>-15.950000000000017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4.3499999999999996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15.949999999999998</v>
      </c>
      <c r="H17" s="67">
        <f t="shared" si="1"/>
        <v>192.86666666666667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5.044827586206897</v>
      </c>
      <c r="N17" s="13">
        <f>IF('Données projet'!$A$36&gt;35,N16+M17-V16,IF(A17&lt;'Données projet'!$A$36,$K$205^A17,IF(A17='Données projet'!$A$36,'Données projet'!$B$36,N16+M17-V16)))</f>
        <v>11.099166448526654</v>
      </c>
      <c r="O17" s="13">
        <f>N17*VLOOKUP('Données projet'!$B$9,Paramètres!$A$1:$I$89,3,0)*VLOOKUP('Données projet'!$B$9,Paramètres!$A$1:$I$89,5,0)</f>
        <v>9.6962318094328861</v>
      </c>
      <c r="P17" s="13">
        <f t="shared" si="33"/>
        <v>3.430160697894709</v>
      </c>
      <c r="Q17" s="20">
        <f t="shared" si="2"/>
        <v>22.861800283595556</v>
      </c>
      <c r="R17" s="59">
        <f t="shared" si="0"/>
        <v>234.21889113658435</v>
      </c>
      <c r="S17" s="59">
        <f ca="1">AVERAGE(OFFSET($R$3,0,0,'Données projet'!$E$9+1,1))-AVERAGE(OFFSET($H$3,0,0,'Données projet'!$E$9+1,1))</f>
        <v>433.46721010558042</v>
      </c>
      <c r="T17" s="59">
        <f t="shared" si="34"/>
        <v>306.18862295347509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9.5173333333333332</v>
      </c>
      <c r="AI17" s="13">
        <f>IF('Données projet'!$A$62&gt;35,AI16+AH17-AQ16,IF(A17&lt;'Données projet'!$A$62,$AF$205^A17,IF(A17='Données projet'!$A$62,'Données projet'!$B$62,AI16+AH17-AQ16)))</f>
        <v>102.55718772795768</v>
      </c>
      <c r="AJ17" s="13">
        <f>AI17*VLOOKUP('Données projet'!$B$10,Paramètres!$A$1:$I$89,3,0)*VLOOKUP('Données projet'!$B$10,Paramètres!$A$1:$I$89,5,0)</f>
        <v>61.329198261318702</v>
      </c>
      <c r="AK17" s="13">
        <f t="shared" si="35"/>
        <v>17.503902273751024</v>
      </c>
      <c r="AL17" s="20">
        <f t="shared" si="4"/>
        <v>137.30098343191307</v>
      </c>
      <c r="AM17" s="59">
        <f t="shared" si="5"/>
        <v>348.65807428490189</v>
      </c>
      <c r="AN17" s="59">
        <f ca="1">AVERAGE(OFFSET($AM$3,0,0,'Données projet'!$E$10+1,1))-AVERAGE(OFFSET($H$3,0,0,'Données projet'!$E$10+1,1))</f>
        <v>400.1942260113168</v>
      </c>
      <c r="AO17" s="59">
        <f t="shared" si="36"/>
        <v>497.04866930593926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21.4</v>
      </c>
      <c r="BD17" s="12">
        <f>IF('Données projet'!$A$88&gt;35,BD16+BC17-BL16,IF(A17&lt;'Données projet'!$A$88,$BA$205^A17,IF(A17='Données projet'!$A$88,'Données projet'!$B$88,BD16+BC17-BL16)))</f>
        <v>210.60000000000002</v>
      </c>
      <c r="BE17" s="13">
        <f>BD17*VLOOKUP('Données projet'!$B$11,Paramètres!$A$1:$I$89,3,0)*VLOOKUP('Données projet'!$B$11,Paramètres!$A$1:$I$89,5,0)</f>
        <v>134.69976</v>
      </c>
      <c r="BF17" s="13">
        <f t="shared" si="37"/>
        <v>35.080081100082538</v>
      </c>
      <c r="BG17" s="20">
        <f t="shared" si="7"/>
        <v>295.69988991597705</v>
      </c>
      <c r="BH17" s="59">
        <f t="shared" si="8"/>
        <v>507.05698076896584</v>
      </c>
      <c r="BI17" s="59">
        <f ca="1">AVERAGE(OFFSET($BH$3,0,0,'Données projet'!$E$11+1,1))-AVERAGE(OFFSET($H$3,0,0,'Données projet'!$E$11+1,1))</f>
        <v>284.78505691662588</v>
      </c>
      <c r="BJ17" s="59">
        <f t="shared" si="38"/>
        <v>664.42623058686308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21.4</v>
      </c>
      <c r="BY17" s="12">
        <f>IF('Données projet'!$A$114&gt;35,BY16+BX17-CG16,IF(A17&lt;'Données projet'!$A$114,$BV$205^A17,IF(A17='Données projet'!$A$114,'Données projet'!$B$114,BY16+BX17-CG16)))</f>
        <v>210.60000000000002</v>
      </c>
      <c r="BZ17" s="13">
        <f>BY17*VLOOKUP('Données projet'!$B$12,Paramètres!$A$1:$I$89,3,0)*VLOOKUP('Données projet'!$B$12,Paramètres!$A$1:$I$89,5,0)</f>
        <v>183.98016000000004</v>
      </c>
      <c r="CA17" s="13">
        <f t="shared" si="39"/>
        <v>46.206568123393758</v>
      </c>
      <c r="CB17" s="20">
        <f t="shared" si="10"/>
        <v>400.90855148157749</v>
      </c>
      <c r="CC17" s="59">
        <f t="shared" si="11"/>
        <v>612.26564233456634</v>
      </c>
      <c r="CD17" s="59">
        <f ca="1">AVERAGE(OFFSET($CC$3,0,0,'Données projet'!$E$12+1,1))-AVERAGE(OFFSET($H$3,0,0,'Données projet'!$E$12+1,1))</f>
        <v>380.64318988568527</v>
      </c>
      <c r="CE17" s="59">
        <f t="shared" si="40"/>
        <v>885.24651320439159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9.2928571428571427</v>
      </c>
      <c r="CT17" s="12">
        <f>IF('Données projet'!$A$140&gt;35,CT16+CS17-DB16,IF(A17&lt;'Données projet'!$A$140,$CQ$205^A17,IF(A17='Données projet'!$A$140,'Données projet'!$B$140,CT16+CS17-DB16)))</f>
        <v>33.64436767432494</v>
      </c>
      <c r="CU17" s="17">
        <f>CT17*VLOOKUP('Données projet'!$B$13,Paramètres!$A$1:$I$89,3,0)*VLOOKUP('Données projet'!$B$13,Paramètres!$A$1:$I$89,5,0)</f>
        <v>18.80720152994764</v>
      </c>
      <c r="CV17" s="13">
        <f t="shared" si="41"/>
        <v>6.1594921889191685</v>
      </c>
      <c r="CW17" s="20">
        <f t="shared" si="13"/>
        <v>43.483658227026353</v>
      </c>
      <c r="CX17" s="59">
        <f t="shared" si="14"/>
        <v>254.84074908001514</v>
      </c>
      <c r="CY17" s="59">
        <f ca="1">AVERAGE(OFFSET($CX$3,0,0,'Données projet'!$E$13+1,1))-AVERAGE(OFFSET($H$3,0,0,'Données projet'!$E$13+1,1))</f>
        <v>404.10467005188889</v>
      </c>
      <c r="CZ17" s="59">
        <f t="shared" si="42"/>
        <v>372.70490129557845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3.1761666666666666</v>
      </c>
      <c r="DO17" s="12">
        <f>IF('Données projet'!$A$166&gt;35,DO16+DN17-DW16,IF(A17&lt;'Données projet'!$A$166,$DL$205^A17,IF(A17='Données projet'!$A$166,'Données projet'!$B$166,DO16+DN17-DW16)))</f>
        <v>44.466333333333331</v>
      </c>
      <c r="DP17" s="17">
        <f>DO17*VLOOKUP('Données projet'!$B$14,Paramètres!$A$1:$I$89,3,0)*VLOOKUP('Données projet'!$B$14,Paramètres!$A$1:$I$89,5,0)</f>
        <v>40.233138400000001</v>
      </c>
      <c r="DQ17" s="13">
        <f t="shared" si="43"/>
        <v>12.060419349306859</v>
      </c>
      <c r="DR17" s="20">
        <f t="shared" si="16"/>
        <v>91.077946413376097</v>
      </c>
      <c r="DS17" s="59">
        <f t="shared" si="17"/>
        <v>302.43503726636487</v>
      </c>
      <c r="DT17" s="59">
        <f ca="1">AVERAGE(OFFSET($DS$3,0,0,'Données projet'!$E$14+1,1))-AVERAGE(OFFSET($H$3,0,0,'Données projet'!$E$14+1,1))</f>
        <v>479.53113328461268</v>
      </c>
      <c r="DU17" s="59">
        <f t="shared" si="44"/>
        <v>244.6360664588118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11.239444444444445</v>
      </c>
      <c r="EJ17" s="12">
        <f>IF('Données projet'!$A$192&gt;35,EJ16+EI17-ER16,IF(A17&lt;'Données projet'!$A$192,$EG$205^A17,IF(A17='Données projet'!$A$192,'Données projet'!$B$192,EJ16+EI17-ER16)))</f>
        <v>62.168308355859935</v>
      </c>
      <c r="EK17" s="17">
        <f>EJ17*VLOOKUP('Données projet'!$B$15,Paramètres!$A$1:$I$89,3,0)*VLOOKUP('Données projet'!$B$15,Paramètres!$A$1:$I$89,5,0)</f>
        <v>27.478392293290092</v>
      </c>
      <c r="EL17" s="13">
        <f t="shared" si="45"/>
        <v>8.6108256277547373</v>
      </c>
      <c r="EM17" s="20">
        <f t="shared" si="19"/>
        <v>62.855387879153078</v>
      </c>
      <c r="EN17" s="59">
        <f t="shared" si="20"/>
        <v>274.21247873214185</v>
      </c>
      <c r="EO17" s="59">
        <f ca="1">AVERAGE(OFFSET($EN$3,0,0,'Données projet'!$E$15+1,1))-AVERAGE(OFFSET($H$3,0,0,'Données projet'!$E$15+1,1))</f>
        <v>339.23049610652492</v>
      </c>
      <c r="EP17" s="59">
        <f t="shared" si="46"/>
        <v>448.85057640789785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7.6601960784313725</v>
      </c>
      <c r="FE17" s="12">
        <f>IF('Données projet'!$A$218&gt;35,FE16+FD17-FM16,IF(A17&lt;'Données projet'!$A$218,$FB$205^A17,IF(A17='Données projet'!$A$218,'Données projet'!$B$218,FE16+FD17-FM16)))</f>
        <v>107.24274509803918</v>
      </c>
      <c r="FF17" s="17">
        <f>FE17*VLOOKUP('Données projet'!$B$16,Paramètres!$A$1:$I$89,3,0)*VLOOKUP('Données projet'!$B$16,Paramètres!$A$1:$I$89,5,0)</f>
        <v>50.189604705882338</v>
      </c>
      <c r="FG17" s="13">
        <f t="shared" si="47"/>
        <v>14.66271511394697</v>
      </c>
      <c r="FH17" s="20">
        <f t="shared" si="22"/>
        <v>112.95112368620271</v>
      </c>
      <c r="FI17" s="59">
        <f t="shared" si="23"/>
        <v>324.30821453919151</v>
      </c>
      <c r="FJ17" s="59">
        <f ca="1">AVERAGE(OFFSET($FI$3,0,0,'Données projet'!$E$16+1,1))-AVERAGE(OFFSET($H$3,0,0,'Données projet'!$E$16+1,1))</f>
        <v>365.63278362856033</v>
      </c>
      <c r="FK17" s="59">
        <f t="shared" si="48"/>
        <v>290.68267842697452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5.0742105263157899</v>
      </c>
      <c r="FZ17" s="12">
        <f>IF('Données projet'!$A$244&gt;35,FZ16+FY17-GH16,IF(A17&lt;'Données projet'!$A$244,$FW$205^A17,IF(A17='Données projet'!$A$244,'Données projet'!$B$244,FZ16+FY17-GH16)))</f>
        <v>71.038947368421049</v>
      </c>
      <c r="GA17" s="17">
        <f>FZ17*VLOOKUP('Données projet'!$B$17,Paramètres!$A$1:$I$89,3,0)*VLOOKUP('Données projet'!$B$17,Paramètres!$A$1:$I$89,5,0)</f>
        <v>60.951416842105267</v>
      </c>
      <c r="GB17" s="13">
        <f t="shared" si="49"/>
        <v>17.408596344364387</v>
      </c>
      <c r="GC17" s="20">
        <f t="shared" si="25"/>
        <v>136.47702296643465</v>
      </c>
      <c r="GD17" s="59">
        <f t="shared" si="26"/>
        <v>347.83411381942346</v>
      </c>
      <c r="GE17" s="59">
        <f ca="1">AVERAGE(OFFSET($GD$3,0,0,'Données projet'!$E$17+1,1))-AVERAGE(OFFSET($H$3,0,0,'Données projet'!$E$17+1,1))</f>
        <v>460.46300302025099</v>
      </c>
      <c r="GF17" s="59">
        <f t="shared" si="50"/>
        <v>340.22534554615879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52.976176293239369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9.5173333333333332</v>
      </c>
      <c r="GU17" s="12">
        <f>IF('Données projet'!$A$270&gt;35,GU16+GT17-HC16,IF(A17&lt;'Données projet'!$A$270,$GR$205^A17,IF(A17='Données projet'!$A$270,'Données projet'!$B$270,GU16+GT17-HC16)))</f>
        <v>102.55718772795768</v>
      </c>
      <c r="GV17" s="17">
        <f>GU17*VLOOKUP('Données projet'!$B$18,Paramètres!$A$1:$I$89,3,0)*VLOOKUP('Données projet'!$B$18,Paramètres!$A$1:$I$89,5,0)</f>
        <v>61.329198261318702</v>
      </c>
      <c r="GW17" s="13">
        <f t="shared" si="51"/>
        <v>17.503902273751024</v>
      </c>
      <c r="GX17" s="20">
        <f t="shared" si="28"/>
        <v>137.30098343191307</v>
      </c>
      <c r="GY17" s="59">
        <f t="shared" si="29"/>
        <v>348.65807428490189</v>
      </c>
      <c r="GZ17" s="59">
        <f ca="1">AVERAGE(OFFSET($GY$3,0,0,'Données projet'!$E$18+1,1))-AVERAGE(OFFSET($H$3,0,0,'Données projet'!$E$18+1,1))</f>
        <v>-15.950000000000017</v>
      </c>
      <c r="HA17" s="59">
        <f t="shared" si="52"/>
        <v>-15.950000000000017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4.3499999999999996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15.949999999999998</v>
      </c>
      <c r="H18" s="67">
        <f t="shared" si="1"/>
        <v>192.86666666666667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5.044827586206897</v>
      </c>
      <c r="N18" s="13">
        <f>IF('Données projet'!$A$36&gt;35,N17+M18-V17,IF(A18&lt;'Données projet'!$A$36,$K$205^A18,IF(A18='Données projet'!$A$36,'Données projet'!$B$36,N17+M18-V17)))</f>
        <v>13.181170016548426</v>
      </c>
      <c r="O18" s="13">
        <f>N18*VLOOKUP('Données projet'!$B$9,Paramètres!$A$1:$I$89,3,0)*VLOOKUP('Données projet'!$B$9,Paramètres!$A$1:$I$89,5,0)</f>
        <v>11.515070126456708</v>
      </c>
      <c r="P18" s="13">
        <f t="shared" si="33"/>
        <v>3.9928888533350158</v>
      </c>
      <c r="Q18" s="20">
        <f t="shared" si="2"/>
        <v>27.009695223137253</v>
      </c>
      <c r="R18" s="59">
        <f t="shared" si="0"/>
        <v>240.67186766474379</v>
      </c>
      <c r="S18" s="59">
        <f ca="1">AVERAGE(OFFSET($R$3,0,0,'Données projet'!$E$9+1,1))-AVERAGE(OFFSET($H$3,0,0,'Données projet'!$E$9+1,1))</f>
        <v>433.46721010558042</v>
      </c>
      <c r="T18" s="59">
        <f t="shared" si="34"/>
        <v>306.18862295347509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142.76</v>
      </c>
      <c r="AG18" s="12">
        <f>VLOOKUP(A18,'Données projet'!$A$61:$I$81,9,0)</f>
        <v>9.5173333333333332</v>
      </c>
      <c r="AH18" s="12">
        <f t="array" ref="AH18">INDEX(AG:AG,MIN(IF(ISNUMBER(AG18:AG214),ROW(AG18:AG214),"")))</f>
        <v>9.5173333333333332</v>
      </c>
      <c r="AI18" s="13">
        <f>IF('Données projet'!$A$62&gt;35,AI17+AH18-AQ17,IF(A18&lt;'Données projet'!$A$62,$AF$205^A18,IF(A18='Données projet'!$A$62,'Données projet'!$B$62,AI17+AH18-AQ17)))</f>
        <v>142.76</v>
      </c>
      <c r="AJ18" s="13">
        <f>AI18*VLOOKUP('Données projet'!$B$10,Paramètres!$A$1:$I$89,3,0)*VLOOKUP('Données projet'!$B$10,Paramètres!$A$1:$I$89,5,0)</f>
        <v>85.370480000000001</v>
      </c>
      <c r="AK18" s="13">
        <f t="shared" si="35"/>
        <v>23.445287849231015</v>
      </c>
      <c r="AL18" s="20">
        <f t="shared" si="4"/>
        <v>189.52079567074398</v>
      </c>
      <c r="AM18" s="59">
        <f t="shared" si="5"/>
        <v>403.18296811235052</v>
      </c>
      <c r="AN18" s="59">
        <f ca="1">AVERAGE(OFFSET($AM$3,0,0,'Données projet'!$E$10+1,1))-AVERAGE(OFFSET($H$3,0,0,'Données projet'!$E$10+1,1))</f>
        <v>400.1942260113168</v>
      </c>
      <c r="AO18" s="59">
        <f t="shared" si="36"/>
        <v>497.04866930593926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50.01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0.45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17.782202459578905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17.782202459578905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232</v>
      </c>
      <c r="BB18" s="12">
        <f>VLOOKUP(A18,'Données projet'!$A$87:$I$107,9,0)</f>
        <v>21.4</v>
      </c>
      <c r="BC18" s="12">
        <f t="array" ref="BC18">INDEX(BB:BB,MIN(IF(ISNUMBER(BB18:BB214),ROW(BB18:BB214),"")))</f>
        <v>21.4</v>
      </c>
      <c r="BD18" s="12">
        <f>IF('Données projet'!$A$88&gt;35,BD17+BC18-BL17,IF(A18&lt;'Données projet'!$A$88,$BA$205^A18,IF(A18='Données projet'!$A$88,'Données projet'!$B$88,BD17+BC18-BL17)))</f>
        <v>232.00000000000003</v>
      </c>
      <c r="BE18" s="13">
        <f>BD18*VLOOKUP('Données projet'!$B$11,Paramètres!$A$1:$I$89,3,0)*VLOOKUP('Données projet'!$B$11,Paramètres!$A$1:$I$89,5,0)</f>
        <v>148.38720000000001</v>
      </c>
      <c r="BF18" s="13">
        <f t="shared" si="37"/>
        <v>38.211840758090553</v>
      </c>
      <c r="BG18" s="20">
        <f t="shared" si="7"/>
        <v>324.99332932034099</v>
      </c>
      <c r="BH18" s="59">
        <f t="shared" si="8"/>
        <v>538.65550176194756</v>
      </c>
      <c r="BI18" s="59">
        <f ca="1">AVERAGE(OFFSET($BH$3,0,0,'Données projet'!$E$11+1,1))-AVERAGE(OFFSET($H$3,0,0,'Données projet'!$E$11+1,1))</f>
        <v>284.78505691662588</v>
      </c>
      <c r="BJ18" s="59">
        <f t="shared" si="38"/>
        <v>664.42623058686308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232</v>
      </c>
      <c r="BW18" s="12">
        <f>VLOOKUP(A18,'Données projet'!$A$113:$I$133,9,0)</f>
        <v>21.4</v>
      </c>
      <c r="BX18" s="12">
        <f t="array" ref="BX18">INDEX(BW:BW,MIN(IF(ISNUMBER(BW18:BW214),ROW(BW18:BW214),"")))</f>
        <v>21.4</v>
      </c>
      <c r="BY18" s="12">
        <f>IF('Données projet'!$A$114&gt;35,BY17+BX18-CG17,IF(A18&lt;'Données projet'!$A$114,$BV$205^A18,IF(A18='Données projet'!$A$114,'Données projet'!$B$114,BY17+BX18-CG17)))</f>
        <v>232.00000000000003</v>
      </c>
      <c r="BZ18" s="13">
        <f>BY18*VLOOKUP('Données projet'!$B$12,Paramètres!$A$1:$I$89,3,0)*VLOOKUP('Données projet'!$B$12,Paramètres!$A$1:$I$89,5,0)</f>
        <v>202.67520000000002</v>
      </c>
      <c r="CA18" s="13">
        <f t="shared" si="39"/>
        <v>50.331640285313689</v>
      </c>
      <c r="CB18" s="20">
        <f t="shared" si="10"/>
        <v>440.653580163588</v>
      </c>
      <c r="CC18" s="59">
        <f t="shared" si="11"/>
        <v>654.31575260519458</v>
      </c>
      <c r="CD18" s="59">
        <f ca="1">AVERAGE(OFFSET($CC$3,0,0,'Données projet'!$E$12+1,1))-AVERAGE(OFFSET($H$3,0,0,'Données projet'!$E$12+1,1))</f>
        <v>380.64318988568527</v>
      </c>
      <c r="CE18" s="59">
        <f t="shared" si="40"/>
        <v>885.24651320439159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0.39750000000000002</v>
      </c>
      <c r="CI18" s="16">
        <f>IF(ISNA(VLOOKUP(A18,'Données projet'!$A$113:$I$133,6,0)),0%,VLOOKUP(A18,'Données projet'!$A$113:$I$133,6,0)*VLOOKUP('Données projet'!$B$12,Paramètres!$A$1:$I$89,7,0))</f>
        <v>0.10600000000000001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9.2928571428571427</v>
      </c>
      <c r="CT18" s="12">
        <f>IF('Données projet'!$A$140&gt;35,CT17+CS18-DB17,IF(A18&lt;'Données projet'!$A$140,$CQ$205^A18,IF(A18='Données projet'!$A$140,'Données projet'!$B$140,CT17+CS18-DB17)))</f>
        <v>43.249146342939241</v>
      </c>
      <c r="CU18" s="17">
        <f>CT18*VLOOKUP('Données projet'!$B$13,Paramètres!$A$1:$I$89,3,0)*VLOOKUP('Données projet'!$B$13,Paramètres!$A$1:$I$89,5,0)</f>
        <v>24.176272805703039</v>
      </c>
      <c r="CV18" s="13">
        <f t="shared" si="41"/>
        <v>7.6897973052770441</v>
      </c>
      <c r="CW18" s="20">
        <f t="shared" si="13"/>
        <v>55.500072109956967</v>
      </c>
      <c r="CX18" s="59">
        <f t="shared" si="14"/>
        <v>269.1622445515635</v>
      </c>
      <c r="CY18" s="59">
        <f ca="1">AVERAGE(OFFSET($CX$3,0,0,'Données projet'!$E$13+1,1))-AVERAGE(OFFSET($H$3,0,0,'Données projet'!$E$13+1,1))</f>
        <v>404.10467005188889</v>
      </c>
      <c r="CZ18" s="59">
        <f t="shared" si="42"/>
        <v>372.70490129557845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3.1761666666666666</v>
      </c>
      <c r="DO18" s="12">
        <f>IF('Données projet'!$A$166&gt;35,DO17+DN18-DW17,IF(A18&lt;'Données projet'!$A$166,$DL$205^A18,IF(A18='Données projet'!$A$166,'Données projet'!$B$166,DO17+DN18-DW17)))</f>
        <v>47.642499999999998</v>
      </c>
      <c r="DP18" s="17">
        <f>DO18*VLOOKUP('Données projet'!$B$14,Paramètres!$A$1:$I$89,3,0)*VLOOKUP('Données projet'!$B$14,Paramètres!$A$1:$I$89,5,0)</f>
        <v>43.106933999999995</v>
      </c>
      <c r="DQ18" s="13">
        <f t="shared" si="43"/>
        <v>12.818520815845957</v>
      </c>
      <c r="DR18" s="20">
        <f t="shared" si="16"/>
        <v>97.403500470931704</v>
      </c>
      <c r="DS18" s="59">
        <f t="shared" si="17"/>
        <v>311.06567291253828</v>
      </c>
      <c r="DT18" s="59">
        <f ca="1">AVERAGE(OFFSET($DS$3,0,0,'Données projet'!$E$14+1,1))-AVERAGE(OFFSET($H$3,0,0,'Données projet'!$E$14+1,1))</f>
        <v>479.53113328461268</v>
      </c>
      <c r="DU18" s="59">
        <f t="shared" si="44"/>
        <v>244.6360664588118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11.239444444444445</v>
      </c>
      <c r="EJ18" s="12">
        <f>IF('Données projet'!$A$192&gt;35,EJ17+EI18-ER17,IF(A18&lt;'Données projet'!$A$192,$EG$205^A18,IF(A18='Données projet'!$A$192,'Données projet'!$B$192,EJ17+EI18-ER17)))</f>
        <v>83.498971304508402</v>
      </c>
      <c r="EK18" s="17">
        <f>EJ18*VLOOKUP('Données projet'!$B$15,Paramètres!$A$1:$I$89,3,0)*VLOOKUP('Données projet'!$B$15,Paramètres!$A$1:$I$89,5,0)</f>
        <v>36.90654531659272</v>
      </c>
      <c r="EL18" s="13">
        <f t="shared" si="45"/>
        <v>11.174925183006096</v>
      </c>
      <c r="EM18" s="20">
        <f t="shared" si="19"/>
        <v>83.741894453467935</v>
      </c>
      <c r="EN18" s="59">
        <f t="shared" si="20"/>
        <v>297.40406689507449</v>
      </c>
      <c r="EO18" s="59">
        <f ca="1">AVERAGE(OFFSET($EN$3,0,0,'Données projet'!$E$15+1,1))-AVERAGE(OFFSET($H$3,0,0,'Données projet'!$E$15+1,1))</f>
        <v>339.23049610652492</v>
      </c>
      <c r="EP18" s="59">
        <f t="shared" si="46"/>
        <v>448.85057640789785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7.6601960784313725</v>
      </c>
      <c r="FE18" s="12">
        <f>IF('Données projet'!$A$218&gt;35,FE17+FD18-FM17,IF(A18&lt;'Données projet'!$A$218,$FB$205^A18,IF(A18='Données projet'!$A$218,'Données projet'!$B$218,FE17+FD18-FM17)))</f>
        <v>114.90294117647055</v>
      </c>
      <c r="FF18" s="17">
        <f>FE18*VLOOKUP('Données projet'!$B$16,Paramètres!$A$1:$I$89,3,0)*VLOOKUP('Données projet'!$B$16,Paramètres!$A$1:$I$89,5,0)</f>
        <v>53.774576470588215</v>
      </c>
      <c r="FG18" s="13">
        <f t="shared" si="47"/>
        <v>15.584393333367014</v>
      </c>
      <c r="FH18" s="20">
        <f t="shared" si="22"/>
        <v>120.80020574188869</v>
      </c>
      <c r="FI18" s="59">
        <f t="shared" si="23"/>
        <v>334.46237818349522</v>
      </c>
      <c r="FJ18" s="59">
        <f ca="1">AVERAGE(OFFSET($FI$3,0,0,'Données projet'!$E$16+1,1))-AVERAGE(OFFSET($H$3,0,0,'Données projet'!$E$16+1,1))</f>
        <v>365.63278362856033</v>
      </c>
      <c r="FK18" s="59">
        <f t="shared" si="48"/>
        <v>290.68267842697452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5.0742105263157899</v>
      </c>
      <c r="FZ18" s="12">
        <f>IF('Données projet'!$A$244&gt;35,FZ17+FY18-GH17,IF(A18&lt;'Données projet'!$A$244,$FW$205^A18,IF(A18='Données projet'!$A$244,'Données projet'!$B$244,FZ17+FY18-GH17)))</f>
        <v>76.113157894736844</v>
      </c>
      <c r="GA18" s="17">
        <f>FZ18*VLOOKUP('Données projet'!$B$17,Paramètres!$A$1:$I$89,3,0)*VLOOKUP('Données projet'!$B$17,Paramètres!$A$1:$I$89,5,0)</f>
        <v>65.30508947368422</v>
      </c>
      <c r="GB18" s="13">
        <f t="shared" si="49"/>
        <v>18.502876902677514</v>
      </c>
      <c r="GC18" s="20">
        <f t="shared" si="25"/>
        <v>145.96554143883</v>
      </c>
      <c r="GD18" s="59">
        <f t="shared" si="26"/>
        <v>359.62771388043654</v>
      </c>
      <c r="GE18" s="59">
        <f ca="1">AVERAGE(OFFSET($GD$3,0,0,'Données projet'!$E$17+1,1))-AVERAGE(OFFSET($H$3,0,0,'Données projet'!$E$17+1,1))</f>
        <v>460.46300302025099</v>
      </c>
      <c r="GF18" s="59">
        <f t="shared" si="50"/>
        <v>340.22534554615879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53.271501574983596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142.76</v>
      </c>
      <c r="GS18" s="12">
        <f>VLOOKUP(A18,'Données projet'!$A$269:$I$289,9,0)</f>
        <v>9.5173333333333332</v>
      </c>
      <c r="GT18" s="12">
        <f t="array" ref="GT18">INDEX(GS:GS,MIN(IF(ISNUMBER(GS18:GS214),ROW(GS18:GS214),"")))</f>
        <v>9.5173333333333332</v>
      </c>
      <c r="GU18" s="12">
        <f>IF('Données projet'!$A$270&gt;35,GU17+GT18-HC17,IF(A18&lt;'Données projet'!$A$270,$GR$205^A18,IF(A18='Données projet'!$A$270,'Données projet'!$B$270,GU17+GT18-HC17)))</f>
        <v>142.76</v>
      </c>
      <c r="GV18" s="17">
        <f>GU18*VLOOKUP('Données projet'!$B$18,Paramètres!$A$1:$I$89,3,0)*VLOOKUP('Données projet'!$B$18,Paramètres!$A$1:$I$89,5,0)</f>
        <v>85.370480000000001</v>
      </c>
      <c r="GW18" s="13">
        <f t="shared" si="51"/>
        <v>23.445287849231015</v>
      </c>
      <c r="GX18" s="20">
        <f t="shared" si="28"/>
        <v>189.52079567074398</v>
      </c>
      <c r="GY18" s="59">
        <f t="shared" si="29"/>
        <v>403.18296811235052</v>
      </c>
      <c r="GZ18" s="59">
        <f ca="1">AVERAGE(OFFSET($GY$3,0,0,'Données projet'!$E$18+1,1))-AVERAGE(OFFSET($H$3,0,0,'Données projet'!$E$18+1,1))</f>
        <v>-15.950000000000017</v>
      </c>
      <c r="HA18" s="59">
        <f t="shared" si="52"/>
        <v>-15.950000000000017</v>
      </c>
      <c r="HB18" s="15">
        <f>IF(ISNA(VLOOKUP(A18,'Données projet'!$A$269:$I$289,3,0)),0,VLOOKUP(A18,'Données projet'!$A$269:$I$289,3,0))</f>
        <v>1</v>
      </c>
      <c r="HC18" s="15">
        <f>IF(ISNA(VLOOKUP(A18,'Données projet'!$A$269:$I$289,4,0)),0,VLOOKUP(A18,'Données projet'!$A$269:$I$289,4,0))</f>
        <v>50.01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0.45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17.782202459578905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17.782202459578905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4.3499999999999996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15.949999999999998</v>
      </c>
      <c r="H19" s="67">
        <f t="shared" si="1"/>
        <v>192.86666666666667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5.044827586206897</v>
      </c>
      <c r="N19" s="13">
        <f>IF('Données projet'!$A$36&gt;35,N18+M19-V18,IF(A19&lt;'Données projet'!$A$36,$K$205^A19,IF(A19='Données projet'!$A$36,'Données projet'!$B$36,N18+M19-V18)))</f>
        <v>15.653719926708424</v>
      </c>
      <c r="O19" s="13">
        <f>N19*VLOOKUP('Données projet'!$B$9,Paramètres!$A$1:$I$89,3,0)*VLOOKUP('Données projet'!$B$9,Paramètres!$A$1:$I$89,5,0)</f>
        <v>13.67508972797248</v>
      </c>
      <c r="P19" s="13">
        <f t="shared" si="33"/>
        <v>4.6479342512647479</v>
      </c>
      <c r="Q19" s="20">
        <f t="shared" si="2"/>
        <v>31.912600097171502</v>
      </c>
      <c r="R19" s="59">
        <f t="shared" si="0"/>
        <v>247.86106893829961</v>
      </c>
      <c r="S19" s="59">
        <f ca="1">AVERAGE(OFFSET($R$3,0,0,'Données projet'!$E$9+1,1))-AVERAGE(OFFSET($H$3,0,0,'Données projet'!$E$9+1,1))</f>
        <v>433.46721010558042</v>
      </c>
      <c r="T19" s="59">
        <f t="shared" si="34"/>
        <v>306.18862295347509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22.868000000000002</v>
      </c>
      <c r="AI19" s="13">
        <f>IF('Données projet'!$A$62&gt;35,AI18+AH19-AQ18,IF(A19&lt;'Données projet'!$A$62,$AF$205^A19,IF(A19='Données projet'!$A$62,'Données projet'!$B$62,AI18+AH19-AQ18)))</f>
        <v>115.61799999999999</v>
      </c>
      <c r="AJ19" s="13">
        <f>AI19*VLOOKUP('Données projet'!$B$10,Paramètres!$A$1:$I$89,3,0)*VLOOKUP('Données projet'!$B$10,Paramètres!$A$1:$I$89,5,0)</f>
        <v>69.139564000000007</v>
      </c>
      <c r="AK19" s="13">
        <f t="shared" si="35"/>
        <v>19.459627420869886</v>
      </c>
      <c r="AL19" s="20">
        <f t="shared" si="4"/>
        <v>154.31025839134838</v>
      </c>
      <c r="AM19" s="59">
        <f t="shared" si="5"/>
        <v>370.25872723247653</v>
      </c>
      <c r="AN19" s="59">
        <f ca="1">AVERAGE(OFFSET($AM$3,0,0,'Données projet'!$E$10+1,1))-AVERAGE(OFFSET($H$3,0,0,'Données projet'!$E$10+1,1))</f>
        <v>400.1942260113168</v>
      </c>
      <c r="AO19" s="59">
        <f t="shared" si="36"/>
        <v>497.04866930593926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17.295947198196334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17.295947198196334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22.2</v>
      </c>
      <c r="BD19" s="12">
        <f>IF('Données projet'!$A$88&gt;35,BD18+BC19-BL18,IF(A19&lt;'Données projet'!$A$88,$BA$205^A19,IF(A19='Données projet'!$A$88,'Données projet'!$B$88,BD18+BC19-BL18)))</f>
        <v>254.20000000000002</v>
      </c>
      <c r="BE19" s="13">
        <f>BD19*VLOOKUP('Données projet'!$B$11,Paramètres!$A$1:$I$89,3,0)*VLOOKUP('Données projet'!$B$11,Paramètres!$A$1:$I$89,5,0)</f>
        <v>162.58632</v>
      </c>
      <c r="BF19" s="13">
        <f t="shared" si="37"/>
        <v>41.425321573211058</v>
      </c>
      <c r="BG19" s="20">
        <f t="shared" si="7"/>
        <v>355.32027574000921</v>
      </c>
      <c r="BH19" s="59">
        <f t="shared" si="8"/>
        <v>571.2687445811373</v>
      </c>
      <c r="BI19" s="59">
        <f ca="1">AVERAGE(OFFSET($BH$3,0,0,'Données projet'!$E$11+1,1))-AVERAGE(OFFSET($H$3,0,0,'Données projet'!$E$11+1,1))</f>
        <v>284.78505691662588</v>
      </c>
      <c r="BJ19" s="59">
        <f t="shared" si="38"/>
        <v>664.42623058686308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22.2</v>
      </c>
      <c r="BY19" s="12">
        <f>IF('Données projet'!$A$114&gt;35,BY18+BX19-CG18,IF(A19&lt;'Données projet'!$A$114,$BV$205^A19,IF(A19='Données projet'!$A$114,'Données projet'!$B$114,BY18+BX19-CG18)))</f>
        <v>254.20000000000002</v>
      </c>
      <c r="BZ19" s="13">
        <f>BY19*VLOOKUP('Données projet'!$B$12,Paramètres!$A$1:$I$89,3,0)*VLOOKUP('Données projet'!$B$12,Paramètres!$A$1:$I$89,5,0)</f>
        <v>222.06912000000005</v>
      </c>
      <c r="CA19" s="13">
        <f t="shared" si="39"/>
        <v>54.564353424529749</v>
      </c>
      <c r="CB19" s="20">
        <f t="shared" si="10"/>
        <v>481.80329954772282</v>
      </c>
      <c r="CC19" s="59">
        <f t="shared" si="11"/>
        <v>697.75176838885091</v>
      </c>
      <c r="CD19" s="59">
        <f ca="1">AVERAGE(OFFSET($CC$3,0,0,'Données projet'!$E$12+1,1))-AVERAGE(OFFSET($H$3,0,0,'Données projet'!$E$12+1,1))</f>
        <v>380.64318988568527</v>
      </c>
      <c r="CE19" s="59">
        <f t="shared" si="40"/>
        <v>885.24651320439159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9.2928571428571427</v>
      </c>
      <c r="CT19" s="12">
        <f>IF('Données projet'!$A$140&gt;35,CT18+CS19-DB18,IF(A19&lt;'Données projet'!$A$140,$CQ$205^A19,IF(A19='Données projet'!$A$140,'Données projet'!$B$140,CT18+CS19-DB18)))</f>
        <v>55.595892825187576</v>
      </c>
      <c r="CU19" s="17">
        <f>CT19*VLOOKUP('Données projet'!$B$13,Paramètres!$A$1:$I$89,3,0)*VLOOKUP('Données projet'!$B$13,Paramètres!$A$1:$I$89,5,0)</f>
        <v>31.078104089279854</v>
      </c>
      <c r="CV19" s="13">
        <f t="shared" si="41"/>
        <v>9.6003015804818173</v>
      </c>
      <c r="CW19" s="20">
        <f t="shared" si="13"/>
        <v>70.84822320816825</v>
      </c>
      <c r="CX19" s="59">
        <f t="shared" si="14"/>
        <v>286.79669204929638</v>
      </c>
      <c r="CY19" s="59">
        <f ca="1">AVERAGE(OFFSET($CX$3,0,0,'Données projet'!$E$13+1,1))-AVERAGE(OFFSET($H$3,0,0,'Données projet'!$E$13+1,1))</f>
        <v>404.10467005188889</v>
      </c>
      <c r="CZ19" s="59">
        <f t="shared" si="42"/>
        <v>372.70490129557845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3.1761666666666666</v>
      </c>
      <c r="DO19" s="12">
        <f>IF('Données projet'!$A$166&gt;35,DO18+DN19-DW18,IF(A19&lt;'Données projet'!$A$166,$DL$205^A19,IF(A19='Données projet'!$A$166,'Données projet'!$B$166,DO18+DN19-DW18)))</f>
        <v>50.818666666666665</v>
      </c>
      <c r="DP19" s="17">
        <f>DO19*VLOOKUP('Données projet'!$B$14,Paramètres!$A$1:$I$89,3,0)*VLOOKUP('Données projet'!$B$14,Paramètres!$A$1:$I$89,5,0)</f>
        <v>45.980729599999997</v>
      </c>
      <c r="DQ19" s="13">
        <f t="shared" si="43"/>
        <v>13.570757597428331</v>
      </c>
      <c r="DR19" s="20">
        <f t="shared" si="16"/>
        <v>103.71884020218766</v>
      </c>
      <c r="DS19" s="59">
        <f t="shared" si="17"/>
        <v>319.66730904331575</v>
      </c>
      <c r="DT19" s="59">
        <f ca="1">AVERAGE(OFFSET($DS$3,0,0,'Données projet'!$E$14+1,1))-AVERAGE(OFFSET($H$3,0,0,'Données projet'!$E$14+1,1))</f>
        <v>479.53113328461268</v>
      </c>
      <c r="DU19" s="59">
        <f t="shared" si="44"/>
        <v>244.6360664588118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11.239444444444445</v>
      </c>
      <c r="EJ19" s="12">
        <f>IF('Données projet'!$A$192&gt;35,EJ18+EI19-ER18,IF(A19&lt;'Données projet'!$A$192,$EG$205^A19,IF(A19='Données projet'!$A$192,'Données projet'!$B$192,EJ18+EI19-ER18)))</f>
        <v>112.14843049937892</v>
      </c>
      <c r="EK19" s="17">
        <f>EJ19*VLOOKUP('Données projet'!$B$15,Paramètres!$A$1:$I$89,3,0)*VLOOKUP('Données projet'!$B$15,Paramètres!$A$1:$I$89,5,0)</f>
        <v>49.569606280725488</v>
      </c>
      <c r="EL19" s="13">
        <f t="shared" si="45"/>
        <v>14.502552745147833</v>
      </c>
      <c r="EM19" s="20">
        <f t="shared" si="19"/>
        <v>111.59234363672935</v>
      </c>
      <c r="EN19" s="59">
        <f t="shared" si="20"/>
        <v>327.54081247785746</v>
      </c>
      <c r="EO19" s="59">
        <f ca="1">AVERAGE(OFFSET($EN$3,0,0,'Données projet'!$E$15+1,1))-AVERAGE(OFFSET($H$3,0,0,'Données projet'!$E$15+1,1))</f>
        <v>339.23049610652492</v>
      </c>
      <c r="EP19" s="59">
        <f t="shared" si="46"/>
        <v>448.85057640789785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7.6601960784313725</v>
      </c>
      <c r="FE19" s="12">
        <f>IF('Données projet'!$A$218&gt;35,FE18+FD19-FM18,IF(A19&lt;'Données projet'!$A$218,$FB$205^A19,IF(A19='Données projet'!$A$218,'Données projet'!$B$218,FE18+FD19-FM18)))</f>
        <v>122.56313725490192</v>
      </c>
      <c r="FF19" s="17">
        <f>FE19*VLOOKUP('Données projet'!$B$16,Paramètres!$A$1:$I$89,3,0)*VLOOKUP('Données projet'!$B$16,Paramètres!$A$1:$I$89,5,0)</f>
        <v>57.359548235294099</v>
      </c>
      <c r="FG19" s="13">
        <f t="shared" si="47"/>
        <v>16.49894143547829</v>
      </c>
      <c r="FH19" s="20">
        <f t="shared" si="22"/>
        <v>128.63686950992857</v>
      </c>
      <c r="FI19" s="59">
        <f t="shared" si="23"/>
        <v>344.58533835105669</v>
      </c>
      <c r="FJ19" s="59">
        <f ca="1">AVERAGE(OFFSET($FI$3,0,0,'Données projet'!$E$16+1,1))-AVERAGE(OFFSET($H$3,0,0,'Données projet'!$E$16+1,1))</f>
        <v>365.63278362856033</v>
      </c>
      <c r="FK19" s="59">
        <f t="shared" si="48"/>
        <v>290.68267842697452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5.0742105263157899</v>
      </c>
      <c r="FZ19" s="12">
        <f>IF('Données projet'!$A$244&gt;35,FZ18+FY19-GH18,IF(A19&lt;'Données projet'!$A$244,$FW$205^A19,IF(A19='Données projet'!$A$244,'Données projet'!$B$244,FZ18+FY19-GH18)))</f>
        <v>81.187368421052639</v>
      </c>
      <c r="GA19" s="17">
        <f>FZ19*VLOOKUP('Données projet'!$B$17,Paramètres!$A$1:$I$89,3,0)*VLOOKUP('Données projet'!$B$17,Paramètres!$A$1:$I$89,5,0)</f>
        <v>69.658762105263179</v>
      </c>
      <c r="GB19" s="13">
        <f t="shared" si="49"/>
        <v>19.588692089253424</v>
      </c>
      <c r="GC19" s="20">
        <f t="shared" si="25"/>
        <v>155.43931605544972</v>
      </c>
      <c r="GD19" s="59">
        <f t="shared" si="26"/>
        <v>371.38778489657784</v>
      </c>
      <c r="GE19" s="59">
        <f ca="1">AVERAGE(OFFSET($GD$3,0,0,'Données projet'!$E$17+1,1))-AVERAGE(OFFSET($H$3,0,0,'Données projet'!$E$17+1,1))</f>
        <v>460.46300302025099</v>
      </c>
      <c r="GF19" s="59">
        <f t="shared" si="50"/>
        <v>340.22534554615879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53.561703623337969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22.868000000000002</v>
      </c>
      <c r="GU19" s="12">
        <f>IF('Données projet'!$A$270&gt;35,GU18+GT19-HC18,IF(A19&lt;'Données projet'!$A$270,$GR$205^A19,IF(A19='Données projet'!$A$270,'Données projet'!$B$270,GU18+GT19-HC18)))</f>
        <v>115.61799999999999</v>
      </c>
      <c r="GV19" s="17">
        <f>GU19*VLOOKUP('Données projet'!$B$18,Paramètres!$A$1:$I$89,3,0)*VLOOKUP('Données projet'!$B$18,Paramètres!$A$1:$I$89,5,0)</f>
        <v>69.139564000000007</v>
      </c>
      <c r="GW19" s="13">
        <f t="shared" si="51"/>
        <v>19.459627420869886</v>
      </c>
      <c r="GX19" s="20">
        <f t="shared" si="28"/>
        <v>154.31025839134838</v>
      </c>
      <c r="GY19" s="59">
        <f t="shared" si="29"/>
        <v>370.25872723247653</v>
      </c>
      <c r="GZ19" s="59">
        <f ca="1">AVERAGE(OFFSET($GY$3,0,0,'Données projet'!$E$18+1,1))-AVERAGE(OFFSET($H$3,0,0,'Données projet'!$E$18+1,1))</f>
        <v>-15.950000000000017</v>
      </c>
      <c r="HA19" s="59">
        <f t="shared" si="52"/>
        <v>-15.950000000000017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17.295947198196334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17.295947198196334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4.3499999999999996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15.949999999999998</v>
      </c>
      <c r="H20" s="67">
        <f t="shared" si="1"/>
        <v>192.86666666666667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5.044827586206897</v>
      </c>
      <c r="N20" s="13">
        <f>IF('Données projet'!$A$36&gt;35,N19+M20-V19,IF(A20&lt;'Données projet'!$A$36,$K$205^A20,IF(A20='Données projet'!$A$36,'Données projet'!$B$36,N19+M20-V19)))</f>
        <v>18.590075633361216</v>
      </c>
      <c r="O20" s="13">
        <f>N20*VLOOKUP('Données projet'!$B$9,Paramètres!$A$1:$I$89,3,0)*VLOOKUP('Données projet'!$B$9,Paramètres!$A$1:$I$89,5,0)</f>
        <v>16.240290073304358</v>
      </c>
      <c r="P20" s="13">
        <f t="shared" si="33"/>
        <v>5.4104418123324631</v>
      </c>
      <c r="Q20" s="20">
        <f t="shared" si="2"/>
        <v>37.708358034150798</v>
      </c>
      <c r="R20" s="59">
        <f t="shared" si="0"/>
        <v>255.92466396673785</v>
      </c>
      <c r="S20" s="59">
        <f ca="1">AVERAGE(OFFSET($R$3,0,0,'Données projet'!$E$9+1,1))-AVERAGE(OFFSET($H$3,0,0,'Données projet'!$E$9+1,1))</f>
        <v>433.46721010558042</v>
      </c>
      <c r="T20" s="59">
        <f t="shared" si="34"/>
        <v>306.18862295347509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22.868000000000002</v>
      </c>
      <c r="AI20" s="13">
        <f>IF('Données projet'!$A$62&gt;35,AI19+AH20-AQ19,IF(A20&lt;'Données projet'!$A$62,$AF$205^A20,IF(A20='Données projet'!$A$62,'Données projet'!$B$62,AI19+AH20-AQ19)))</f>
        <v>138.48599999999999</v>
      </c>
      <c r="AJ20" s="13">
        <f>AI20*VLOOKUP('Données projet'!$B$10,Paramètres!$A$1:$I$89,3,0)*VLOOKUP('Données projet'!$B$10,Paramètres!$A$1:$I$89,5,0)</f>
        <v>82.814627999999999</v>
      </c>
      <c r="AK20" s="13">
        <f t="shared" si="35"/>
        <v>22.823984251748975</v>
      </c>
      <c r="AL20" s="20">
        <f t="shared" si="4"/>
        <v>183.98724967179612</v>
      </c>
      <c r="AM20" s="59">
        <f t="shared" si="5"/>
        <v>402.20355560438315</v>
      </c>
      <c r="AN20" s="59">
        <f ca="1">AVERAGE(OFFSET($AM$3,0,0,'Données projet'!$E$10+1,1))-AVERAGE(OFFSET($H$3,0,0,'Données projet'!$E$10+1,1))</f>
        <v>400.1942260113168</v>
      </c>
      <c r="AO20" s="59">
        <f t="shared" si="36"/>
        <v>497.04866930593926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16.822988612507324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16.822988612507324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22.2</v>
      </c>
      <c r="BD20" s="12">
        <f>IF('Données projet'!$A$88&gt;35,BD19+BC20-BL19,IF(A20&lt;'Données projet'!$A$88,$BA$205^A20,IF(A20='Données projet'!$A$88,'Données projet'!$B$88,BD19+BC20-BL19)))</f>
        <v>276.40000000000003</v>
      </c>
      <c r="BE20" s="13">
        <f>BD20*VLOOKUP('Données projet'!$B$11,Paramètres!$A$1:$I$89,3,0)*VLOOKUP('Données projet'!$B$11,Paramètres!$A$1:$I$89,5,0)</f>
        <v>176.78544000000002</v>
      </c>
      <c r="BF20" s="13">
        <f t="shared" si="37"/>
        <v>44.606257463845438</v>
      </c>
      <c r="BG20" s="20">
        <f t="shared" si="7"/>
        <v>385.59053974953082</v>
      </c>
      <c r="BH20" s="59">
        <f t="shared" si="8"/>
        <v>603.80684568211791</v>
      </c>
      <c r="BI20" s="59">
        <f ca="1">AVERAGE(OFFSET($BH$3,0,0,'Données projet'!$E$11+1,1))-AVERAGE(OFFSET($H$3,0,0,'Données projet'!$E$11+1,1))</f>
        <v>284.78505691662588</v>
      </c>
      <c r="BJ20" s="59">
        <f t="shared" si="38"/>
        <v>664.42623058686308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22.2</v>
      </c>
      <c r="BY20" s="12">
        <f>IF('Données projet'!$A$114&gt;35,BY19+BX20-CG19,IF(A20&lt;'Données projet'!$A$114,$BV$205^A20,IF(A20='Données projet'!$A$114,'Données projet'!$B$114,BY19+BX20-CG19)))</f>
        <v>276.40000000000003</v>
      </c>
      <c r="BZ20" s="13">
        <f>BY20*VLOOKUP('Données projet'!$B$12,Paramètres!$A$1:$I$89,3,0)*VLOOKUP('Données projet'!$B$12,Paramètres!$A$1:$I$89,5,0)</f>
        <v>241.46304000000003</v>
      </c>
      <c r="CA20" s="13">
        <f t="shared" si="39"/>
        <v>58.754199237810887</v>
      </c>
      <c r="CB20" s="20">
        <f t="shared" si="10"/>
        <v>522.87835833918734</v>
      </c>
      <c r="CC20" s="59">
        <f t="shared" si="11"/>
        <v>741.09466427177438</v>
      </c>
      <c r="CD20" s="59">
        <f ca="1">AVERAGE(OFFSET($CC$3,0,0,'Données projet'!$E$12+1,1))-AVERAGE(OFFSET($H$3,0,0,'Données projet'!$E$12+1,1))</f>
        <v>380.64318988568527</v>
      </c>
      <c r="CE20" s="59">
        <f t="shared" si="40"/>
        <v>885.24651320439159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9.2928571428571427</v>
      </c>
      <c r="CT20" s="12">
        <f>IF('Données projet'!$A$140&gt;35,CT19+CS20-DB19,IF(A20&lt;'Données projet'!$A$140,$CQ$205^A20,IF(A20='Données projet'!$A$140,'Données projet'!$B$140,CT19+CS20-DB19)))</f>
        <v>71.467382836201523</v>
      </c>
      <c r="CU20" s="17">
        <f>CT20*VLOOKUP('Données projet'!$B$13,Paramètres!$A$1:$I$89,3,0)*VLOOKUP('Données projet'!$B$13,Paramètres!$A$1:$I$89,5,0)</f>
        <v>39.95026700543665</v>
      </c>
      <c r="CV20" s="13">
        <f t="shared" si="41"/>
        <v>11.985464216716585</v>
      </c>
      <c r="CW20" s="20">
        <f t="shared" si="13"/>
        <v>90.454731878583559</v>
      </c>
      <c r="CX20" s="59">
        <f t="shared" si="14"/>
        <v>308.67103781117061</v>
      </c>
      <c r="CY20" s="59">
        <f ca="1">AVERAGE(OFFSET($CX$3,0,0,'Données projet'!$E$13+1,1))-AVERAGE(OFFSET($H$3,0,0,'Données projet'!$E$13+1,1))</f>
        <v>404.10467005188889</v>
      </c>
      <c r="CZ20" s="59">
        <f t="shared" si="42"/>
        <v>372.70490129557845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3.1761666666666666</v>
      </c>
      <c r="DO20" s="12">
        <f>IF('Données projet'!$A$166&gt;35,DO19+DN20-DW19,IF(A20&lt;'Données projet'!$A$166,$DL$205^A20,IF(A20='Données projet'!$A$166,'Données projet'!$B$166,DO19+DN20-DW19)))</f>
        <v>53.994833333333332</v>
      </c>
      <c r="DP20" s="17">
        <f>DO20*VLOOKUP('Données projet'!$B$14,Paramètres!$A$1:$I$89,3,0)*VLOOKUP('Données projet'!$B$14,Paramètres!$A$1:$I$89,5,0)</f>
        <v>48.854525199999998</v>
      </c>
      <c r="DQ20" s="13">
        <f t="shared" si="43"/>
        <v>14.317537965545403</v>
      </c>
      <c r="DR20" s="20">
        <f t="shared" si="16"/>
        <v>110.02467667999157</v>
      </c>
      <c r="DS20" s="59">
        <f t="shared" si="17"/>
        <v>328.24098261257865</v>
      </c>
      <c r="DT20" s="59">
        <f ca="1">AVERAGE(OFFSET($DS$3,0,0,'Données projet'!$E$14+1,1))-AVERAGE(OFFSET($H$3,0,0,'Données projet'!$E$14+1,1))</f>
        <v>479.53113328461268</v>
      </c>
      <c r="DU20" s="59">
        <f t="shared" si="44"/>
        <v>244.6360664588118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11.239444444444445</v>
      </c>
      <c r="EJ20" s="12">
        <f>IF('Données projet'!$A$192&gt;35,EJ19+EI20-ER19,IF(A20&lt;'Données projet'!$A$192,$EG$205^A20,IF(A20='Données projet'!$A$192,'Données projet'!$B$192,EJ19+EI20-ER19)))</f>
        <v>150.62784926543083</v>
      </c>
      <c r="EK20" s="17">
        <f>EJ20*VLOOKUP('Données projet'!$B$15,Paramètres!$A$1:$I$89,3,0)*VLOOKUP('Données projet'!$B$15,Paramètres!$A$1:$I$89,5,0)</f>
        <v>66.577509375320432</v>
      </c>
      <c r="EL20" s="13">
        <f t="shared" si="45"/>
        <v>18.821068837725953</v>
      </c>
      <c r="EM20" s="20">
        <f t="shared" si="19"/>
        <v>148.73585705438913</v>
      </c>
      <c r="EN20" s="59">
        <f t="shared" si="20"/>
        <v>366.95216298697619</v>
      </c>
      <c r="EO20" s="59">
        <f ca="1">AVERAGE(OFFSET($EN$3,0,0,'Données projet'!$E$15+1,1))-AVERAGE(OFFSET($H$3,0,0,'Données projet'!$E$15+1,1))</f>
        <v>339.23049610652492</v>
      </c>
      <c r="EP20" s="59">
        <f t="shared" si="46"/>
        <v>448.85057640789785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7.6601960784313725</v>
      </c>
      <c r="FE20" s="12">
        <f>IF('Données projet'!$A$218&gt;35,FE19+FD20-FM19,IF(A20&lt;'Données projet'!$A$218,$FB$205^A20,IF(A20='Données projet'!$A$218,'Données projet'!$B$218,FE19+FD20-FM19)))</f>
        <v>130.2233333333333</v>
      </c>
      <c r="FF20" s="17">
        <f>FE20*VLOOKUP('Données projet'!$B$16,Paramètres!$A$1:$I$89,3,0)*VLOOKUP('Données projet'!$B$16,Paramètres!$A$1:$I$89,5,0)</f>
        <v>60.944519999999983</v>
      </c>
      <c r="FG20" s="13">
        <f t="shared" si="47"/>
        <v>17.406855785157887</v>
      </c>
      <c r="FH20" s="20">
        <f t="shared" si="22"/>
        <v>136.46197949248327</v>
      </c>
      <c r="FI20" s="59">
        <f t="shared" si="23"/>
        <v>354.67828542507033</v>
      </c>
      <c r="FJ20" s="59">
        <f ca="1">AVERAGE(OFFSET($FI$3,0,0,'Données projet'!$E$16+1,1))-AVERAGE(OFFSET($H$3,0,0,'Données projet'!$E$16+1,1))</f>
        <v>365.63278362856033</v>
      </c>
      <c r="FK20" s="59">
        <f t="shared" si="48"/>
        <v>290.68267842697452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5.0742105263157899</v>
      </c>
      <c r="FZ20" s="12">
        <f>IF('Données projet'!$A$244&gt;35,FZ19+FY20-GH19,IF(A20&lt;'Données projet'!$A$244,$FW$205^A20,IF(A20='Données projet'!$A$244,'Données projet'!$B$244,FZ19+FY20-GH19)))</f>
        <v>86.261578947368434</v>
      </c>
      <c r="GA20" s="17">
        <f>FZ20*VLOOKUP('Données projet'!$B$17,Paramètres!$A$1:$I$89,3,0)*VLOOKUP('Données projet'!$B$17,Paramètres!$A$1:$I$89,5,0)</f>
        <v>74.012434736842124</v>
      </c>
      <c r="GB20" s="13">
        <f t="shared" si="49"/>
        <v>20.66663122303596</v>
      </c>
      <c r="GC20" s="20">
        <f t="shared" si="25"/>
        <v>164.89937321345434</v>
      </c>
      <c r="GD20" s="59">
        <f t="shared" si="26"/>
        <v>383.11567914604143</v>
      </c>
      <c r="GE20" s="59">
        <f ca="1">AVERAGE(OFFSET($GD$3,0,0,'Données projet'!$E$17+1,1))-AVERAGE(OFFSET($H$3,0,0,'Données projet'!$E$17+1,1))</f>
        <v>460.46300302025099</v>
      </c>
      <c r="GF20" s="59">
        <f t="shared" si="50"/>
        <v>340.22534554615879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53.84687131494799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22.868000000000002</v>
      </c>
      <c r="GU20" s="12">
        <f>IF('Données projet'!$A$270&gt;35,GU19+GT20-HC19,IF(A20&lt;'Données projet'!$A$270,$GR$205^A20,IF(A20='Données projet'!$A$270,'Données projet'!$B$270,GU19+GT20-HC19)))</f>
        <v>138.48599999999999</v>
      </c>
      <c r="GV20" s="17">
        <f>GU20*VLOOKUP('Données projet'!$B$18,Paramètres!$A$1:$I$89,3,0)*VLOOKUP('Données projet'!$B$18,Paramètres!$A$1:$I$89,5,0)</f>
        <v>82.814627999999999</v>
      </c>
      <c r="GW20" s="13">
        <f t="shared" si="51"/>
        <v>22.823984251748975</v>
      </c>
      <c r="GX20" s="20">
        <f t="shared" si="28"/>
        <v>183.98724967179612</v>
      </c>
      <c r="GY20" s="59">
        <f t="shared" si="29"/>
        <v>402.20355560438315</v>
      </c>
      <c r="GZ20" s="59">
        <f ca="1">AVERAGE(OFFSET($GY$3,0,0,'Données projet'!$E$18+1,1))-AVERAGE(OFFSET($H$3,0,0,'Données projet'!$E$18+1,1))</f>
        <v>-15.950000000000017</v>
      </c>
      <c r="HA20" s="59">
        <f t="shared" si="52"/>
        <v>-15.950000000000017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16.822988612507324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16.822988612507324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4.3499999999999996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15.949999999999998</v>
      </c>
      <c r="H21" s="67">
        <f t="shared" si="1"/>
        <v>192.86666666666667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5.044827586206897</v>
      </c>
      <c r="N21" s="13">
        <f>IF('Données projet'!$A$36&gt;35,N20+M21-V20,IF(A21&lt;'Données projet'!$A$36,$K$205^A21,IF(A21='Données projet'!$A$36,'Données projet'!$B$36,N20+M21-V20)))</f>
        <v>22.077238744028008</v>
      </c>
      <c r="O21" s="13">
        <f>N21*VLOOKUP('Données projet'!$B$9,Paramètres!$A$1:$I$89,3,0)*VLOOKUP('Données projet'!$B$9,Paramètres!$A$1:$I$89,5,0)</f>
        <v>19.286675766782871</v>
      </c>
      <c r="P21" s="13">
        <f t="shared" si="33"/>
        <v>6.2980410268647766</v>
      </c>
      <c r="Q21" s="20">
        <f t="shared" si="2"/>
        <v>44.560048415602985</v>
      </c>
      <c r="R21" s="59">
        <f t="shared" si="0"/>
        <v>265.02605235931236</v>
      </c>
      <c r="S21" s="59">
        <f ca="1">AVERAGE(OFFSET($R$3,0,0,'Données projet'!$E$9+1,1))-AVERAGE(OFFSET($H$3,0,0,'Données projet'!$E$9+1,1))</f>
        <v>433.46721010558042</v>
      </c>
      <c r="T21" s="59">
        <f t="shared" si="34"/>
        <v>306.18862295347509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22.868000000000002</v>
      </c>
      <c r="AI21" s="13">
        <f>IF('Données projet'!$A$62&gt;35,AI20+AH21-AQ20,IF(A21&lt;'Données projet'!$A$62,$AF$205^A21,IF(A21='Données projet'!$A$62,'Données projet'!$B$62,AI20+AH21-AQ20)))</f>
        <v>161.35399999999998</v>
      </c>
      <c r="AJ21" s="13">
        <f>AI21*VLOOKUP('Données projet'!$B$10,Paramètres!$A$1:$I$89,3,0)*VLOOKUP('Données projet'!$B$10,Paramètres!$A$1:$I$89,5,0)</f>
        <v>96.489691999999991</v>
      </c>
      <c r="AK21" s="13">
        <f t="shared" si="35"/>
        <v>26.123983806524365</v>
      </c>
      <c r="AL21" s="20">
        <f t="shared" si="4"/>
        <v>213.55215202969657</v>
      </c>
      <c r="AM21" s="59">
        <f t="shared" si="5"/>
        <v>434.0181559734059</v>
      </c>
      <c r="AN21" s="59">
        <f ca="1">AVERAGE(OFFSET($AM$3,0,0,'Données projet'!$E$10+1,1))-AVERAGE(OFFSET($H$3,0,0,'Données projet'!$E$10+1,1))</f>
        <v>400.1942260113168</v>
      </c>
      <c r="AO21" s="59">
        <f t="shared" si="36"/>
        <v>497.04866930593926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16.36296310421579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16.36296310421579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22.2</v>
      </c>
      <c r="BD21" s="12">
        <f>IF('Données projet'!$A$88&gt;35,BD20+BC21-BL20,IF(A21&lt;'Données projet'!$A$88,$BA$205^A21,IF(A21='Données projet'!$A$88,'Données projet'!$B$88,BD20+BC21-BL20)))</f>
        <v>298.60000000000002</v>
      </c>
      <c r="BE21" s="13">
        <f>BD21*VLOOKUP('Données projet'!$B$11,Paramètres!$A$1:$I$89,3,0)*VLOOKUP('Données projet'!$B$11,Paramètres!$A$1:$I$89,5,0)</f>
        <v>190.98456000000002</v>
      </c>
      <c r="BF21" s="13">
        <f t="shared" si="37"/>
        <v>47.757559567520374</v>
      </c>
      <c r="BG21" s="20">
        <f t="shared" si="7"/>
        <v>415.809191580098</v>
      </c>
      <c r="BH21" s="59">
        <f t="shared" si="8"/>
        <v>636.27519552380738</v>
      </c>
      <c r="BI21" s="59">
        <f ca="1">AVERAGE(OFFSET($BH$3,0,0,'Données projet'!$E$11+1,1))-AVERAGE(OFFSET($H$3,0,0,'Données projet'!$E$11+1,1))</f>
        <v>284.78505691662588</v>
      </c>
      <c r="BJ21" s="59">
        <f t="shared" si="38"/>
        <v>664.42623058686308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22.2</v>
      </c>
      <c r="BY21" s="12">
        <f>IF('Données projet'!$A$114&gt;35,BY20+BX21-CG20,IF(A21&lt;'Données projet'!$A$114,$BV$205^A21,IF(A21='Données projet'!$A$114,'Données projet'!$B$114,BY20+BX21-CG20)))</f>
        <v>298.60000000000002</v>
      </c>
      <c r="BZ21" s="13">
        <f>BY21*VLOOKUP('Données projet'!$B$12,Paramètres!$A$1:$I$89,3,0)*VLOOKUP('Données projet'!$B$12,Paramètres!$A$1:$I$89,5,0)</f>
        <v>260.85696000000007</v>
      </c>
      <c r="CA21" s="13">
        <f t="shared" si="39"/>
        <v>62.905012199600463</v>
      </c>
      <c r="CB21" s="20">
        <f t="shared" si="10"/>
        <v>563.88543491430426</v>
      </c>
      <c r="CC21" s="59">
        <f t="shared" si="11"/>
        <v>784.35143885801358</v>
      </c>
      <c r="CD21" s="59">
        <f ca="1">AVERAGE(OFFSET($CC$3,0,0,'Données projet'!$E$12+1,1))-AVERAGE(OFFSET($H$3,0,0,'Données projet'!$E$12+1,1))</f>
        <v>380.64318988568527</v>
      </c>
      <c r="CE21" s="59">
        <f t="shared" si="40"/>
        <v>885.24651320439159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9.2928571428571427</v>
      </c>
      <c r="CT21" s="12">
        <f>IF('Données projet'!$A$140&gt;35,CT20+CS21-DB20,IF(A21&lt;'Données projet'!$A$140,$CQ$205^A21,IF(A21='Données projet'!$A$140,'Données projet'!$B$140,CT20+CS21-DB20)))</f>
        <v>91.869858543619102</v>
      </c>
      <c r="CU21" s="17">
        <f>CT21*VLOOKUP('Données projet'!$B$13,Paramètres!$A$1:$I$89,3,0)*VLOOKUP('Données projet'!$B$13,Paramètres!$A$1:$I$89,5,0)</f>
        <v>51.355250925883077</v>
      </c>
      <c r="CV21" s="13">
        <f t="shared" si="41"/>
        <v>14.963212487225249</v>
      </c>
      <c r="CW21" s="20">
        <f t="shared" si="13"/>
        <v>115.50465711116368</v>
      </c>
      <c r="CX21" s="59">
        <f t="shared" si="14"/>
        <v>335.97066105487306</v>
      </c>
      <c r="CY21" s="59">
        <f ca="1">AVERAGE(OFFSET($CX$3,0,0,'Données projet'!$E$13+1,1))-AVERAGE(OFFSET($H$3,0,0,'Données projet'!$E$13+1,1))</f>
        <v>404.10467005188889</v>
      </c>
      <c r="CZ21" s="59">
        <f t="shared" si="42"/>
        <v>372.70490129557845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3.1761666666666666</v>
      </c>
      <c r="DO21" s="12">
        <f>IF('Données projet'!$A$166&gt;35,DO20+DN21-DW20,IF(A21&lt;'Données projet'!$A$166,$DL$205^A21,IF(A21='Données projet'!$A$166,'Données projet'!$B$166,DO20+DN21-DW20)))</f>
        <v>57.170999999999999</v>
      </c>
      <c r="DP21" s="17">
        <f>DO21*VLOOKUP('Données projet'!$B$14,Paramètres!$A$1:$I$89,3,0)*VLOOKUP('Données projet'!$B$14,Paramètres!$A$1:$I$89,5,0)</f>
        <v>51.728320799999999</v>
      </c>
      <c r="DQ21" s="13">
        <f t="shared" si="43"/>
        <v>15.059219446389099</v>
      </c>
      <c r="DR21" s="20">
        <f t="shared" si="16"/>
        <v>116.32163259579433</v>
      </c>
      <c r="DS21" s="59">
        <f t="shared" si="17"/>
        <v>336.78763653950369</v>
      </c>
      <c r="DT21" s="59">
        <f ca="1">AVERAGE(OFFSET($DS$3,0,0,'Données projet'!$E$14+1,1))-AVERAGE(OFFSET($H$3,0,0,'Données projet'!$E$14+1,1))</f>
        <v>479.53113328461268</v>
      </c>
      <c r="DU21" s="59">
        <f t="shared" si="44"/>
        <v>244.6360664588118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>
        <f>VLOOKUP(A21,'Données projet'!$A$191:$I$211,2,0)</f>
        <v>202.31</v>
      </c>
      <c r="EH21" s="12">
        <f>VLOOKUP(A21,'Données projet'!$A$191:$I$211,9,0)</f>
        <v>11.239444444444445</v>
      </c>
      <c r="EI21" s="12">
        <f t="array" ref="EI21">INDEX(EH:EH,MIN(IF(ISNUMBER(EH21:EH217),ROW(EH21:EH217),"")))</f>
        <v>11.239444444444445</v>
      </c>
      <c r="EJ21" s="12">
        <f>IF('Données projet'!$A$192&gt;35,EJ20+EI21-ER20,IF(A21&lt;'Données projet'!$A$192,$EG$205^A21,IF(A21='Données projet'!$A$192,'Données projet'!$B$192,EJ20+EI21-ER20)))</f>
        <v>202.31</v>
      </c>
      <c r="EK21" s="17">
        <f>EJ21*VLOOKUP('Données projet'!$B$15,Paramètres!$A$1:$I$89,3,0)*VLOOKUP('Données projet'!$B$15,Paramètres!$A$1:$I$89,5,0)</f>
        <v>89.421020000000013</v>
      </c>
      <c r="EL21" s="13">
        <f t="shared" si="45"/>
        <v>24.425536553413707</v>
      </c>
      <c r="EM21" s="20">
        <f t="shared" si="19"/>
        <v>198.2827526638622</v>
      </c>
      <c r="EN21" s="59">
        <f t="shared" si="20"/>
        <v>418.74875660757152</v>
      </c>
      <c r="EO21" s="59">
        <f ca="1">AVERAGE(OFFSET($EN$3,0,0,'Données projet'!$E$15+1,1))-AVERAGE(OFFSET($H$3,0,0,'Données projet'!$E$15+1,1))</f>
        <v>339.23049610652492</v>
      </c>
      <c r="EP21" s="59">
        <f t="shared" si="46"/>
        <v>448.85057640789785</v>
      </c>
      <c r="EQ21" s="15">
        <f>IF(ISNA(VLOOKUP(A21,'Données projet'!$A$191:$I$211,3,0)),0,VLOOKUP(A21,'Données projet'!$A$191:$I$211,3,0))</f>
        <v>1</v>
      </c>
      <c r="ER21" s="15">
        <f>IF(ISNA(VLOOKUP(A21,'Données projet'!$A$191:$I$211,4,0)),0,VLOOKUP(A21,'Données projet'!$A$191:$I$211,4,0))</f>
        <v>74.819999999999993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0.55000000000000004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24.033535376094324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24.033535376094324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7.6601960784313725</v>
      </c>
      <c r="FE21" s="12">
        <f>IF('Données projet'!$A$218&gt;35,FE20+FD21-FM20,IF(A21&lt;'Données projet'!$A$218,$FB$205^A21,IF(A21='Données projet'!$A$218,'Données projet'!$B$218,FE20+FD21-FM20)))</f>
        <v>137.88352941176467</v>
      </c>
      <c r="FF21" s="17">
        <f>FE21*VLOOKUP('Données projet'!$B$16,Paramètres!$A$1:$I$89,3,0)*VLOOKUP('Données projet'!$B$16,Paramètres!$A$1:$I$89,5,0)</f>
        <v>64.529491764705867</v>
      </c>
      <c r="FG21" s="13">
        <f t="shared" si="47"/>
        <v>18.308571052589809</v>
      </c>
      <c r="FH21" s="20">
        <f t="shared" si="22"/>
        <v>144.2762927401233</v>
      </c>
      <c r="FI21" s="59">
        <f t="shared" si="23"/>
        <v>364.74229668383265</v>
      </c>
      <c r="FJ21" s="59">
        <f ca="1">AVERAGE(OFFSET($FI$3,0,0,'Données projet'!$E$16+1,1))-AVERAGE(OFFSET($H$3,0,0,'Données projet'!$E$16+1,1))</f>
        <v>365.63278362856033</v>
      </c>
      <c r="FK21" s="59">
        <f t="shared" si="48"/>
        <v>290.68267842697452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5.0742105263157899</v>
      </c>
      <c r="FZ21" s="12">
        <f>IF('Données projet'!$A$244&gt;35,FZ20+FY21-GH20,IF(A21&lt;'Données projet'!$A$244,$FW$205^A21,IF(A21='Données projet'!$A$244,'Données projet'!$B$244,FZ20+FY21-GH20)))</f>
        <v>91.33578947368423</v>
      </c>
      <c r="GA21" s="17">
        <f>FZ21*VLOOKUP('Données projet'!$B$17,Paramètres!$A$1:$I$89,3,0)*VLOOKUP('Données projet'!$B$17,Paramètres!$A$1:$I$89,5,0)</f>
        <v>78.366107368421083</v>
      </c>
      <c r="GB21" s="13">
        <f t="shared" si="49"/>
        <v>21.737210374733564</v>
      </c>
      <c r="GC21" s="20">
        <f t="shared" si="25"/>
        <v>174.34661173599434</v>
      </c>
      <c r="GD21" s="59">
        <f t="shared" si="26"/>
        <v>394.8126156797037</v>
      </c>
      <c r="GE21" s="59">
        <f ca="1">AVERAGE(OFFSET($GD$3,0,0,'Données projet'!$E$17+1,1))-AVERAGE(OFFSET($H$3,0,0,'Données projet'!$E$17+1,1))</f>
        <v>460.46300302025099</v>
      </c>
      <c r="GF21" s="59">
        <f t="shared" si="50"/>
        <v>340.22534554615879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54.127091984648011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22.868000000000002</v>
      </c>
      <c r="GU21" s="12">
        <f>IF('Données projet'!$A$270&gt;35,GU20+GT21-HC20,IF(A21&lt;'Données projet'!$A$270,$GR$205^A21,IF(A21='Données projet'!$A$270,'Données projet'!$B$270,GU20+GT21-HC20)))</f>
        <v>161.35399999999998</v>
      </c>
      <c r="GV21" s="17">
        <f>GU21*VLOOKUP('Données projet'!$B$18,Paramètres!$A$1:$I$89,3,0)*VLOOKUP('Données projet'!$B$18,Paramètres!$A$1:$I$89,5,0)</f>
        <v>96.489691999999991</v>
      </c>
      <c r="GW21" s="13">
        <f t="shared" si="51"/>
        <v>26.123983806524365</v>
      </c>
      <c r="GX21" s="20">
        <f t="shared" si="28"/>
        <v>213.55215202969657</v>
      </c>
      <c r="GY21" s="59">
        <f t="shared" si="29"/>
        <v>434.0181559734059</v>
      </c>
      <c r="GZ21" s="59">
        <f ca="1">AVERAGE(OFFSET($GY$3,0,0,'Données projet'!$E$18+1,1))-AVERAGE(OFFSET($H$3,0,0,'Données projet'!$E$18+1,1))</f>
        <v>-15.950000000000017</v>
      </c>
      <c r="HA21" s="59">
        <f t="shared" si="52"/>
        <v>-15.950000000000017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16.36296310421579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16.36296310421579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4.3499999999999996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15.949999999999998</v>
      </c>
      <c r="H22" s="67">
        <f t="shared" si="1"/>
        <v>192.86666666666667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5.044827586206897</v>
      </c>
      <c r="N22" s="13">
        <f>IF('Données projet'!$A$36&gt;35,N21+M22-V21,IF(A22&lt;'Données projet'!$A$36,$K$205^A22,IF(A22='Données projet'!$A$36,'Données projet'!$B$36,N21+M22-V21)))</f>
        <v>26.218530799634255</v>
      </c>
      <c r="O22" s="13">
        <f>N22*VLOOKUP('Données projet'!$B$9,Paramètres!$A$1:$I$89,3,0)*VLOOKUP('Données projet'!$B$9,Paramètres!$A$1:$I$89,5,0)</f>
        <v>22.904508506560489</v>
      </c>
      <c r="P22" s="13">
        <f t="shared" si="33"/>
        <v>7.3312535559775398</v>
      </c>
      <c r="Q22" s="20">
        <f t="shared" si="2"/>
        <v>52.660618925587066</v>
      </c>
      <c r="R22" s="59">
        <f t="shared" si="0"/>
        <v>275.35849647257311</v>
      </c>
      <c r="S22" s="59">
        <f ca="1">AVERAGE(OFFSET($R$3,0,0,'Données projet'!$E$9+1,1))-AVERAGE(OFFSET($H$3,0,0,'Données projet'!$E$9+1,1))</f>
        <v>433.46721010558042</v>
      </c>
      <c r="T22" s="59">
        <f t="shared" si="34"/>
        <v>306.18862295347509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22.868000000000002</v>
      </c>
      <c r="AI22" s="13">
        <f>IF('Données projet'!$A$62&gt;35,AI21+AH22-AQ21,IF(A22&lt;'Données projet'!$A$62,$AF$205^A22,IF(A22='Données projet'!$A$62,'Données projet'!$B$62,AI21+AH22-AQ21)))</f>
        <v>184.22199999999998</v>
      </c>
      <c r="AJ22" s="13">
        <f>AI22*VLOOKUP('Données projet'!$B$10,Paramètres!$A$1:$I$89,3,0)*VLOOKUP('Données projet'!$B$10,Paramètres!$A$1:$I$89,5,0)</f>
        <v>110.164756</v>
      </c>
      <c r="AK22" s="13">
        <f t="shared" si="35"/>
        <v>29.369798989310421</v>
      </c>
      <c r="AL22" s="20">
        <f t="shared" si="4"/>
        <v>243.02268327304895</v>
      </c>
      <c r="AM22" s="59">
        <f t="shared" si="5"/>
        <v>465.72056082003502</v>
      </c>
      <c r="AN22" s="59">
        <f ca="1">AVERAGE(OFFSET($AM$3,0,0,'Données projet'!$E$10+1,1))-AVERAGE(OFFSET($H$3,0,0,'Données projet'!$E$10+1,1))</f>
        <v>400.1942260113168</v>
      </c>
      <c r="AO22" s="59">
        <f t="shared" si="36"/>
        <v>497.04866930593926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15.915517017640179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15.915517017640179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22.2</v>
      </c>
      <c r="BD22" s="12">
        <f>IF('Données projet'!$A$88&gt;35,BD21+BC22-BL21,IF(A22&lt;'Données projet'!$A$88,$BA$205^A22,IF(A22='Données projet'!$A$88,'Données projet'!$B$88,BD21+BC22-BL21)))</f>
        <v>320.8</v>
      </c>
      <c r="BE22" s="13">
        <f>BD22*VLOOKUP('Données projet'!$B$11,Paramètres!$A$1:$I$89,3,0)*VLOOKUP('Données projet'!$B$11,Paramètres!$A$1:$I$89,5,0)</f>
        <v>205.18367999999998</v>
      </c>
      <c r="BF22" s="13">
        <f t="shared" si="37"/>
        <v>50.88168159461307</v>
      </c>
      <c r="BG22" s="20">
        <f t="shared" si="7"/>
        <v>445.98050477728435</v>
      </c>
      <c r="BH22" s="59">
        <f t="shared" si="8"/>
        <v>668.67838232427039</v>
      </c>
      <c r="BI22" s="59">
        <f ca="1">AVERAGE(OFFSET($BH$3,0,0,'Données projet'!$E$11+1,1))-AVERAGE(OFFSET($H$3,0,0,'Données projet'!$E$11+1,1))</f>
        <v>284.78505691662588</v>
      </c>
      <c r="BJ22" s="59">
        <f t="shared" si="38"/>
        <v>664.42623058686308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22.2</v>
      </c>
      <c r="BY22" s="12">
        <f>IF('Données projet'!$A$114&gt;35,BY21+BX22-CG21,IF(A22&lt;'Données projet'!$A$114,$BV$205^A22,IF(A22='Données projet'!$A$114,'Données projet'!$B$114,BY21+BX22-CG21)))</f>
        <v>320.8</v>
      </c>
      <c r="BZ22" s="13">
        <f>BY22*VLOOKUP('Données projet'!$B$12,Paramètres!$A$1:$I$89,3,0)*VLOOKUP('Données projet'!$B$12,Paramètres!$A$1:$I$89,5,0)</f>
        <v>280.25088000000005</v>
      </c>
      <c r="CA22" s="13">
        <f t="shared" si="39"/>
        <v>67.020024273227449</v>
      </c>
      <c r="CB22" s="20">
        <f t="shared" si="10"/>
        <v>604.83015827587121</v>
      </c>
      <c r="CC22" s="59">
        <f t="shared" si="11"/>
        <v>827.5280358228573</v>
      </c>
      <c r="CD22" s="59">
        <f ca="1">AVERAGE(OFFSET($CC$3,0,0,'Données projet'!$E$12+1,1))-AVERAGE(OFFSET($H$3,0,0,'Données projet'!$E$12+1,1))</f>
        <v>380.64318988568527</v>
      </c>
      <c r="CE22" s="59">
        <f t="shared" si="40"/>
        <v>885.24651320439159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9.2928571428571427</v>
      </c>
      <c r="CT22" s="12">
        <f>IF('Données projet'!$A$140&gt;35,CT21+CS22-DB21,IF(A22&lt;'Données projet'!$A$140,$CQ$205^A22,IF(A22='Données projet'!$A$140,'Données projet'!$B$140,CT21+CS22-DB21)))</f>
        <v>118.09682366805939</v>
      </c>
      <c r="CU22" s="17">
        <f>CT22*VLOOKUP('Données projet'!$B$13,Paramètres!$A$1:$I$89,3,0)*VLOOKUP('Données projet'!$B$13,Paramètres!$A$1:$I$89,5,0)</f>
        <v>66.016124430445203</v>
      </c>
      <c r="CV22" s="13">
        <f t="shared" si="41"/>
        <v>18.68077229963064</v>
      </c>
      <c r="CW22" s="20">
        <f t="shared" si="13"/>
        <v>147.51376180488208</v>
      </c>
      <c r="CX22" s="59">
        <f t="shared" si="14"/>
        <v>370.21163935186814</v>
      </c>
      <c r="CY22" s="59">
        <f ca="1">AVERAGE(OFFSET($CX$3,0,0,'Données projet'!$E$13+1,1))-AVERAGE(OFFSET($H$3,0,0,'Données projet'!$E$13+1,1))</f>
        <v>404.10467005188889</v>
      </c>
      <c r="CZ22" s="59">
        <f t="shared" si="42"/>
        <v>372.70490129557845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3.1761666666666666</v>
      </c>
      <c r="DO22" s="12">
        <f>IF('Données projet'!$A$166&gt;35,DO21+DN22-DW21,IF(A22&lt;'Données projet'!$A$166,$DL$205^A22,IF(A22='Données projet'!$A$166,'Données projet'!$B$166,DO21+DN22-DW21)))</f>
        <v>60.347166666666666</v>
      </c>
      <c r="DP22" s="17">
        <f>DO22*VLOOKUP('Données projet'!$B$14,Paramètres!$A$1:$I$89,3,0)*VLOOKUP('Données projet'!$B$14,Paramètres!$A$1:$I$89,5,0)</f>
        <v>54.6021164</v>
      </c>
      <c r="DQ22" s="13">
        <f t="shared" si="43"/>
        <v>15.796117597385283</v>
      </c>
      <c r="DR22" s="20">
        <f t="shared" si="16"/>
        <v>122.61025754544603</v>
      </c>
      <c r="DS22" s="59">
        <f t="shared" si="17"/>
        <v>345.30813509243211</v>
      </c>
      <c r="DT22" s="59">
        <f ca="1">AVERAGE(OFFSET($DS$3,0,0,'Données projet'!$E$14+1,1))-AVERAGE(OFFSET($H$3,0,0,'Données projet'!$E$14+1,1))</f>
        <v>479.53113328461268</v>
      </c>
      <c r="DU22" s="59">
        <f t="shared" si="44"/>
        <v>244.6360664588118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26.933333333333326</v>
      </c>
      <c r="EJ22" s="12">
        <f>IF('Données projet'!$A$192&gt;35,EJ21+EI22-ER21,IF(A22&lt;'Données projet'!$A$192,$EG$205^A22,IF(A22='Données projet'!$A$192,'Données projet'!$B$192,EJ21+EI22-ER21)))</f>
        <v>154.42333333333335</v>
      </c>
      <c r="EK22" s="17">
        <f>EJ22*VLOOKUP('Données projet'!$B$15,Paramètres!$A$1:$I$89,3,0)*VLOOKUP('Données projet'!$B$15,Paramètres!$A$1:$I$89,5,0)</f>
        <v>68.255113333333355</v>
      </c>
      <c r="EL22" s="13">
        <f t="shared" si="45"/>
        <v>19.239506171249076</v>
      </c>
      <c r="EM22" s="20">
        <f t="shared" si="19"/>
        <v>152.3864623038144</v>
      </c>
      <c r="EN22" s="59">
        <f t="shared" si="20"/>
        <v>375.08433985080046</v>
      </c>
      <c r="EO22" s="59">
        <f ca="1">AVERAGE(OFFSET($EN$3,0,0,'Données projet'!$E$15+1,1))-AVERAGE(OFFSET($H$3,0,0,'Données projet'!$E$15+1,1))</f>
        <v>339.23049610652492</v>
      </c>
      <c r="EP22" s="59">
        <f t="shared" si="46"/>
        <v>448.85057640789785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23.376337087366331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23.376337087366331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7.6601960784313725</v>
      </c>
      <c r="FE22" s="12">
        <f>IF('Données projet'!$A$218&gt;35,FE21+FD22-FM21,IF(A22&lt;'Données projet'!$A$218,$FB$205^A22,IF(A22='Données projet'!$A$218,'Données projet'!$B$218,FE21+FD22-FM21)))</f>
        <v>145.54372549019604</v>
      </c>
      <c r="FF22" s="17">
        <f>FE22*VLOOKUP('Données projet'!$B$16,Paramètres!$A$1:$I$89,3,0)*VLOOKUP('Données projet'!$B$16,Paramètres!$A$1:$I$89,5,0)</f>
        <v>68.114463529411751</v>
      </c>
      <c r="FG22" s="13">
        <f t="shared" si="47"/>
        <v>19.204470883524991</v>
      </c>
      <c r="FH22" s="20">
        <f t="shared" si="22"/>
        <v>152.08047743586482</v>
      </c>
      <c r="FI22" s="59">
        <f t="shared" si="23"/>
        <v>374.77835498285089</v>
      </c>
      <c r="FJ22" s="59">
        <f ca="1">AVERAGE(OFFSET($FI$3,0,0,'Données projet'!$E$16+1,1))-AVERAGE(OFFSET($H$3,0,0,'Données projet'!$E$16+1,1))</f>
        <v>365.63278362856033</v>
      </c>
      <c r="FK22" s="59">
        <f t="shared" si="48"/>
        <v>290.68267842697452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5.0742105263157899</v>
      </c>
      <c r="FZ22" s="12">
        <f>IF('Données projet'!$A$244&gt;35,FZ21+FY22-GH21,IF(A22&lt;'Données projet'!$A$244,$FW$205^A22,IF(A22='Données projet'!$A$244,'Données projet'!$B$244,FZ21+FY22-GH21)))</f>
        <v>96.410000000000025</v>
      </c>
      <c r="GA22" s="17">
        <f>FZ22*VLOOKUP('Données projet'!$B$17,Paramètres!$A$1:$I$89,3,0)*VLOOKUP('Données projet'!$B$17,Paramètres!$A$1:$I$89,5,0)</f>
        <v>82.719780000000029</v>
      </c>
      <c r="GB22" s="13">
        <f t="shared" si="49"/>
        <v>22.800885035294886</v>
      </c>
      <c r="GC22" s="20">
        <f t="shared" si="25"/>
        <v>183.78182493647196</v>
      </c>
      <c r="GD22" s="59">
        <f t="shared" si="26"/>
        <v>406.47970248345803</v>
      </c>
      <c r="GE22" s="59">
        <f ca="1">AVERAGE(OFFSET($GD$3,0,0,'Données projet'!$E$17+1,1))-AVERAGE(OFFSET($H$3,0,0,'Données projet'!$E$17+1,1))</f>
        <v>460.46300302025099</v>
      </c>
      <c r="GF22" s="59">
        <f t="shared" si="50"/>
        <v>340.22534554615879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54.402451452208318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22.868000000000002</v>
      </c>
      <c r="GU22" s="12">
        <f>IF('Données projet'!$A$270&gt;35,GU21+GT22-HC21,IF(A22&lt;'Données projet'!$A$270,$GR$205^A22,IF(A22='Données projet'!$A$270,'Données projet'!$B$270,GU21+GT22-HC21)))</f>
        <v>184.22199999999998</v>
      </c>
      <c r="GV22" s="17">
        <f>GU22*VLOOKUP('Données projet'!$B$18,Paramètres!$A$1:$I$89,3,0)*VLOOKUP('Données projet'!$B$18,Paramètres!$A$1:$I$89,5,0)</f>
        <v>110.164756</v>
      </c>
      <c r="GW22" s="13">
        <f t="shared" si="51"/>
        <v>29.369798989310421</v>
      </c>
      <c r="GX22" s="20">
        <f t="shared" si="28"/>
        <v>243.02268327304895</v>
      </c>
      <c r="GY22" s="59">
        <f t="shared" si="29"/>
        <v>465.72056082003502</v>
      </c>
      <c r="GZ22" s="59">
        <f ca="1">AVERAGE(OFFSET($GY$3,0,0,'Données projet'!$E$18+1,1))-AVERAGE(OFFSET($H$3,0,0,'Données projet'!$E$18+1,1))</f>
        <v>-15.950000000000017</v>
      </c>
      <c r="HA22" s="59">
        <f t="shared" si="52"/>
        <v>-15.950000000000017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15.915517017640179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15.915517017640179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4.3499999999999996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15.949999999999998</v>
      </c>
      <c r="H23" s="67">
        <f t="shared" si="1"/>
        <v>192.86666666666667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5.044827586206897</v>
      </c>
      <c r="N23" s="13">
        <f>IF('Données projet'!$A$36&gt;35,N22+M23-V22,IF(A23&lt;'Données projet'!$A$36,$K$205^A23,IF(A23='Données projet'!$A$36,'Données projet'!$B$36,N22+M23-V22)))</f>
        <v>31.136654599856513</v>
      </c>
      <c r="O23" s="13">
        <f>N23*VLOOKUP('Données projet'!$B$9,Paramètres!$A$1:$I$89,3,0)*VLOOKUP('Données projet'!$B$9,Paramètres!$A$1:$I$89,5,0)</f>
        <v>27.200981458434654</v>
      </c>
      <c r="P23" s="13">
        <f t="shared" si="33"/>
        <v>8.5339677008724042</v>
      </c>
      <c r="Q23" s="20">
        <f t="shared" si="2"/>
        <v>62.238369785793118</v>
      </c>
      <c r="R23" s="59">
        <f t="shared" si="0"/>
        <v>287.15060574183684</v>
      </c>
      <c r="S23" s="59">
        <f ca="1">AVERAGE(OFFSET($R$3,0,0,'Données projet'!$E$9+1,1))-AVERAGE(OFFSET($H$3,0,0,'Données projet'!$E$9+1,1))</f>
        <v>433.46721010558042</v>
      </c>
      <c r="T23" s="59">
        <f t="shared" si="34"/>
        <v>306.18862295347509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207.09</v>
      </c>
      <c r="AG23" s="12">
        <f>VLOOKUP(A23,'Données projet'!$A$61:$I$81,9,0)</f>
        <v>22.868000000000002</v>
      </c>
      <c r="AH23" s="12">
        <f t="array" ref="AH23">INDEX(AG:AG,MIN(IF(ISNUMBER(AG23:AG219),ROW(AG23:AG219),"")))</f>
        <v>22.868000000000002</v>
      </c>
      <c r="AI23" s="13">
        <f>IF('Données projet'!$A$62&gt;35,AI22+AH23-AQ22,IF(A23&lt;'Données projet'!$A$62,$AF$205^A23,IF(A23='Données projet'!$A$62,'Données projet'!$B$62,AI22+AH23-AQ22)))</f>
        <v>207.08999999999997</v>
      </c>
      <c r="AJ23" s="13">
        <f>AI23*VLOOKUP('Données projet'!$B$10,Paramètres!$A$1:$I$89,3,0)*VLOOKUP('Données projet'!$B$10,Paramètres!$A$1:$I$89,5,0)</f>
        <v>123.83982</v>
      </c>
      <c r="AK23" s="13">
        <f t="shared" si="35"/>
        <v>32.568925941983501</v>
      </c>
      <c r="AL23" s="20">
        <f t="shared" si="4"/>
        <v>272.41189918228798</v>
      </c>
      <c r="AM23" s="59">
        <f t="shared" si="5"/>
        <v>497.32413513833171</v>
      </c>
      <c r="AN23" s="59">
        <f ca="1">AVERAGE(OFFSET($AM$3,0,0,'Données projet'!$E$10+1,1))-AVERAGE(OFFSET($H$3,0,0,'Données projet'!$E$10+1,1))</f>
        <v>400.1942260113168</v>
      </c>
      <c r="AO23" s="59">
        <f t="shared" si="36"/>
        <v>497.04866930593926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54.89</v>
      </c>
      <c r="AR23" s="16">
        <f>IF(ISNA(VLOOKUP(A23,'Données projet'!$A$61:$I$81,5,0)),0%,VLOOKUP(A23,'Données projet'!$A$61:$I$81,5,0)*VLOOKUP('Données projet'!$B$10,Paramètres!$A$1:$I$89,7,0))</f>
        <v>4.5000000000000005E-2</v>
      </c>
      <c r="AS23" s="16">
        <f>IF(ISNA(VLOOKUP(A23,'Données projet'!$A$61:$I$81,6,0)),0%,VLOOKUP(A23,'Données projet'!$A$61:$I$81,6,0)*VLOOKUP('Données projet'!$B$10,Paramètres!$A$1:$I$89,7,0))</f>
        <v>0.36000000000000004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1.9594549588287447</v>
      </c>
      <c r="AV23" s="21">
        <f>EXP(-LN(2)/25)*AV22+(1-EXP(-LN(2)/25))/(LN(2)/25)*Calculateur!AQ23*Calculateur!AS23*VLOOKUP('Données projet'!$B$10,Paramètres!$A$1:$I$89,3,0)*0.475*44/12</f>
        <v>31.094225072191854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33.053680031020598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343</v>
      </c>
      <c r="BB23" s="12">
        <f>VLOOKUP(A23,'Données projet'!$A$87:$I$107,9,0)</f>
        <v>22.2</v>
      </c>
      <c r="BC23" s="12">
        <f t="array" ref="BC23">INDEX(BB:BB,MIN(IF(ISNUMBER(BB23:BB219),ROW(BB23:BB219),"")))</f>
        <v>22.2</v>
      </c>
      <c r="BD23" s="12">
        <f>IF('Données projet'!$A$88&gt;35,BD22+BC23-BL22,IF(A23&lt;'Données projet'!$A$88,$BA$205^A23,IF(A23='Données projet'!$A$88,'Données projet'!$B$88,BD22+BC23-BL22)))</f>
        <v>343</v>
      </c>
      <c r="BE23" s="13">
        <f>BD23*VLOOKUP('Données projet'!$B$11,Paramètres!$A$1:$I$89,3,0)*VLOOKUP('Données projet'!$B$11,Paramètres!$A$1:$I$89,5,0)</f>
        <v>219.3828</v>
      </c>
      <c r="BF23" s="13">
        <f t="shared" si="37"/>
        <v>53.980718424245985</v>
      </c>
      <c r="BG23" s="20">
        <f t="shared" si="7"/>
        <v>476.10812792222833</v>
      </c>
      <c r="BH23" s="59">
        <f t="shared" si="8"/>
        <v>701.02036387827206</v>
      </c>
      <c r="BI23" s="59">
        <f ca="1">AVERAGE(OFFSET($BH$3,0,0,'Données projet'!$E$11+1,1))-AVERAGE(OFFSET($H$3,0,0,'Données projet'!$E$11+1,1))</f>
        <v>284.78505691662588</v>
      </c>
      <c r="BJ23" s="59">
        <f t="shared" si="38"/>
        <v>664.42623058686308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343</v>
      </c>
      <c r="BW23" s="12">
        <f>VLOOKUP(A23,'Données projet'!$A$113:$I$133,9,0)</f>
        <v>22.2</v>
      </c>
      <c r="BX23" s="12">
        <f t="array" ref="BX23">INDEX(BW:BW,MIN(IF(ISNUMBER(BW23:BW219),ROW(BW23:BW219),"")))</f>
        <v>22.2</v>
      </c>
      <c r="BY23" s="12">
        <f>IF('Données projet'!$A$114&gt;35,BY22+BX23-CG22,IF(A23&lt;'Données projet'!$A$114,$BV$205^A23,IF(A23='Données projet'!$A$114,'Données projet'!$B$114,BY22+BX23-CG22)))</f>
        <v>343</v>
      </c>
      <c r="BZ23" s="13">
        <f>BY23*VLOOKUP('Données projet'!$B$12,Paramètres!$A$1:$I$89,3,0)*VLOOKUP('Données projet'!$B$12,Paramètres!$A$1:$I$89,5,0)</f>
        <v>299.64480000000003</v>
      </c>
      <c r="CA23" s="13">
        <f t="shared" si="39"/>
        <v>71.101994778848734</v>
      </c>
      <c r="CB23" s="20">
        <f t="shared" si="10"/>
        <v>645.71733423982823</v>
      </c>
      <c r="CC23" s="59">
        <f t="shared" si="11"/>
        <v>870.62957019587191</v>
      </c>
      <c r="CD23" s="59">
        <f ca="1">AVERAGE(OFFSET($CC$3,0,0,'Données projet'!$E$12+1,1))-AVERAGE(OFFSET($H$3,0,0,'Données projet'!$E$12+1,1))</f>
        <v>380.64318988568527</v>
      </c>
      <c r="CE23" s="59">
        <f t="shared" si="40"/>
        <v>885.24651320439159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0.39750000000000002</v>
      </c>
      <c r="CI23" s="16">
        <f>IF(ISNA(VLOOKUP(A23,'Données projet'!$A$113:$I$133,6,0)),0%,VLOOKUP(A23,'Données projet'!$A$113:$I$133,6,0)*VLOOKUP('Données projet'!$B$12,Paramètres!$A$1:$I$89,7,0))</f>
        <v>0.10600000000000001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9.2928571428571427</v>
      </c>
      <c r="CT23" s="12">
        <f>IF('Données projet'!$A$140&gt;35,CT22+CS23-DB22,IF(A23&lt;'Données projet'!$A$140,$CQ$205^A23,IF(A23='Données projet'!$A$140,'Données projet'!$B$140,CT22+CS23-DB22)))</f>
        <v>151.81105077965097</v>
      </c>
      <c r="CU23" s="17">
        <f>CT23*VLOOKUP('Données projet'!$B$13,Paramètres!$A$1:$I$89,3,0)*VLOOKUP('Données projet'!$B$13,Paramètres!$A$1:$I$89,5,0)</f>
        <v>84.8623773858249</v>
      </c>
      <c r="CV23" s="13">
        <f t="shared" si="41"/>
        <v>23.321947343097605</v>
      </c>
      <c r="CW23" s="20">
        <f t="shared" si="13"/>
        <v>188.42103223620668</v>
      </c>
      <c r="CX23" s="59">
        <f t="shared" si="14"/>
        <v>413.33326819225039</v>
      </c>
      <c r="CY23" s="59">
        <f ca="1">AVERAGE(OFFSET($CX$3,0,0,'Données projet'!$E$13+1,1))-AVERAGE(OFFSET($H$3,0,0,'Données projet'!$E$13+1,1))</f>
        <v>404.10467005188889</v>
      </c>
      <c r="CZ23" s="59">
        <f t="shared" si="42"/>
        <v>372.70490129557845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3.1761666666666666</v>
      </c>
      <c r="DO23" s="12">
        <f>IF('Données projet'!$A$166&gt;35,DO22+DN23-DW22,IF(A23&lt;'Données projet'!$A$166,$DL$205^A23,IF(A23='Données projet'!$A$166,'Données projet'!$B$166,DO22+DN23-DW22)))</f>
        <v>63.523333333333333</v>
      </c>
      <c r="DP23" s="17">
        <f>DO23*VLOOKUP('Données projet'!$B$14,Paramètres!$A$1:$I$89,3,0)*VLOOKUP('Données projet'!$B$14,Paramètres!$A$1:$I$89,5,0)</f>
        <v>57.475912000000001</v>
      </c>
      <c r="DQ23" s="13">
        <f t="shared" si="43"/>
        <v>16.528512883325526</v>
      </c>
      <c r="DR23" s="20">
        <f t="shared" si="16"/>
        <v>128.89104000512529</v>
      </c>
      <c r="DS23" s="59">
        <f t="shared" si="17"/>
        <v>353.80327596116899</v>
      </c>
      <c r="DT23" s="59">
        <f ca="1">AVERAGE(OFFSET($DS$3,0,0,'Données projet'!$E$14+1,1))-AVERAGE(OFFSET($H$3,0,0,'Données projet'!$E$14+1,1))</f>
        <v>479.53113328461268</v>
      </c>
      <c r="DU23" s="59">
        <f t="shared" si="44"/>
        <v>244.6360664588118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26.933333333333326</v>
      </c>
      <c r="EJ23" s="12">
        <f>IF('Données projet'!$A$192&gt;35,EJ22+EI23-ER22,IF(A23&lt;'Données projet'!$A$192,$EG$205^A23,IF(A23='Données projet'!$A$192,'Données projet'!$B$192,EJ22+EI23-ER22)))</f>
        <v>181.35666666666668</v>
      </c>
      <c r="EK23" s="17">
        <f>EJ23*VLOOKUP('Données projet'!$B$15,Paramètres!$A$1:$I$89,3,0)*VLOOKUP('Données projet'!$B$15,Paramètres!$A$1:$I$89,5,0)</f>
        <v>80.159646666666688</v>
      </c>
      <c r="EL23" s="13">
        <f t="shared" si="45"/>
        <v>22.176214038404822</v>
      </c>
      <c r="EM23" s="20">
        <f t="shared" si="19"/>
        <v>178.23495739466622</v>
      </c>
      <c r="EN23" s="59">
        <f t="shared" si="20"/>
        <v>403.14719335070993</v>
      </c>
      <c r="EO23" s="59">
        <f ca="1">AVERAGE(OFFSET($EN$3,0,0,'Données projet'!$E$15+1,1))-AVERAGE(OFFSET($H$3,0,0,'Données projet'!$E$15+1,1))</f>
        <v>339.23049610652492</v>
      </c>
      <c r="EP23" s="59">
        <f t="shared" si="46"/>
        <v>448.85057640789785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22.737109920404158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22.737109920404158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7.6601960784313725</v>
      </c>
      <c r="FE23" s="12">
        <f>IF('Données projet'!$A$218&gt;35,FE22+FD23-FM22,IF(A23&lt;'Données projet'!$A$218,$FB$205^A23,IF(A23='Données projet'!$A$218,'Données projet'!$B$218,FE22+FD23-FM22)))</f>
        <v>153.20392156862741</v>
      </c>
      <c r="FF23" s="17">
        <f>FE23*VLOOKUP('Données projet'!$B$16,Paramètres!$A$1:$I$89,3,0)*VLOOKUP('Données projet'!$B$16,Paramètres!$A$1:$I$89,5,0)</f>
        <v>71.69943529411762</v>
      </c>
      <c r="FG23" s="13">
        <f t="shared" si="47"/>
        <v>20.094896259086788</v>
      </c>
      <c r="FH23" s="20">
        <f t="shared" si="22"/>
        <v>159.87512745516435</v>
      </c>
      <c r="FI23" s="59">
        <f t="shared" si="23"/>
        <v>384.78736341120805</v>
      </c>
      <c r="FJ23" s="59">
        <f ca="1">AVERAGE(OFFSET($FI$3,0,0,'Données projet'!$E$16+1,1))-AVERAGE(OFFSET($H$3,0,0,'Données projet'!$E$16+1,1))</f>
        <v>365.63278362856033</v>
      </c>
      <c r="FK23" s="59">
        <f t="shared" si="48"/>
        <v>290.68267842697452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5.0742105263157899</v>
      </c>
      <c r="FZ23" s="12">
        <f>IF('Données projet'!$A$244&gt;35,FZ22+FY23-GH22,IF(A23&lt;'Données projet'!$A$244,$FW$205^A23,IF(A23='Données projet'!$A$244,'Données projet'!$B$244,FZ22+FY23-GH22)))</f>
        <v>101.48421052631582</v>
      </c>
      <c r="GA23" s="17">
        <f>FZ23*VLOOKUP('Données projet'!$B$17,Paramètres!$A$1:$I$89,3,0)*VLOOKUP('Données projet'!$B$17,Paramètres!$A$1:$I$89,5,0)</f>
        <v>87.073452631578988</v>
      </c>
      <c r="GB23" s="13">
        <f t="shared" si="49"/>
        <v>23.858060041252003</v>
      </c>
      <c r="GC23" s="20">
        <f t="shared" si="25"/>
        <v>193.20571790518065</v>
      </c>
      <c r="GD23" s="59">
        <f t="shared" si="26"/>
        <v>418.11795386122435</v>
      </c>
      <c r="GE23" s="59">
        <f ca="1">AVERAGE(OFFSET($GD$3,0,0,'Données projet'!$E$17+1,1))-AVERAGE(OFFSET($H$3,0,0,'Données projet'!$E$17+1,1))</f>
        <v>460.46300302025099</v>
      </c>
      <c r="GF23" s="59">
        <f t="shared" si="50"/>
        <v>340.22534554615879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54.673034048617986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207.09</v>
      </c>
      <c r="GS23" s="12">
        <f>VLOOKUP(A23,'Données projet'!$A$269:$I$289,9,0)</f>
        <v>22.868000000000002</v>
      </c>
      <c r="GT23" s="12">
        <f t="array" ref="GT23">INDEX(GS:GS,MIN(IF(ISNUMBER(GS23:GS219),ROW(GS23:GS219),"")))</f>
        <v>22.868000000000002</v>
      </c>
      <c r="GU23" s="12">
        <f>IF('Données projet'!$A$270&gt;35,GU22+GT23-HC22,IF(A23&lt;'Données projet'!$A$270,$GR$205^A23,IF(A23='Données projet'!$A$270,'Données projet'!$B$270,GU22+GT23-HC22)))</f>
        <v>207.08999999999997</v>
      </c>
      <c r="GV23" s="17">
        <f>GU23*VLOOKUP('Données projet'!$B$18,Paramètres!$A$1:$I$89,3,0)*VLOOKUP('Données projet'!$B$18,Paramètres!$A$1:$I$89,5,0)</f>
        <v>123.83982</v>
      </c>
      <c r="GW23" s="13">
        <f t="shared" si="51"/>
        <v>32.568925941983501</v>
      </c>
      <c r="GX23" s="20">
        <f t="shared" si="28"/>
        <v>272.41189918228798</v>
      </c>
      <c r="GY23" s="59">
        <f t="shared" si="29"/>
        <v>497.32413513833171</v>
      </c>
      <c r="GZ23" s="59">
        <f ca="1">AVERAGE(OFFSET($GY$3,0,0,'Données projet'!$E$18+1,1))-AVERAGE(OFFSET($H$3,0,0,'Données projet'!$E$18+1,1))</f>
        <v>-15.950000000000017</v>
      </c>
      <c r="HA23" s="59">
        <f t="shared" si="52"/>
        <v>-15.950000000000017</v>
      </c>
      <c r="HB23" s="15">
        <f>IF(ISNA(VLOOKUP(A23,'Données projet'!$A$269:$I$289,3,0)),0,VLOOKUP(A23,'Données projet'!$A$269:$I$289,3,0))</f>
        <v>2</v>
      </c>
      <c r="HC23" s="15">
        <f>IF(ISNA(VLOOKUP(A23,'Données projet'!$A$269:$I$289,4,0)),0,VLOOKUP(A23,'Données projet'!$A$269:$I$289,4,0))</f>
        <v>54.89</v>
      </c>
      <c r="HD23" s="16">
        <f>IF(ISNA(VLOOKUP(A23,'Données projet'!$A$269:$I$289,5,0)),0%,VLOOKUP(A23,'Données projet'!$A$269:$I$289,5,0)*VLOOKUP('Données projet'!$B$18,Paramètres!$A$1:$I$89,7,0))</f>
        <v>4.5000000000000005E-2</v>
      </c>
      <c r="HE23" s="16">
        <f>IF(ISNA(VLOOKUP(A23,'Données projet'!$A$269:$I$289,6,0)),0%,VLOOKUP(A23,'Données projet'!$A$269:$I$289,6,0)*VLOOKUP('Données projet'!$B$18,Paramètres!$A$1:$I$89,7,0))</f>
        <v>0.36000000000000004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1.9594549588287447</v>
      </c>
      <c r="HH23" s="21">
        <f>EXP(-LN(2)/25)*HH22+(1-EXP(-LN(2)/25))/(LN(2)/25)*Calculateur!HC23*Calculateur!HE23*VLOOKUP('Données projet'!$B$18,Paramètres!$A$1:$I$89,3,0)*0.475*44/12</f>
        <v>31.094225072191854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33.053680031020598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4.3499999999999996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15.949999999999998</v>
      </c>
      <c r="H24" s="67">
        <f t="shared" si="1"/>
        <v>192.86666666666667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5.044827586206897</v>
      </c>
      <c r="N24" s="13">
        <f>IF('Données projet'!$A$36&gt;35,N23+M24-V23,IF(A24&lt;'Données projet'!$A$36,$K$205^A24,IF(A24='Données projet'!$A$36,'Données projet'!$B$36,N23+M24-V23)))</f>
        <v>36.977329777925235</v>
      </c>
      <c r="O24" s="13">
        <f>N24*VLOOKUP('Données projet'!$B$9,Paramètres!$A$1:$I$89,3,0)*VLOOKUP('Données projet'!$B$9,Paramètres!$A$1:$I$89,5,0)</f>
        <v>32.303395293995493</v>
      </c>
      <c r="P24" s="13">
        <f t="shared" si="33"/>
        <v>9.933990710245272</v>
      </c>
      <c r="Q24" s="20">
        <f t="shared" si="2"/>
        <v>73.56344729071931</v>
      </c>
      <c r="R24" s="59">
        <f t="shared" si="0"/>
        <v>300.67283031106331</v>
      </c>
      <c r="S24" s="59">
        <f ca="1">AVERAGE(OFFSET($R$3,0,0,'Données projet'!$E$9+1,1))-AVERAGE(OFFSET($H$3,0,0,'Données projet'!$E$9+1,1))</f>
        <v>433.46721010558042</v>
      </c>
      <c r="T24" s="59">
        <f t="shared" si="34"/>
        <v>306.18862295347509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24.2</v>
      </c>
      <c r="AI24" s="13">
        <f>IF('Données projet'!$A$62&gt;35,AI23+AH24-AQ23,IF(A24&lt;'Données projet'!$A$62,$AF$205^A24,IF(A24='Données projet'!$A$62,'Données projet'!$B$62,AI23+AH24-AQ23)))</f>
        <v>176.39999999999998</v>
      </c>
      <c r="AJ24" s="13">
        <f>AI24*VLOOKUP('Données projet'!$B$10,Paramètres!$A$1:$I$89,3,0)*VLOOKUP('Données projet'!$B$10,Paramètres!$A$1:$I$89,5,0)</f>
        <v>105.48719999999999</v>
      </c>
      <c r="AK24" s="13">
        <f t="shared" si="35"/>
        <v>28.265155367923839</v>
      </c>
      <c r="AL24" s="20">
        <f t="shared" si="4"/>
        <v>232.95201893246733</v>
      </c>
      <c r="AM24" s="59">
        <f t="shared" si="5"/>
        <v>460.06140195281137</v>
      </c>
      <c r="AN24" s="59">
        <f ca="1">AVERAGE(OFFSET($AM$3,0,0,'Données projet'!$E$10+1,1))-AVERAGE(OFFSET($H$3,0,0,'Données projet'!$E$10+1,1))</f>
        <v>400.1942260113168</v>
      </c>
      <c r="AO24" s="59">
        <f t="shared" si="36"/>
        <v>497.04866930593926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1.9210312422356266</v>
      </c>
      <c r="AV24" s="21">
        <f>EXP(-LN(2)/25)*AV23+(1-EXP(-LN(2)/25))/(LN(2)/25)*Calculateur!AQ24*Calculateur!AS24*VLOOKUP('Données projet'!$B$10,Paramètres!$A$1:$I$89,3,0)*0.475*44/12</f>
        <v>30.243951852418537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32.164983094654161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19.5</v>
      </c>
      <c r="BD24" s="12">
        <f>IF('Données projet'!$A$88&gt;35,BD23+BC24-BL23,IF(A24&lt;'Données projet'!$A$88,$BA$205^A24,IF(A24='Données projet'!$A$88,'Données projet'!$B$88,BD23+BC24-BL23)))</f>
        <v>362.5</v>
      </c>
      <c r="BE24" s="13">
        <f>BD24*VLOOKUP('Données projet'!$B$11,Paramètres!$A$1:$I$89,3,0)*VLOOKUP('Données projet'!$B$11,Paramètres!$A$1:$I$89,5,0)</f>
        <v>231.85500000000002</v>
      </c>
      <c r="BF24" s="13">
        <f t="shared" si="37"/>
        <v>56.683588191763235</v>
      </c>
      <c r="BG24" s="20">
        <f t="shared" si="7"/>
        <v>502.53804110065431</v>
      </c>
      <c r="BH24" s="59">
        <f t="shared" si="8"/>
        <v>729.64742412099827</v>
      </c>
      <c r="BI24" s="59">
        <f ca="1">AVERAGE(OFFSET($BH$3,0,0,'Données projet'!$E$11+1,1))-AVERAGE(OFFSET($H$3,0,0,'Données projet'!$E$11+1,1))</f>
        <v>284.78505691662588</v>
      </c>
      <c r="BJ24" s="59">
        <f t="shared" si="38"/>
        <v>664.42623058686308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19.5</v>
      </c>
      <c r="BY24" s="12">
        <f>IF('Données projet'!$A$114&gt;35,BY23+BX24-CG23,IF(A24&lt;'Données projet'!$A$114,$BV$205^A24,IF(A24='Données projet'!$A$114,'Données projet'!$B$114,BY23+BX24-CG23)))</f>
        <v>362.5</v>
      </c>
      <c r="BZ24" s="13">
        <f>BY24*VLOOKUP('Données projet'!$B$12,Paramètres!$A$1:$I$89,3,0)*VLOOKUP('Données projet'!$B$12,Paramètres!$A$1:$I$89,5,0)</f>
        <v>316.68000000000006</v>
      </c>
      <c r="CA24" s="13">
        <f t="shared" si="39"/>
        <v>74.662144360177763</v>
      </c>
      <c r="CB24" s="20">
        <f t="shared" si="10"/>
        <v>681.5875680939763</v>
      </c>
      <c r="CC24" s="59">
        <f t="shared" si="11"/>
        <v>908.69695111432031</v>
      </c>
      <c r="CD24" s="59">
        <f ca="1">AVERAGE(OFFSET($CC$3,0,0,'Données projet'!$E$12+1,1))-AVERAGE(OFFSET($H$3,0,0,'Données projet'!$E$12+1,1))</f>
        <v>380.64318988568527</v>
      </c>
      <c r="CE24" s="59">
        <f t="shared" si="40"/>
        <v>885.24651320439159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>
        <f>VLOOKUP(A24,'Données projet'!$A$139:$I$159,2,0)</f>
        <v>195.15</v>
      </c>
      <c r="CR24" s="12">
        <f>VLOOKUP(A24,'Données projet'!$A$139:$I$159,9,0)</f>
        <v>9.2928571428571427</v>
      </c>
      <c r="CS24" s="12">
        <f t="array" ref="CS24">INDEX(CR:CR,MIN(IF(ISNUMBER(CR24:CR220),ROW(CR24:CR220),"")))</f>
        <v>9.2928571428571427</v>
      </c>
      <c r="CT24" s="12">
        <f>IF('Données projet'!$A$140&gt;35,CT23+CS24-DB23,IF(A24&lt;'Données projet'!$A$140,$CQ$205^A24,IF(A24='Données projet'!$A$140,'Données projet'!$B$140,CT23+CS24-DB23)))</f>
        <v>195.15</v>
      </c>
      <c r="CU24" s="17">
        <f>CT24*VLOOKUP('Données projet'!$B$13,Paramètres!$A$1:$I$89,3,0)*VLOOKUP('Données projet'!$B$13,Paramètres!$A$1:$I$89,5,0)</f>
        <v>109.08885000000001</v>
      </c>
      <c r="CV24" s="13">
        <f t="shared" si="41"/>
        <v>29.116206715124498</v>
      </c>
      <c r="CW24" s="20">
        <f t="shared" si="13"/>
        <v>240.70714044550846</v>
      </c>
      <c r="CX24" s="59">
        <f t="shared" si="14"/>
        <v>467.81652346585247</v>
      </c>
      <c r="CY24" s="59">
        <f ca="1">AVERAGE(OFFSET($CX$3,0,0,'Données projet'!$E$13+1,1))-AVERAGE(OFFSET($H$3,0,0,'Données projet'!$E$13+1,1))</f>
        <v>404.10467005188889</v>
      </c>
      <c r="CZ24" s="59">
        <f t="shared" si="42"/>
        <v>372.70490129557845</v>
      </c>
      <c r="DA24" s="15">
        <f>IF(ISNA(VLOOKUP(A24,'Données projet'!$A$139:$I$159,3,0)),0,VLOOKUP(A24,'Données projet'!$A$139:$I$159,3,0))</f>
        <v>1</v>
      </c>
      <c r="DB24" s="15">
        <f>IF(ISNA(VLOOKUP(A24,'Données projet'!$A$139:$I$159,4,0)),0,VLOOKUP(A24,'Données projet'!$A$139:$I$159,4,0))</f>
        <v>64.58</v>
      </c>
      <c r="DC24" s="16">
        <f>IF(ISNA(VLOOKUP(A24,'Données projet'!$A$139:$I$159,5,0)),0%,VLOOKUP(A24,'Données projet'!$A$139:$I$159,5,0)*VLOOKUP('Données projet'!$B$13,Paramètres!$A$1:$I$89,7,0))</f>
        <v>5.5000000000000007E-2</v>
      </c>
      <c r="DD24" s="16">
        <f>IF(ISNA(VLOOKUP(A24,'Données projet'!$A$139:$I$159,6,0)),0%,VLOOKUP(A24,'Données projet'!$A$139:$I$159,6,0)*VLOOKUP('Données projet'!$B$13,Paramètres!$A$1:$I$89,7,0))</f>
        <v>0.44000000000000006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2.6339097777051177</v>
      </c>
      <c r="DG24" s="21">
        <f>EXP(-LN(2)/25)*DG23+(1-EXP(-LN(2)/25))/(LN(2)/25)*Calculateur!DB24*Calculateur!DD24*VLOOKUP('Données projet'!$B$13,Paramètres!$A$1:$I$89,3,0)*0.475*44/12</f>
        <v>20.988312570495893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23.62222234820101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3.1761666666666666</v>
      </c>
      <c r="DO24" s="12">
        <f>IF('Données projet'!$A$166&gt;35,DO23+DN24-DW23,IF(A24&lt;'Données projet'!$A$166,$DL$205^A24,IF(A24='Données projet'!$A$166,'Données projet'!$B$166,DO23+DN24-DW23)))</f>
        <v>66.6995</v>
      </c>
      <c r="DP24" s="17">
        <f>DO24*VLOOKUP('Données projet'!$B$14,Paramètres!$A$1:$I$89,3,0)*VLOOKUP('Données projet'!$B$14,Paramètres!$A$1:$I$89,5,0)</f>
        <v>60.349707600000002</v>
      </c>
      <c r="DQ24" s="13">
        <f t="shared" si="43"/>
        <v>17.25665613819076</v>
      </c>
      <c r="DR24" s="20">
        <f t="shared" si="16"/>
        <v>135.16441684401556</v>
      </c>
      <c r="DS24" s="59">
        <f t="shared" si="17"/>
        <v>362.2737998643596</v>
      </c>
      <c r="DT24" s="59">
        <f ca="1">AVERAGE(OFFSET($DS$3,0,0,'Données projet'!$E$14+1,1))-AVERAGE(OFFSET($H$3,0,0,'Données projet'!$E$14+1,1))</f>
        <v>479.53113328461268</v>
      </c>
      <c r="DU24" s="59">
        <f t="shared" si="44"/>
        <v>244.6360664588118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26.933333333333326</v>
      </c>
      <c r="EJ24" s="12">
        <f>IF('Données projet'!$A$192&gt;35,EJ23+EI24-ER23,IF(A24&lt;'Données projet'!$A$192,$EG$205^A24,IF(A24='Données projet'!$A$192,'Données projet'!$B$192,EJ23+EI24-ER23)))</f>
        <v>208.29000000000002</v>
      </c>
      <c r="EK24" s="17">
        <f>EJ24*VLOOKUP('Données projet'!$B$15,Paramètres!$A$1:$I$89,3,0)*VLOOKUP('Données projet'!$B$15,Paramètres!$A$1:$I$89,5,0)</f>
        <v>92.064180000000022</v>
      </c>
      <c r="EL24" s="13">
        <f t="shared" si="45"/>
        <v>25.062396586115501</v>
      </c>
      <c r="EM24" s="20">
        <f t="shared" si="19"/>
        <v>203.99545422081783</v>
      </c>
      <c r="EN24" s="59">
        <f t="shared" si="20"/>
        <v>431.10483724116182</v>
      </c>
      <c r="EO24" s="59">
        <f ca="1">AVERAGE(OFFSET($EN$3,0,0,'Données projet'!$E$15+1,1))-AVERAGE(OFFSET($H$3,0,0,'Données projet'!$E$15+1,1))</f>
        <v>339.23049610652492</v>
      </c>
      <c r="EP24" s="59">
        <f t="shared" si="46"/>
        <v>448.85057640789785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22.115362453938062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22.115362453938062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7.6601960784313725</v>
      </c>
      <c r="FE24" s="12">
        <f>IF('Données projet'!$A$218&gt;35,FE23+FD24-FM23,IF(A24&lt;'Données projet'!$A$218,$FB$205^A24,IF(A24='Données projet'!$A$218,'Données projet'!$B$218,FE23+FD24-FM23)))</f>
        <v>160.86411764705878</v>
      </c>
      <c r="FF24" s="17">
        <f>FE24*VLOOKUP('Données projet'!$B$16,Paramètres!$A$1:$I$89,3,0)*VLOOKUP('Données projet'!$B$16,Paramètres!$A$1:$I$89,5,0)</f>
        <v>75.284407058823504</v>
      </c>
      <c r="FG24" s="13">
        <f t="shared" si="47"/>
        <v>20.980152136101097</v>
      </c>
      <c r="FH24" s="20">
        <f t="shared" si="22"/>
        <v>167.66077393116035</v>
      </c>
      <c r="FI24" s="59">
        <f t="shared" si="23"/>
        <v>394.77015695150436</v>
      </c>
      <c r="FJ24" s="59">
        <f ca="1">AVERAGE(OFFSET($FI$3,0,0,'Données projet'!$E$16+1,1))-AVERAGE(OFFSET($H$3,0,0,'Données projet'!$E$16+1,1))</f>
        <v>365.63278362856033</v>
      </c>
      <c r="FK24" s="59">
        <f t="shared" si="48"/>
        <v>290.68267842697452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5.0742105263157899</v>
      </c>
      <c r="FZ24" s="12">
        <f>IF('Données projet'!$A$244&gt;35,FZ23+FY24-GH23,IF(A24&lt;'Données projet'!$A$244,$FW$205^A24,IF(A24='Données projet'!$A$244,'Données projet'!$B$244,FZ23+FY24-GH23)))</f>
        <v>106.55842105263162</v>
      </c>
      <c r="GA24" s="17">
        <f>FZ24*VLOOKUP('Données projet'!$B$17,Paramètres!$A$1:$I$89,3,0)*VLOOKUP('Données projet'!$B$17,Paramètres!$A$1:$I$89,5,0)</f>
        <v>91.427125263157947</v>
      </c>
      <c r="GB24" s="13">
        <f t="shared" si="49"/>
        <v>24.909097458582686</v>
      </c>
      <c r="GC24" s="20">
        <f t="shared" si="25"/>
        <v>202.6189212403649</v>
      </c>
      <c r="GD24" s="59">
        <f t="shared" si="26"/>
        <v>429.72830426070891</v>
      </c>
      <c r="GE24" s="59">
        <f ca="1">AVERAGE(OFFSET($GD$3,0,0,'Données projet'!$E$17+1,1))-AVERAGE(OFFSET($H$3,0,0,'Données projet'!$E$17+1,1))</f>
        <v>460.46300302025099</v>
      </c>
      <c r="GF24" s="59">
        <f t="shared" si="50"/>
        <v>340.22534554615879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54.938922641912008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24.2</v>
      </c>
      <c r="GU24" s="12">
        <f>IF('Données projet'!$A$270&gt;35,GU23+GT24-HC23,IF(A24&lt;'Données projet'!$A$270,$GR$205^A24,IF(A24='Données projet'!$A$270,'Données projet'!$B$270,GU23+GT24-HC23)))</f>
        <v>176.39999999999998</v>
      </c>
      <c r="GV24" s="17">
        <f>GU24*VLOOKUP('Données projet'!$B$18,Paramètres!$A$1:$I$89,3,0)*VLOOKUP('Données projet'!$B$18,Paramètres!$A$1:$I$89,5,0)</f>
        <v>105.48719999999999</v>
      </c>
      <c r="GW24" s="13">
        <f t="shared" si="51"/>
        <v>28.265155367923839</v>
      </c>
      <c r="GX24" s="20">
        <f t="shared" si="28"/>
        <v>232.95201893246733</v>
      </c>
      <c r="GY24" s="59">
        <f t="shared" si="29"/>
        <v>460.06140195281137</v>
      </c>
      <c r="GZ24" s="59">
        <f ca="1">AVERAGE(OFFSET($GY$3,0,0,'Données projet'!$E$18+1,1))-AVERAGE(OFFSET($H$3,0,0,'Données projet'!$E$18+1,1))</f>
        <v>-15.950000000000017</v>
      </c>
      <c r="HA24" s="59">
        <f t="shared" si="52"/>
        <v>-15.950000000000017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1.9210312422356266</v>
      </c>
      <c r="HH24" s="21">
        <f>EXP(-LN(2)/25)*HH23+(1-EXP(-LN(2)/25))/(LN(2)/25)*Calculateur!HC24*Calculateur!HE24*VLOOKUP('Données projet'!$B$18,Paramètres!$A$1:$I$89,3,0)*0.475*44/12</f>
        <v>30.243951852418537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32.164983094654161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4.3499999999999996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15.949999999999998</v>
      </c>
      <c r="H25" s="67">
        <f t="shared" si="1"/>
        <v>192.86666666666667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5.044827586206897</v>
      </c>
      <c r="N25" s="13">
        <f>IF('Données projet'!$A$36&gt;35,N24+M25-V24,IF(A25&lt;'Données projet'!$A$36,$K$205^A25,IF(A25='Données projet'!$A$36,'Données projet'!$B$36,N24+M25-V24)))</f>
        <v>43.91361034373093</v>
      </c>
      <c r="O25" s="13">
        <f>N25*VLOOKUP('Données projet'!$B$9,Paramètres!$A$1:$I$89,3,0)*VLOOKUP('Données projet'!$B$9,Paramètres!$A$1:$I$89,5,0)</f>
        <v>38.362929996283349</v>
      </c>
      <c r="P25" s="13">
        <f t="shared" si="33"/>
        <v>11.563691695382335</v>
      </c>
      <c r="Q25" s="20">
        <f t="shared" si="2"/>
        <v>86.955532779651051</v>
      </c>
      <c r="R25" s="59">
        <f t="shared" si="0"/>
        <v>316.24515009789076</v>
      </c>
      <c r="S25" s="59">
        <f ca="1">AVERAGE(OFFSET($R$3,0,0,'Données projet'!$E$9+1,1))-AVERAGE(OFFSET($H$3,0,0,'Données projet'!$E$9+1,1))</f>
        <v>433.46721010558042</v>
      </c>
      <c r="T25" s="59">
        <f t="shared" si="34"/>
        <v>306.18862295347509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24.2</v>
      </c>
      <c r="AI25" s="13">
        <f>IF('Données projet'!$A$62&gt;35,AI24+AH25-AQ24,IF(A25&lt;'Données projet'!$A$62,$AF$205^A25,IF(A25='Données projet'!$A$62,'Données projet'!$B$62,AI24+AH25-AQ24)))</f>
        <v>200.59999999999997</v>
      </c>
      <c r="AJ25" s="13">
        <f>AI25*VLOOKUP('Données projet'!$B$10,Paramètres!$A$1:$I$89,3,0)*VLOOKUP('Données projet'!$B$10,Paramètres!$A$1:$I$89,5,0)</f>
        <v>119.95879999999998</v>
      </c>
      <c r="AK25" s="13">
        <f t="shared" si="35"/>
        <v>31.665389878667824</v>
      </c>
      <c r="AL25" s="20">
        <f t="shared" si="4"/>
        <v>264.07879737201307</v>
      </c>
      <c r="AM25" s="59">
        <f t="shared" si="5"/>
        <v>493.36841469025279</v>
      </c>
      <c r="AN25" s="59">
        <f ca="1">AVERAGE(OFFSET($AM$3,0,0,'Données projet'!$E$10+1,1))-AVERAGE(OFFSET($H$3,0,0,'Données projet'!$E$10+1,1))</f>
        <v>400.1942260113168</v>
      </c>
      <c r="AO25" s="59">
        <f t="shared" si="36"/>
        <v>497.04866930593926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1.8833609912887466</v>
      </c>
      <c r="AV25" s="21">
        <f>EXP(-LN(2)/25)*AV24+(1-EXP(-LN(2)/25))/(LN(2)/25)*Calculateur!AQ25*Calculateur!AS25*VLOOKUP('Données projet'!$B$10,Paramètres!$A$1:$I$89,3,0)*0.475*44/12</f>
        <v>29.416929398553847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31.300290389842594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382</v>
      </c>
      <c r="BB25" s="12">
        <f>VLOOKUP(A25,'Données projet'!$A$87:$I$107,9,0)</f>
        <v>19.5</v>
      </c>
      <c r="BC25" s="12">
        <f t="array" ref="BC25">INDEX(BB:BB,MIN(IF(ISNUMBER(BB25:BB221),ROW(BB25:BB221),"")))</f>
        <v>19.5</v>
      </c>
      <c r="BD25" s="12">
        <f>IF('Données projet'!$A$88&gt;35,BD24+BC25-BL24,IF(A25&lt;'Données projet'!$A$88,$BA$205^A25,IF(A25='Données projet'!$A$88,'Données projet'!$B$88,BD24+BC25-BL24)))</f>
        <v>382</v>
      </c>
      <c r="BE25" s="13">
        <f>BD25*VLOOKUP('Données projet'!$B$11,Paramètres!$A$1:$I$89,3,0)*VLOOKUP('Données projet'!$B$11,Paramètres!$A$1:$I$89,5,0)</f>
        <v>244.3272</v>
      </c>
      <c r="BF25" s="13">
        <f t="shared" si="37"/>
        <v>59.369578174659196</v>
      </c>
      <c r="BG25" s="20">
        <f t="shared" si="7"/>
        <v>528.93855532086479</v>
      </c>
      <c r="BH25" s="59">
        <f t="shared" si="8"/>
        <v>758.22817263910451</v>
      </c>
      <c r="BI25" s="59">
        <f ca="1">AVERAGE(OFFSET($BH$3,0,0,'Données projet'!$E$11+1,1))-AVERAGE(OFFSET($H$3,0,0,'Données projet'!$E$11+1,1))</f>
        <v>284.78505691662588</v>
      </c>
      <c r="BJ25" s="59">
        <f t="shared" si="38"/>
        <v>664.42623058686308</v>
      </c>
      <c r="BK25" s="15">
        <f>IF(ISNA(VLOOKUP(A25,'Données projet'!$A$87:$I$107,3,0)),0,VLOOKUP(A25,'Données projet'!$A$87:$I$107,3,0))</f>
        <v>4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382</v>
      </c>
      <c r="BW25" s="12">
        <f>VLOOKUP(A25,'Données projet'!$A$113:$I$133,9,0)</f>
        <v>19.5</v>
      </c>
      <c r="BX25" s="12">
        <f t="array" ref="BX25">INDEX(BW:BW,MIN(IF(ISNUMBER(BW25:BW221),ROW(BW25:BW221),"")))</f>
        <v>19.5</v>
      </c>
      <c r="BY25" s="12">
        <f>IF('Données projet'!$A$114&gt;35,BY24+BX25-CG24,IF(A25&lt;'Données projet'!$A$114,$BV$205^A25,IF(A25='Données projet'!$A$114,'Données projet'!$B$114,BY24+BX25-CG24)))</f>
        <v>382</v>
      </c>
      <c r="BZ25" s="13">
        <f>BY25*VLOOKUP('Données projet'!$B$12,Paramètres!$A$1:$I$89,3,0)*VLOOKUP('Données projet'!$B$12,Paramètres!$A$1:$I$89,5,0)</f>
        <v>333.71520000000004</v>
      </c>
      <c r="CA25" s="13">
        <f t="shared" si="39"/>
        <v>78.200060329338427</v>
      </c>
      <c r="CB25" s="20">
        <f t="shared" si="10"/>
        <v>717.41907840693113</v>
      </c>
      <c r="CC25" s="59">
        <f t="shared" si="11"/>
        <v>946.70869572517086</v>
      </c>
      <c r="CD25" s="59">
        <f ca="1">AVERAGE(OFFSET($CC$3,0,0,'Données projet'!$E$12+1,1))-AVERAGE(OFFSET($H$3,0,0,'Données projet'!$E$12+1,1))</f>
        <v>380.64318988568527</v>
      </c>
      <c r="CE25" s="59">
        <f t="shared" si="40"/>
        <v>885.24651320439159</v>
      </c>
      <c r="CF25" s="15">
        <f>IF(ISNA(VLOOKUP(A25,'Données projet'!$A$113:$I$133,3,0)),0,VLOOKUP(A25,'Données projet'!$A$113:$I$133,3,0))</f>
        <v>4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0.39750000000000002</v>
      </c>
      <c r="CI25" s="16">
        <f>IF(ISNA(VLOOKUP(A25,'Données projet'!$A$113:$I$133,6,0)),0%,VLOOKUP(A25,'Données projet'!$A$113:$I$133,6,0)*VLOOKUP('Données projet'!$B$12,Paramètres!$A$1:$I$89,7,0))</f>
        <v>0.10600000000000001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21.612857142857145</v>
      </c>
      <c r="CT25" s="12">
        <f>IF('Données projet'!$A$140&gt;35,CT24+CS25-DB24,IF(A25&lt;'Données projet'!$A$140,$CQ$205^A25,IF(A25='Données projet'!$A$140,'Données projet'!$B$140,CT24+CS25-DB24)))</f>
        <v>152.18285714285713</v>
      </c>
      <c r="CU25" s="17">
        <f>CT25*VLOOKUP('Données projet'!$B$13,Paramètres!$A$1:$I$89,3,0)*VLOOKUP('Données projet'!$B$13,Paramètres!$A$1:$I$89,5,0)</f>
        <v>85.070217142857146</v>
      </c>
      <c r="CV25" s="13">
        <f t="shared" si="41"/>
        <v>23.372410230575955</v>
      </c>
      <c r="CW25" s="20">
        <f t="shared" si="13"/>
        <v>188.87090934206265</v>
      </c>
      <c r="CX25" s="59">
        <f t="shared" si="14"/>
        <v>418.16052666030237</v>
      </c>
      <c r="CY25" s="59">
        <f ca="1">AVERAGE(OFFSET($CX$3,0,0,'Données projet'!$E$13+1,1))-AVERAGE(OFFSET($H$3,0,0,'Données projet'!$E$13+1,1))</f>
        <v>404.10467005188889</v>
      </c>
      <c r="CZ25" s="59">
        <f t="shared" si="42"/>
        <v>372.70490129557845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2.5822604134906535</v>
      </c>
      <c r="DG25" s="21">
        <f>EXP(-LN(2)/25)*DG24+(1-EXP(-LN(2)/25))/(LN(2)/25)*Calculateur!DB25*Calculateur!DD25*VLOOKUP('Données projet'!$B$13,Paramètres!$A$1:$I$89,3,0)*0.475*44/12</f>
        <v>20.414386059528294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22.996646473018949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3.1761666666666666</v>
      </c>
      <c r="DO25" s="12">
        <f>IF('Données projet'!$A$166&gt;35,DO24+DN25-DW24,IF(A25&lt;'Données projet'!$A$166,$DL$205^A25,IF(A25='Données projet'!$A$166,'Données projet'!$B$166,DO24+DN25-DW24)))</f>
        <v>69.87566666666666</v>
      </c>
      <c r="DP25" s="17">
        <f>DO25*VLOOKUP('Données projet'!$B$14,Paramètres!$A$1:$I$89,3,0)*VLOOKUP('Données projet'!$B$14,Paramètres!$A$1:$I$89,5,0)</f>
        <v>63.223503199999989</v>
      </c>
      <c r="DQ25" s="13">
        <f t="shared" si="43"/>
        <v>17.980772957151121</v>
      </c>
      <c r="DR25" s="20">
        <f t="shared" si="16"/>
        <v>141.43078097370486</v>
      </c>
      <c r="DS25" s="59">
        <f t="shared" si="17"/>
        <v>370.72039829194455</v>
      </c>
      <c r="DT25" s="59">
        <f ca="1">AVERAGE(OFFSET($DS$3,0,0,'Données projet'!$E$14+1,1))-AVERAGE(OFFSET($H$3,0,0,'Données projet'!$E$14+1,1))</f>
        <v>479.53113328461268</v>
      </c>
      <c r="DU25" s="59">
        <f t="shared" si="44"/>
        <v>244.6360664588118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26.933333333333326</v>
      </c>
      <c r="EJ25" s="12">
        <f>IF('Données projet'!$A$192&gt;35,EJ24+EI25-ER24,IF(A25&lt;'Données projet'!$A$192,$EG$205^A25,IF(A25='Données projet'!$A$192,'Données projet'!$B$192,EJ24+EI25-ER24)))</f>
        <v>235.22333333333336</v>
      </c>
      <c r="EK25" s="17">
        <f>EJ25*VLOOKUP('Données projet'!$B$15,Paramètres!$A$1:$I$89,3,0)*VLOOKUP('Données projet'!$B$15,Paramètres!$A$1:$I$89,5,0)</f>
        <v>103.96871333333335</v>
      </c>
      <c r="EL25" s="13">
        <f t="shared" si="45"/>
        <v>27.905336478184612</v>
      </c>
      <c r="EM25" s="20">
        <f t="shared" si="19"/>
        <v>229.68063675506048</v>
      </c>
      <c r="EN25" s="59">
        <f t="shared" si="20"/>
        <v>458.97025407330023</v>
      </c>
      <c r="EO25" s="59">
        <f ca="1">AVERAGE(OFFSET($EN$3,0,0,'Données projet'!$E$15+1,1))-AVERAGE(OFFSET($H$3,0,0,'Données projet'!$E$15+1,1))</f>
        <v>339.23049610652492</v>
      </c>
      <c r="EP25" s="59">
        <f t="shared" si="46"/>
        <v>448.85057640789785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21.51061670463876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21.51061670463876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7.6601960784313725</v>
      </c>
      <c r="FE25" s="12">
        <f>IF('Données projet'!$A$218&gt;35,FE24+FD25-FM24,IF(A25&lt;'Données projet'!$A$218,$FB$205^A25,IF(A25='Données projet'!$A$218,'Données projet'!$B$218,FE24+FD25-FM24)))</f>
        <v>168.52431372549015</v>
      </c>
      <c r="FF25" s="17">
        <f>FE25*VLOOKUP('Données projet'!$B$16,Paramètres!$A$1:$I$89,3,0)*VLOOKUP('Données projet'!$B$16,Paramètres!$A$1:$I$89,5,0)</f>
        <v>78.869378823529388</v>
      </c>
      <c r="FG25" s="13">
        <f t="shared" si="47"/>
        <v>21.860512786764833</v>
      </c>
      <c r="FH25" s="20">
        <f t="shared" si="22"/>
        <v>175.43789455459577</v>
      </c>
      <c r="FI25" s="59">
        <f t="shared" si="23"/>
        <v>404.72751187283552</v>
      </c>
      <c r="FJ25" s="59">
        <f ca="1">AVERAGE(OFFSET($FI$3,0,0,'Données projet'!$E$16+1,1))-AVERAGE(OFFSET($H$3,0,0,'Données projet'!$E$16+1,1))</f>
        <v>365.63278362856033</v>
      </c>
      <c r="FK25" s="59">
        <f t="shared" si="48"/>
        <v>290.68267842697452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5.0742105263157899</v>
      </c>
      <c r="FZ25" s="12">
        <f>IF('Données projet'!$A$244&gt;35,FZ24+FY25-GH24,IF(A25&lt;'Données projet'!$A$244,$FW$205^A25,IF(A25='Données projet'!$A$244,'Données projet'!$B$244,FZ24+FY25-GH24)))</f>
        <v>111.63263157894741</v>
      </c>
      <c r="GA25" s="17">
        <f>FZ25*VLOOKUP('Données projet'!$B$17,Paramètres!$A$1:$I$89,3,0)*VLOOKUP('Données projet'!$B$17,Paramètres!$A$1:$I$89,5,0)</f>
        <v>95.780797894736892</v>
      </c>
      <c r="GB25" s="13">
        <f t="shared" si="49"/>
        <v>25.954322922336626</v>
      </c>
      <c r="GC25" s="20">
        <f t="shared" si="25"/>
        <v>212.02200208973636</v>
      </c>
      <c r="GD25" s="59">
        <f t="shared" si="26"/>
        <v>441.31161940797608</v>
      </c>
      <c r="GE25" s="59">
        <f ca="1">AVERAGE(OFFSET($GD$3,0,0,'Données projet'!$E$17+1,1))-AVERAGE(OFFSET($H$3,0,0,'Données projet'!$E$17+1,1))</f>
        <v>460.46300302025099</v>
      </c>
      <c r="GF25" s="59">
        <f t="shared" si="50"/>
        <v>340.22534554615879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55.200198662550221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24.2</v>
      </c>
      <c r="GU25" s="12">
        <f>IF('Données projet'!$A$270&gt;35,GU24+GT25-HC24,IF(A25&lt;'Données projet'!$A$270,$GR$205^A25,IF(A25='Données projet'!$A$270,'Données projet'!$B$270,GU24+GT25-HC24)))</f>
        <v>200.59999999999997</v>
      </c>
      <c r="GV25" s="17">
        <f>GU25*VLOOKUP('Données projet'!$B$18,Paramètres!$A$1:$I$89,3,0)*VLOOKUP('Données projet'!$B$18,Paramètres!$A$1:$I$89,5,0)</f>
        <v>119.95879999999998</v>
      </c>
      <c r="GW25" s="13">
        <f t="shared" si="51"/>
        <v>31.665389878667824</v>
      </c>
      <c r="GX25" s="20">
        <f t="shared" si="28"/>
        <v>264.07879737201307</v>
      </c>
      <c r="GY25" s="59">
        <f t="shared" si="29"/>
        <v>493.36841469025279</v>
      </c>
      <c r="GZ25" s="59">
        <f ca="1">AVERAGE(OFFSET($GY$3,0,0,'Données projet'!$E$18+1,1))-AVERAGE(OFFSET($H$3,0,0,'Données projet'!$E$18+1,1))</f>
        <v>-15.950000000000017</v>
      </c>
      <c r="HA25" s="59">
        <f t="shared" si="52"/>
        <v>-15.950000000000017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1.8833609912887466</v>
      </c>
      <c r="HH25" s="21">
        <f>EXP(-LN(2)/25)*HH24+(1-EXP(-LN(2)/25))/(LN(2)/25)*Calculateur!HC25*Calculateur!HE25*VLOOKUP('Données projet'!$B$18,Paramètres!$A$1:$I$89,3,0)*0.475*44/12</f>
        <v>29.416929398553847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31.300290389842594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4.3499999999999996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15.949999999999998</v>
      </c>
      <c r="H26" s="67">
        <f t="shared" si="1"/>
        <v>192.86666666666667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5.044827586206897</v>
      </c>
      <c r="N26" s="13">
        <f>IF('Données projet'!$A$36&gt;35,N25+M26-V25,IF(A26&lt;'Données projet'!$A$36,$K$205^A26,IF(A26='Données projet'!$A$36,'Données projet'!$B$36,N25+M26-V25)))</f>
        <v>52.151012120195169</v>
      </c>
      <c r="O26" s="13">
        <f>N26*VLOOKUP('Données projet'!$B$9,Paramètres!$A$1:$I$89,3,0)*VLOOKUP('Données projet'!$B$9,Paramètres!$A$1:$I$89,5,0)</f>
        <v>45.559124188202503</v>
      </c>
      <c r="P26" s="13">
        <f t="shared" si="33"/>
        <v>13.460750017406944</v>
      </c>
      <c r="Q26" s="20">
        <f t="shared" si="2"/>
        <v>102.79294757476977</v>
      </c>
      <c r="R26" s="59">
        <f t="shared" si="0"/>
        <v>334.24617982318637</v>
      </c>
      <c r="S26" s="59">
        <f ca="1">AVERAGE(OFFSET($R$3,0,0,'Données projet'!$E$9+1,1))-AVERAGE(OFFSET($H$3,0,0,'Données projet'!$E$9+1,1))</f>
        <v>433.46721010558042</v>
      </c>
      <c r="T26" s="59">
        <f t="shared" si="34"/>
        <v>306.18862295347509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24.2</v>
      </c>
      <c r="AI26" s="13">
        <f>IF('Données projet'!$A$62&gt;35,AI25+AH26-AQ25,IF(A26&lt;'Données projet'!$A$62,$AF$205^A26,IF(A26='Données projet'!$A$62,'Données projet'!$B$62,AI25+AH26-AQ25)))</f>
        <v>224.79999999999995</v>
      </c>
      <c r="AJ26" s="13">
        <f>AI26*VLOOKUP('Données projet'!$B$10,Paramètres!$A$1:$I$89,3,0)*VLOOKUP('Données projet'!$B$10,Paramètres!$A$1:$I$89,5,0)</f>
        <v>134.43039999999999</v>
      </c>
      <c r="AK26" s="13">
        <f t="shared" si="35"/>
        <v>35.018089455699787</v>
      </c>
      <c r="AL26" s="20">
        <f t="shared" si="4"/>
        <v>295.12278580201041</v>
      </c>
      <c r="AM26" s="59">
        <f t="shared" si="5"/>
        <v>526.57601805042702</v>
      </c>
      <c r="AN26" s="59">
        <f ca="1">AVERAGE(OFFSET($AM$3,0,0,'Données projet'!$E$10+1,1))-AVERAGE(OFFSET($H$3,0,0,'Données projet'!$E$10+1,1))</f>
        <v>400.1942260113168</v>
      </c>
      <c r="AO26" s="59">
        <f t="shared" si="36"/>
        <v>497.04866930593926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1.8464294309863507</v>
      </c>
      <c r="AV26" s="21">
        <f>EXP(-LN(2)/25)*AV25+(1-EXP(-LN(2)/25))/(LN(2)/25)*Calculateur!AQ26*Calculateur!AS26*VLOOKUP('Données projet'!$B$10,Paramètres!$A$1:$I$89,3,0)*0.475*44/12</f>
        <v>28.612521917181308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30.458951348167659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19.5</v>
      </c>
      <c r="BD26" s="12">
        <f>IF('Données projet'!$A$88&gt;35,BD25+BC26-BL25,IF(A26&lt;'Données projet'!$A$88,$BA$205^A26,IF(A26='Données projet'!$A$88,'Données projet'!$B$88,BD25+BC26-BL25)))</f>
        <v>401.5</v>
      </c>
      <c r="BE26" s="13">
        <f>BD26*VLOOKUP('Données projet'!$B$11,Paramètres!$A$1:$I$89,3,0)*VLOOKUP('Données projet'!$B$11,Paramètres!$A$1:$I$89,5,0)</f>
        <v>256.79939999999999</v>
      </c>
      <c r="BF26" s="13">
        <f t="shared" si="37"/>
        <v>62.039648337165382</v>
      </c>
      <c r="BG26" s="20">
        <f t="shared" si="7"/>
        <v>555.31134252056302</v>
      </c>
      <c r="BH26" s="59">
        <f t="shared" si="8"/>
        <v>786.76457476897963</v>
      </c>
      <c r="BI26" s="59">
        <f ca="1">AVERAGE(OFFSET($BH$3,0,0,'Données projet'!$E$11+1,1))-AVERAGE(OFFSET($H$3,0,0,'Données projet'!$E$11+1,1))</f>
        <v>284.78505691662588</v>
      </c>
      <c r="BJ26" s="59">
        <f t="shared" si="38"/>
        <v>664.42623058686308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19.5</v>
      </c>
      <c r="BY26" s="12">
        <f>IF('Données projet'!$A$114&gt;35,BY25+BX26-CG25,IF(A26&lt;'Données projet'!$A$114,$BV$205^A26,IF(A26='Données projet'!$A$114,'Données projet'!$B$114,BY25+BX26-CG25)))</f>
        <v>401.5</v>
      </c>
      <c r="BZ26" s="13">
        <f>BY26*VLOOKUP('Données projet'!$B$12,Paramètres!$A$1:$I$89,3,0)*VLOOKUP('Données projet'!$B$12,Paramètres!$A$1:$I$89,5,0)</f>
        <v>350.75040000000007</v>
      </c>
      <c r="CA26" s="13">
        <f t="shared" si="39"/>
        <v>81.717007126185919</v>
      </c>
      <c r="CB26" s="20">
        <f t="shared" si="10"/>
        <v>753.21406741144062</v>
      </c>
      <c r="CC26" s="59">
        <f t="shared" si="11"/>
        <v>984.66729965985724</v>
      </c>
      <c r="CD26" s="59">
        <f ca="1">AVERAGE(OFFSET($CC$3,0,0,'Données projet'!$E$12+1,1))-AVERAGE(OFFSET($H$3,0,0,'Données projet'!$E$12+1,1))</f>
        <v>380.64318988568527</v>
      </c>
      <c r="CE26" s="59">
        <f t="shared" si="40"/>
        <v>885.24651320439159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21.612857142857145</v>
      </c>
      <c r="CT26" s="12">
        <f>IF('Données projet'!$A$140&gt;35,CT25+CS26-DB25,IF(A26&lt;'Données projet'!$A$140,$CQ$205^A26,IF(A26='Données projet'!$A$140,'Données projet'!$B$140,CT25+CS26-DB25)))</f>
        <v>173.79571428571427</v>
      </c>
      <c r="CU26" s="17">
        <f>CT26*VLOOKUP('Données projet'!$B$13,Paramètres!$A$1:$I$89,3,0)*VLOOKUP('Données projet'!$B$13,Paramètres!$A$1:$I$89,5,0)</f>
        <v>97.151804285714277</v>
      </c>
      <c r="CV26" s="13">
        <f t="shared" si="41"/>
        <v>26.282317303127122</v>
      </c>
      <c r="CW26" s="20">
        <f t="shared" si="13"/>
        <v>214.98109510056543</v>
      </c>
      <c r="CX26" s="59">
        <f t="shared" si="14"/>
        <v>446.43432734898204</v>
      </c>
      <c r="CY26" s="59">
        <f ca="1">AVERAGE(OFFSET($CX$3,0,0,'Données projet'!$E$13+1,1))-AVERAGE(OFFSET($H$3,0,0,'Données projet'!$E$13+1,1))</f>
        <v>404.10467005188889</v>
      </c>
      <c r="CZ26" s="59">
        <f t="shared" si="42"/>
        <v>372.70490129557845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2.5316238618054334</v>
      </c>
      <c r="DG26" s="21">
        <f>EXP(-LN(2)/25)*DG25+(1-EXP(-LN(2)/25))/(LN(2)/25)*Calculateur!DB26*Calculateur!DD26*VLOOKUP('Données projet'!$B$13,Paramètres!$A$1:$I$89,3,0)*0.475*44/12</f>
        <v>19.856153599184587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22.387777460990019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3.1761666666666666</v>
      </c>
      <c r="DO26" s="12">
        <f>IF('Données projet'!$A$166&gt;35,DO25+DN26-DW25,IF(A26&lt;'Données projet'!$A$166,$DL$205^A26,IF(A26='Données projet'!$A$166,'Données projet'!$B$166,DO25+DN26-DW25)))</f>
        <v>73.05183333333332</v>
      </c>
      <c r="DP26" s="17">
        <f>DO26*VLOOKUP('Données projet'!$B$14,Paramètres!$A$1:$I$89,3,0)*VLOOKUP('Données projet'!$B$14,Paramètres!$A$1:$I$89,5,0)</f>
        <v>66.097298799999976</v>
      </c>
      <c r="DQ26" s="13">
        <f t="shared" si="43"/>
        <v>18.701067267447296</v>
      </c>
      <c r="DR26" s="20">
        <f t="shared" si="16"/>
        <v>147.69048756747068</v>
      </c>
      <c r="DS26" s="59">
        <f t="shared" si="17"/>
        <v>379.14371981588727</v>
      </c>
      <c r="DT26" s="59">
        <f ca="1">AVERAGE(OFFSET($DS$3,0,0,'Données projet'!$E$14+1,1))-AVERAGE(OFFSET($H$3,0,0,'Données projet'!$E$14+1,1))</f>
        <v>479.53113328461268</v>
      </c>
      <c r="DU26" s="59">
        <f t="shared" si="44"/>
        <v>244.6360664588118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26.933333333333326</v>
      </c>
      <c r="EJ26" s="12">
        <f>IF('Données projet'!$A$192&gt;35,EJ25+EI26-ER25,IF(A26&lt;'Données projet'!$A$192,$EG$205^A26,IF(A26='Données projet'!$A$192,'Données projet'!$B$192,EJ25+EI26-ER25)))</f>
        <v>262.15666666666669</v>
      </c>
      <c r="EK26" s="17">
        <f>EJ26*VLOOKUP('Données projet'!$B$15,Paramètres!$A$1:$I$89,3,0)*VLOOKUP('Données projet'!$B$15,Paramètres!$A$1:$I$89,5,0)</f>
        <v>115.87324666666669</v>
      </c>
      <c r="EL26" s="13">
        <f t="shared" si="45"/>
        <v>30.710550321414171</v>
      </c>
      <c r="EM26" s="20">
        <f t="shared" si="19"/>
        <v>255.30011308757412</v>
      </c>
      <c r="EN26" s="59">
        <f t="shared" si="20"/>
        <v>486.75334533599073</v>
      </c>
      <c r="EO26" s="59">
        <f ca="1">AVERAGE(OFFSET($EN$3,0,0,'Données projet'!$E$15+1,1))-AVERAGE(OFFSET($H$3,0,0,'Données projet'!$E$15+1,1))</f>
        <v>339.23049610652492</v>
      </c>
      <c r="EP26" s="59">
        <f t="shared" si="46"/>
        <v>448.85057640789785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20.922407759656245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20.922407759656245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7.6601960784313725</v>
      </c>
      <c r="FE26" s="12">
        <f>IF('Données projet'!$A$218&gt;35,FE25+FD26-FM25,IF(A26&lt;'Données projet'!$A$218,$FB$205^A26,IF(A26='Données projet'!$A$218,'Données projet'!$B$218,FE25+FD26-FM25)))</f>
        <v>176.18450980392151</v>
      </c>
      <c r="FF26" s="17">
        <f>FE26*VLOOKUP('Données projet'!$B$16,Paramètres!$A$1:$I$89,3,0)*VLOOKUP('Données projet'!$B$16,Paramètres!$A$1:$I$89,5,0)</f>
        <v>82.454350588235272</v>
      </c>
      <c r="FG26" s="13">
        <f t="shared" si="47"/>
        <v>22.736226140022069</v>
      </c>
      <c r="FH26" s="20">
        <f t="shared" si="22"/>
        <v>183.20692113504819</v>
      </c>
      <c r="FI26" s="59">
        <f t="shared" si="23"/>
        <v>414.66015338346477</v>
      </c>
      <c r="FJ26" s="59">
        <f ca="1">AVERAGE(OFFSET($FI$3,0,0,'Données projet'!$E$16+1,1))-AVERAGE(OFFSET($H$3,0,0,'Données projet'!$E$16+1,1))</f>
        <v>365.63278362856033</v>
      </c>
      <c r="FK26" s="59">
        <f t="shared" si="48"/>
        <v>290.68267842697452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5.0742105263157899</v>
      </c>
      <c r="FZ26" s="12">
        <f>IF('Données projet'!$A$244&gt;35,FZ25+FY26-GH25,IF(A26&lt;'Données projet'!$A$244,$FW$205^A26,IF(A26='Données projet'!$A$244,'Données projet'!$B$244,FZ25+FY26-GH25)))</f>
        <v>116.70684210526321</v>
      </c>
      <c r="GA26" s="17">
        <f>FZ26*VLOOKUP('Données projet'!$B$17,Paramètres!$A$1:$I$89,3,0)*VLOOKUP('Données projet'!$B$17,Paramètres!$A$1:$I$89,5,0)</f>
        <v>100.13447052631584</v>
      </c>
      <c r="GB26" s="13">
        <f t="shared" si="49"/>
        <v>26.994030791019412</v>
      </c>
      <c r="GC26" s="20">
        <f t="shared" si="25"/>
        <v>221.4154731276922</v>
      </c>
      <c r="GD26" s="59">
        <f t="shared" si="26"/>
        <v>452.86870537610878</v>
      </c>
      <c r="GE26" s="59">
        <f ca="1">AVERAGE(OFFSET($GD$3,0,0,'Données projet'!$E$17+1,1))-AVERAGE(OFFSET($H$3,0,0,'Données projet'!$E$17+1,1))</f>
        <v>460.46300302025099</v>
      </c>
      <c r="GF26" s="59">
        <f t="shared" si="50"/>
        <v>340.22534554615879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55.45694212835604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24.2</v>
      </c>
      <c r="GU26" s="12">
        <f>IF('Données projet'!$A$270&gt;35,GU25+GT26-HC25,IF(A26&lt;'Données projet'!$A$270,$GR$205^A26,IF(A26='Données projet'!$A$270,'Données projet'!$B$270,GU25+GT26-HC25)))</f>
        <v>224.79999999999995</v>
      </c>
      <c r="GV26" s="17">
        <f>GU26*VLOOKUP('Données projet'!$B$18,Paramètres!$A$1:$I$89,3,0)*VLOOKUP('Données projet'!$B$18,Paramètres!$A$1:$I$89,5,0)</f>
        <v>134.43039999999999</v>
      </c>
      <c r="GW26" s="13">
        <f t="shared" si="51"/>
        <v>35.018089455699787</v>
      </c>
      <c r="GX26" s="20">
        <f t="shared" si="28"/>
        <v>295.12278580201041</v>
      </c>
      <c r="GY26" s="59">
        <f t="shared" si="29"/>
        <v>526.57601805042702</v>
      </c>
      <c r="GZ26" s="59">
        <f ca="1">AVERAGE(OFFSET($GY$3,0,0,'Données projet'!$E$18+1,1))-AVERAGE(OFFSET($H$3,0,0,'Données projet'!$E$18+1,1))</f>
        <v>-15.950000000000017</v>
      </c>
      <c r="HA26" s="59">
        <f t="shared" si="52"/>
        <v>-15.950000000000017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1.8464294309863507</v>
      </c>
      <c r="HH26" s="21">
        <f>EXP(-LN(2)/25)*HH25+(1-EXP(-LN(2)/25))/(LN(2)/25)*Calculateur!HC26*Calculateur!HE26*VLOOKUP('Données projet'!$B$18,Paramètres!$A$1:$I$89,3,0)*0.475*44/12</f>
        <v>28.612521917181308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30.458951348167659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4.3499999999999996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15.949999999999998</v>
      </c>
      <c r="H27" s="67">
        <f t="shared" si="1"/>
        <v>192.86666666666667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5.044827586206897</v>
      </c>
      <c r="N27" s="13">
        <f>IF('Données projet'!$A$36&gt;35,N26+M27-V26,IF(A27&lt;'Données projet'!$A$36,$K$205^A27,IF(A27='Données projet'!$A$36,'Données projet'!$B$36,N26+M27-V26)))</f>
        <v>61.933601994284871</v>
      </c>
      <c r="O27" s="13">
        <f>N27*VLOOKUP('Données projet'!$B$9,Paramètres!$A$1:$I$89,3,0)*VLOOKUP('Données projet'!$B$9,Paramètres!$A$1:$I$89,5,0)</f>
        <v>54.105194702207271</v>
      </c>
      <c r="P27" s="13">
        <f t="shared" si="33"/>
        <v>15.669026449699897</v>
      </c>
      <c r="Q27" s="20">
        <f t="shared" si="2"/>
        <v>121.52343517290497</v>
      </c>
      <c r="R27" s="59">
        <f t="shared" si="0"/>
        <v>355.12395129265423</v>
      </c>
      <c r="S27" s="59">
        <f ca="1">AVERAGE(OFFSET($R$3,0,0,'Données projet'!$E$9+1,1))-AVERAGE(OFFSET($H$3,0,0,'Données projet'!$E$9+1,1))</f>
        <v>433.46721010558042</v>
      </c>
      <c r="T27" s="59">
        <f t="shared" si="34"/>
        <v>306.18862295347509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24.2</v>
      </c>
      <c r="AI27" s="13">
        <f>IF('Données projet'!$A$62&gt;35,AI26+AH27-AQ26,IF(A27&lt;'Données projet'!$A$62,$AF$205^A27,IF(A27='Données projet'!$A$62,'Données projet'!$B$62,AI26+AH27-AQ26)))</f>
        <v>248.99999999999994</v>
      </c>
      <c r="AJ27" s="13">
        <f>AI27*VLOOKUP('Données projet'!$B$10,Paramètres!$A$1:$I$89,3,0)*VLOOKUP('Données projet'!$B$10,Paramètres!$A$1:$I$89,5,0)</f>
        <v>148.90199999999999</v>
      </c>
      <c r="AK27" s="13">
        <f t="shared" si="35"/>
        <v>38.328954586731257</v>
      </c>
      <c r="AL27" s="20">
        <f t="shared" si="4"/>
        <v>326.09391257189026</v>
      </c>
      <c r="AM27" s="59">
        <f t="shared" si="5"/>
        <v>559.69442869163947</v>
      </c>
      <c r="AN27" s="59">
        <f ca="1">AVERAGE(OFFSET($AM$3,0,0,'Données projet'!$E$10+1,1))-AVERAGE(OFFSET($H$3,0,0,'Données projet'!$E$10+1,1))</f>
        <v>400.1942260113168</v>
      </c>
      <c r="AO27" s="59">
        <f t="shared" si="36"/>
        <v>497.04866930593926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1.8102220760554573</v>
      </c>
      <c r="AV27" s="21">
        <f>EXP(-LN(2)/25)*AV26+(1-EXP(-LN(2)/25))/(LN(2)/25)*Calculateur!AQ27*Calculateur!AS27*VLOOKUP('Données projet'!$B$10,Paramètres!$A$1:$I$89,3,0)*0.475*44/12</f>
        <v>27.830111000688852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29.640333076744309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421</v>
      </c>
      <c r="BB27" s="12">
        <f>VLOOKUP(A27,'Données projet'!$A$87:$I$107,9,0)</f>
        <v>19.5</v>
      </c>
      <c r="BC27" s="12">
        <f t="array" ref="BC27">INDEX(BB:BB,MIN(IF(ISNUMBER(BB27:BB223),ROW(BB27:BB223),"")))</f>
        <v>19.5</v>
      </c>
      <c r="BD27" s="12">
        <f>IF('Données projet'!$A$88&gt;35,BD26+BC27-BL26,IF(A27&lt;'Données projet'!$A$88,$BA$205^A27,IF(A27='Données projet'!$A$88,'Données projet'!$B$88,BD26+BC27-BL26)))</f>
        <v>421</v>
      </c>
      <c r="BE27" s="13">
        <f>BD27*VLOOKUP('Données projet'!$B$11,Paramètres!$A$1:$I$89,3,0)*VLOOKUP('Données projet'!$B$11,Paramètres!$A$1:$I$89,5,0)</f>
        <v>269.27159999999998</v>
      </c>
      <c r="BF27" s="13">
        <f t="shared" si="37"/>
        <v>64.694660128382026</v>
      </c>
      <c r="BG27" s="20">
        <f t="shared" si="7"/>
        <v>581.65790305693201</v>
      </c>
      <c r="BH27" s="59">
        <f t="shared" si="8"/>
        <v>815.25841917668129</v>
      </c>
      <c r="BI27" s="59">
        <f ca="1">AVERAGE(OFFSET($BH$3,0,0,'Données projet'!$E$11+1,1))-AVERAGE(OFFSET($H$3,0,0,'Données projet'!$E$11+1,1))</f>
        <v>284.78505691662588</v>
      </c>
      <c r="BJ27" s="59">
        <f t="shared" si="38"/>
        <v>664.42623058686308</v>
      </c>
      <c r="BK27" s="15">
        <f>IF(ISNA(VLOOKUP(A27,'Données projet'!$A$87:$I$107,3,0)),0,VLOOKUP(A27,'Données projet'!$A$87:$I$107,3,0))</f>
        <v>5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>
        <f>VLOOKUP(A27,'Données projet'!$A$113:$I$133,2,0)</f>
        <v>421</v>
      </c>
      <c r="BW27" s="12">
        <f>VLOOKUP(A27,'Données projet'!$A$113:$I$133,9,0)</f>
        <v>19.5</v>
      </c>
      <c r="BX27" s="12">
        <f t="array" ref="BX27">INDEX(BW:BW,MIN(IF(ISNUMBER(BW27:BW223),ROW(BW27:BW223),"")))</f>
        <v>19.5</v>
      </c>
      <c r="BY27" s="12">
        <f>IF('Données projet'!$A$114&gt;35,BY26+BX27-CG26,IF(A27&lt;'Données projet'!$A$114,$BV$205^A27,IF(A27='Données projet'!$A$114,'Données projet'!$B$114,BY26+BX27-CG26)))</f>
        <v>421</v>
      </c>
      <c r="BZ27" s="13">
        <f>BY27*VLOOKUP('Données projet'!$B$12,Paramètres!$A$1:$I$89,3,0)*VLOOKUP('Données projet'!$B$12,Paramètres!$A$1:$I$89,5,0)</f>
        <v>367.78560000000004</v>
      </c>
      <c r="CA27" s="13">
        <f t="shared" si="39"/>
        <v>85.214119429012868</v>
      </c>
      <c r="CB27" s="20">
        <f t="shared" si="10"/>
        <v>788.97451133886398</v>
      </c>
      <c r="CC27" s="59">
        <f t="shared" si="11"/>
        <v>1022.5750274586132</v>
      </c>
      <c r="CD27" s="59">
        <f ca="1">AVERAGE(OFFSET($CC$3,0,0,'Données projet'!$E$12+1,1))-AVERAGE(OFFSET($H$3,0,0,'Données projet'!$E$12+1,1))</f>
        <v>380.64318988568527</v>
      </c>
      <c r="CE27" s="59">
        <f t="shared" si="40"/>
        <v>885.24651320439159</v>
      </c>
      <c r="CF27" s="15">
        <f>IF(ISNA(VLOOKUP(A27,'Données projet'!$A$113:$I$133,3,0)),0,VLOOKUP(A27,'Données projet'!$A$113:$I$133,3,0))</f>
        <v>5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0.39750000000000002</v>
      </c>
      <c r="CI27" s="16">
        <f>IF(ISNA(VLOOKUP(A27,'Données projet'!$A$113:$I$133,6,0)),0%,VLOOKUP(A27,'Données projet'!$A$113:$I$133,6,0)*VLOOKUP('Données projet'!$B$12,Paramètres!$A$1:$I$89,7,0))</f>
        <v>0.10600000000000001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21.612857142857145</v>
      </c>
      <c r="CT27" s="12">
        <f>IF('Données projet'!$A$140&gt;35,CT26+CS27-DB26,IF(A27&lt;'Données projet'!$A$140,$CQ$205^A27,IF(A27='Données projet'!$A$140,'Données projet'!$B$140,CT26+CS27-DB26)))</f>
        <v>195.40857142857141</v>
      </c>
      <c r="CU27" s="17">
        <f>CT27*VLOOKUP('Données projet'!$B$13,Paramètres!$A$1:$I$89,3,0)*VLOOKUP('Données projet'!$B$13,Paramètres!$A$1:$I$89,5,0)</f>
        <v>109.23339142857141</v>
      </c>
      <c r="CV27" s="13">
        <f t="shared" si="41"/>
        <v>29.150292163037918</v>
      </c>
      <c r="CW27" s="20">
        <f t="shared" si="13"/>
        <v>241.01824892205289</v>
      </c>
      <c r="CX27" s="59">
        <f t="shared" si="14"/>
        <v>474.61876504180213</v>
      </c>
      <c r="CY27" s="59">
        <f ca="1">AVERAGE(OFFSET($CX$3,0,0,'Données projet'!$E$13+1,1))-AVERAGE(OFFSET($H$3,0,0,'Données projet'!$E$13+1,1))</f>
        <v>404.10467005188889</v>
      </c>
      <c r="CZ27" s="59">
        <f t="shared" si="42"/>
        <v>372.70490129557845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2.4819802620135136</v>
      </c>
      <c r="DG27" s="21">
        <f>EXP(-LN(2)/25)*DG26+(1-EXP(-LN(2)/25))/(LN(2)/25)*Calculateur!DB27*Calculateur!DD27*VLOOKUP('Données projet'!$B$13,Paramètres!$A$1:$I$89,3,0)*0.475*44/12</f>
        <v>19.313186034825147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21.795166296838662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3.1761666666666666</v>
      </c>
      <c r="DO27" s="12">
        <f>IF('Données projet'!$A$166&gt;35,DO26+DN27-DW26,IF(A27&lt;'Données projet'!$A$166,$DL$205^A27,IF(A27='Données projet'!$A$166,'Données projet'!$B$166,DO26+DN27-DW26)))</f>
        <v>76.22799999999998</v>
      </c>
      <c r="DP27" s="17">
        <f>DO27*VLOOKUP('Données projet'!$B$14,Paramètres!$A$1:$I$89,3,0)*VLOOKUP('Données projet'!$B$14,Paramètres!$A$1:$I$89,5,0)</f>
        <v>68.971094399999984</v>
      </c>
      <c r="DQ27" s="13">
        <f t="shared" si="43"/>
        <v>19.417724260725613</v>
      </c>
      <c r="DR27" s="20">
        <f t="shared" si="16"/>
        <v>153.94385916743042</v>
      </c>
      <c r="DS27" s="59">
        <f t="shared" si="17"/>
        <v>387.54437528717966</v>
      </c>
      <c r="DT27" s="59">
        <f ca="1">AVERAGE(OFFSET($DS$3,0,0,'Données projet'!$E$14+1,1))-AVERAGE(OFFSET($H$3,0,0,'Données projet'!$E$14+1,1))</f>
        <v>479.53113328461268</v>
      </c>
      <c r="DU27" s="59">
        <f t="shared" si="44"/>
        <v>244.6360664588118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>
        <f>VLOOKUP(A27,'Données projet'!$A$191:$I$211,2,0)</f>
        <v>289.08999999999997</v>
      </c>
      <c r="EH27" s="12">
        <f>VLOOKUP(A27,'Données projet'!$A$191:$I$211,9,0)</f>
        <v>26.933333333333326</v>
      </c>
      <c r="EI27" s="12">
        <f t="array" ref="EI27">INDEX(EH:EH,MIN(IF(ISNUMBER(EH27:EH223),ROW(EH27:EH223),"")))</f>
        <v>26.933333333333326</v>
      </c>
      <c r="EJ27" s="12">
        <f>IF('Données projet'!$A$192&gt;35,EJ26+EI27-ER26,IF(A27&lt;'Données projet'!$A$192,$EG$205^A27,IF(A27='Données projet'!$A$192,'Données projet'!$B$192,EJ26+EI27-ER26)))</f>
        <v>289.09000000000003</v>
      </c>
      <c r="EK27" s="17">
        <f>EJ27*VLOOKUP('Données projet'!$B$15,Paramètres!$A$1:$I$89,3,0)*VLOOKUP('Données projet'!$B$15,Paramètres!$A$1:$I$89,5,0)</f>
        <v>127.77778000000002</v>
      </c>
      <c r="EL27" s="13">
        <f t="shared" si="45"/>
        <v>33.482355400940818</v>
      </c>
      <c r="EM27" s="20">
        <f t="shared" si="19"/>
        <v>280.86140248997191</v>
      </c>
      <c r="EN27" s="59">
        <f t="shared" si="20"/>
        <v>514.46191860972112</v>
      </c>
      <c r="EO27" s="59">
        <f ca="1">AVERAGE(OFFSET($EN$3,0,0,'Données projet'!$E$15+1,1))-AVERAGE(OFFSET($H$3,0,0,'Données projet'!$E$15+1,1))</f>
        <v>339.23049610652492</v>
      </c>
      <c r="EP27" s="59">
        <f t="shared" si="46"/>
        <v>448.85057640789785</v>
      </c>
      <c r="EQ27" s="15">
        <f>IF(ISNA(VLOOKUP(A27,'Données projet'!$A$191:$I$211,3,0)),0,VLOOKUP(A27,'Données projet'!$A$191:$I$211,3,0))</f>
        <v>2</v>
      </c>
      <c r="ER27" s="15">
        <f>IF(ISNA(VLOOKUP(A27,'Données projet'!$A$191:$I$211,4,0)),0,VLOOKUP(A27,'Données projet'!$A$191:$I$211,4,0))</f>
        <v>51.39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0.55000000000000004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36.857679609764006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36.857679609764006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7.6601960784313725</v>
      </c>
      <c r="FE27" s="12">
        <f>IF('Données projet'!$A$218&gt;35,FE26+FD27-FM26,IF(A27&lt;'Données projet'!$A$218,$FB$205^A27,IF(A27='Données projet'!$A$218,'Données projet'!$B$218,FE26+FD27-FM26)))</f>
        <v>183.84470588235288</v>
      </c>
      <c r="FF27" s="17">
        <f>FE27*VLOOKUP('Données projet'!$B$16,Paramètres!$A$1:$I$89,3,0)*VLOOKUP('Données projet'!$B$16,Paramètres!$A$1:$I$89,5,0)</f>
        <v>86.039322352941156</v>
      </c>
      <c r="FG27" s="13">
        <f t="shared" si="47"/>
        <v>23.60751734661363</v>
      </c>
      <c r="FH27" s="20">
        <f t="shared" si="22"/>
        <v>190.96824581005788</v>
      </c>
      <c r="FI27" s="59">
        <f t="shared" si="23"/>
        <v>424.56876192980712</v>
      </c>
      <c r="FJ27" s="59">
        <f ca="1">AVERAGE(OFFSET($FI$3,0,0,'Données projet'!$E$16+1,1))-AVERAGE(OFFSET($H$3,0,0,'Données projet'!$E$16+1,1))</f>
        <v>365.63278362856033</v>
      </c>
      <c r="FK27" s="59">
        <f t="shared" si="48"/>
        <v>290.68267842697452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5.0742105263157899</v>
      </c>
      <c r="FZ27" s="12">
        <f>IF('Données projet'!$A$244&gt;35,FZ26+FY27-GH26,IF(A27&lt;'Données projet'!$A$244,$FW$205^A27,IF(A27='Données projet'!$A$244,'Données projet'!$B$244,FZ26+FY27-GH26)))</f>
        <v>121.781052631579</v>
      </c>
      <c r="GA27" s="17">
        <f>FZ27*VLOOKUP('Données projet'!$B$17,Paramètres!$A$1:$I$89,3,0)*VLOOKUP('Données projet'!$B$17,Paramètres!$A$1:$I$89,5,0)</f>
        <v>104.48814315789478</v>
      </c>
      <c r="GB27" s="13">
        <f t="shared" si="49"/>
        <v>28.028488379267817</v>
      </c>
      <c r="GC27" s="20">
        <f t="shared" si="25"/>
        <v>230.79979992722485</v>
      </c>
      <c r="GD27" s="59">
        <f t="shared" si="26"/>
        <v>464.40031604697413</v>
      </c>
      <c r="GE27" s="59">
        <f ca="1">AVERAGE(OFFSET($GD$3,0,0,'Données projet'!$E$17+1,1))-AVERAGE(OFFSET($H$3,0,0,'Données projet'!$E$17+1,1))</f>
        <v>460.46300302025099</v>
      </c>
      <c r="GF27" s="59">
        <f t="shared" si="50"/>
        <v>340.22534554615879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55.709231669022515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24.2</v>
      </c>
      <c r="GU27" s="12">
        <f>IF('Données projet'!$A$270&gt;35,GU26+GT27-HC26,IF(A27&lt;'Données projet'!$A$270,$GR$205^A27,IF(A27='Données projet'!$A$270,'Données projet'!$B$270,GU26+GT27-HC26)))</f>
        <v>248.99999999999994</v>
      </c>
      <c r="GV27" s="17">
        <f>GU27*VLOOKUP('Données projet'!$B$18,Paramètres!$A$1:$I$89,3,0)*VLOOKUP('Données projet'!$B$18,Paramètres!$A$1:$I$89,5,0)</f>
        <v>148.90199999999999</v>
      </c>
      <c r="GW27" s="13">
        <f t="shared" si="51"/>
        <v>38.328954586731257</v>
      </c>
      <c r="GX27" s="20">
        <f t="shared" si="28"/>
        <v>326.09391257189026</v>
      </c>
      <c r="GY27" s="59">
        <f t="shared" si="29"/>
        <v>559.69442869163947</v>
      </c>
      <c r="GZ27" s="59">
        <f ca="1">AVERAGE(OFFSET($GY$3,0,0,'Données projet'!$E$18+1,1))-AVERAGE(OFFSET($H$3,0,0,'Données projet'!$E$18+1,1))</f>
        <v>-15.950000000000017</v>
      </c>
      <c r="HA27" s="59">
        <f t="shared" si="52"/>
        <v>-15.950000000000017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1.8102220760554573</v>
      </c>
      <c r="HH27" s="21">
        <f>EXP(-LN(2)/25)*HH26+(1-EXP(-LN(2)/25))/(LN(2)/25)*Calculateur!HC27*Calculateur!HE27*VLOOKUP('Données projet'!$B$18,Paramètres!$A$1:$I$89,3,0)*0.475*44/12</f>
        <v>27.830111000688852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29.640333076744309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4.3499999999999996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15.949999999999998</v>
      </c>
      <c r="H28" s="67">
        <f t="shared" si="1"/>
        <v>192.86666666666667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5.044827586206897</v>
      </c>
      <c r="N28" s="13">
        <f>IF('Données projet'!$A$36&gt;35,N27+M28-V27,IF(A28&lt;'Données projet'!$A$36,$K$205^A28,IF(A28='Données projet'!$A$36,'Données projet'!$B$36,N27+M28-V27)))</f>
        <v>73.551229401760892</v>
      </c>
      <c r="O28" s="13">
        <f>N28*VLOOKUP('Données projet'!$B$9,Paramètres!$A$1:$I$89,3,0)*VLOOKUP('Données projet'!$B$9,Paramètres!$A$1:$I$89,5,0)</f>
        <v>64.254354005378318</v>
      </c>
      <c r="P28" s="13">
        <f t="shared" si="33"/>
        <v>18.239577257129046</v>
      </c>
      <c r="Q28" s="20">
        <f t="shared" si="2"/>
        <v>143.67693028220032</v>
      </c>
      <c r="R28" s="59">
        <f t="shared" si="0"/>
        <v>379.40868252179814</v>
      </c>
      <c r="S28" s="59">
        <f ca="1">AVERAGE(OFFSET($R$3,0,0,'Données projet'!$E$9+1,1))-AVERAGE(OFFSET($H$3,0,0,'Données projet'!$E$9+1,1))</f>
        <v>433.46721010558042</v>
      </c>
      <c r="T28" s="59">
        <f t="shared" si="34"/>
        <v>306.18862295347509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24.2</v>
      </c>
      <c r="AI28" s="13">
        <f>IF('Données projet'!$A$62&gt;35,AI27+AH28-AQ27,IF(A28&lt;'Données projet'!$A$62,$AF$205^A28,IF(A28='Données projet'!$A$62,'Données projet'!$B$62,AI27+AH28-AQ27)))</f>
        <v>273.19999999999993</v>
      </c>
      <c r="AJ28" s="13">
        <f>AI28*VLOOKUP('Données projet'!$B$10,Paramètres!$A$1:$I$89,3,0)*VLOOKUP('Données projet'!$B$10,Paramètres!$A$1:$I$89,5,0)</f>
        <v>163.37359999999995</v>
      </c>
      <c r="AK28" s="13">
        <f t="shared" si="35"/>
        <v>41.602513782891641</v>
      </c>
      <c r="AL28" s="20">
        <f t="shared" si="4"/>
        <v>357.00006483853622</v>
      </c>
      <c r="AM28" s="59">
        <f t="shared" si="5"/>
        <v>592.73181707813399</v>
      </c>
      <c r="AN28" s="59">
        <f ca="1">AVERAGE(OFFSET($AM$3,0,0,'Données projet'!$E$10+1,1))-AVERAGE(OFFSET($H$3,0,0,'Données projet'!$E$10+1,1))</f>
        <v>400.1942260113168</v>
      </c>
      <c r="AO28" s="59">
        <f t="shared" si="36"/>
        <v>497.04866930593926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1.7747247252704528</v>
      </c>
      <c r="AV28" s="21">
        <f>EXP(-LN(2)/25)*AV27+(1-EXP(-LN(2)/25))/(LN(2)/25)*Calculateur!AQ28*Calculateur!AS28*VLOOKUP('Données projet'!$B$10,Paramètres!$A$1:$I$89,3,0)*0.475*44/12</f>
        <v>27.069095151853084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28.843819877123536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</v>
      </c>
      <c r="BD28" s="12">
        <f>IF('Données projet'!$A$88&gt;35,BD27+BC28-BL27,IF(A28&lt;'Données projet'!$A$88,$BA$205^A28,IF(A28='Données projet'!$A$88,'Données projet'!$B$88,BD27+BC28-BL27)))</f>
        <v>435</v>
      </c>
      <c r="BE28" s="13">
        <f>BD28*VLOOKUP('Données projet'!$B$11,Paramètres!$A$1:$I$89,3,0)*VLOOKUP('Données projet'!$B$11,Paramètres!$A$1:$I$89,5,0)</f>
        <v>278.226</v>
      </c>
      <c r="BF28" s="13">
        <f t="shared" si="37"/>
        <v>66.591973118559736</v>
      </c>
      <c r="BG28" s="20">
        <f t="shared" si="7"/>
        <v>600.55796984815822</v>
      </c>
      <c r="BH28" s="59">
        <f t="shared" si="8"/>
        <v>836.28972208775599</v>
      </c>
      <c r="BI28" s="59">
        <f ca="1">AVERAGE(OFFSET($BH$3,0,0,'Données projet'!$E$11+1,1))-AVERAGE(OFFSET($H$3,0,0,'Données projet'!$E$11+1,1))</f>
        <v>284.78505691662588</v>
      </c>
      <c r="BJ28" s="59">
        <f t="shared" si="38"/>
        <v>664.42623058686308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14</v>
      </c>
      <c r="BY28" s="12">
        <f>IF('Données projet'!$A$114&gt;35,BY27+BX28-CG27,IF(A28&lt;'Données projet'!$A$114,$BV$205^A28,IF(A28='Données projet'!$A$114,'Données projet'!$B$114,BY27+BX28-CG27)))</f>
        <v>435</v>
      </c>
      <c r="BZ28" s="13">
        <f>BY28*VLOOKUP('Données projet'!$B$12,Paramètres!$A$1:$I$89,3,0)*VLOOKUP('Données projet'!$B$12,Paramètres!$A$1:$I$89,5,0)</f>
        <v>380.01600000000008</v>
      </c>
      <c r="CA28" s="13">
        <f t="shared" si="39"/>
        <v>87.71321062785961</v>
      </c>
      <c r="CB28" s="20">
        <f t="shared" si="10"/>
        <v>814.62837517685557</v>
      </c>
      <c r="CC28" s="59">
        <f t="shared" si="11"/>
        <v>1050.3601274164535</v>
      </c>
      <c r="CD28" s="59">
        <f ca="1">AVERAGE(OFFSET($CC$3,0,0,'Données projet'!$E$12+1,1))-AVERAGE(OFFSET($H$3,0,0,'Données projet'!$E$12+1,1))</f>
        <v>380.64318988568527</v>
      </c>
      <c r="CE28" s="59">
        <f t="shared" si="40"/>
        <v>885.24651320439159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21.612857142857145</v>
      </c>
      <c r="CT28" s="12">
        <f>IF('Données projet'!$A$140&gt;35,CT27+CS28-DB27,IF(A28&lt;'Données projet'!$A$140,$CQ$205^A28,IF(A28='Données projet'!$A$140,'Données projet'!$B$140,CT27+CS28-DB27)))</f>
        <v>217.02142857142854</v>
      </c>
      <c r="CU28" s="17">
        <f>CT28*VLOOKUP('Données projet'!$B$13,Paramètres!$A$1:$I$89,3,0)*VLOOKUP('Données projet'!$B$13,Paramètres!$A$1:$I$89,5,0)</f>
        <v>121.31497857142855</v>
      </c>
      <c r="CV28" s="13">
        <f t="shared" si="41"/>
        <v>31.981501643962311</v>
      </c>
      <c r="CW28" s="20">
        <f t="shared" si="13"/>
        <v>266.9913697084724</v>
      </c>
      <c r="CX28" s="59">
        <f t="shared" si="14"/>
        <v>502.72312194807023</v>
      </c>
      <c r="CY28" s="59">
        <f ca="1">AVERAGE(OFFSET($CX$3,0,0,'Données projet'!$E$13+1,1))-AVERAGE(OFFSET($H$3,0,0,'Données projet'!$E$13+1,1))</f>
        <v>404.10467005188889</v>
      </c>
      <c r="CZ28" s="59">
        <f t="shared" si="42"/>
        <v>372.70490129557845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2.4333101429339075</v>
      </c>
      <c r="DG28" s="21">
        <f>EXP(-LN(2)/25)*DG27+(1-EXP(-LN(2)/25))/(LN(2)/25)*Calculateur!DB28*Calculateur!DD28*VLOOKUP('Données projet'!$B$13,Paramètres!$A$1:$I$89,3,0)*0.475*44/12</f>
        <v>18.785065947066542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21.218376090000451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3.1761666666666666</v>
      </c>
      <c r="DO28" s="12">
        <f>IF('Données projet'!$A$166&gt;35,DO27+DN28-DW27,IF(A28&lt;'Données projet'!$A$166,$DL$205^A28,IF(A28='Données projet'!$A$166,'Données projet'!$B$166,DO27+DN28-DW27)))</f>
        <v>79.40416666666664</v>
      </c>
      <c r="DP28" s="17">
        <f>DO28*VLOOKUP('Données projet'!$B$14,Paramètres!$A$1:$I$89,3,0)*VLOOKUP('Données projet'!$B$14,Paramètres!$A$1:$I$89,5,0)</f>
        <v>71.844889999999978</v>
      </c>
      <c r="DQ28" s="13">
        <f t="shared" si="43"/>
        <v>20.130912822879374</v>
      </c>
      <c r="DR28" s="20">
        <f t="shared" si="16"/>
        <v>160.1911899165149</v>
      </c>
      <c r="DS28" s="59">
        <f t="shared" si="17"/>
        <v>395.9229421561127</v>
      </c>
      <c r="DT28" s="59">
        <f ca="1">AVERAGE(OFFSET($DS$3,0,0,'Données projet'!$E$14+1,1))-AVERAGE(OFFSET($H$3,0,0,'Données projet'!$E$14+1,1))</f>
        <v>479.53113328461268</v>
      </c>
      <c r="DU28" s="59">
        <f t="shared" si="44"/>
        <v>244.6360664588118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28.810000000000002</v>
      </c>
      <c r="EJ28" s="12">
        <f>IF('Données projet'!$A$192&gt;35,EJ27+EI28-ER27,IF(A28&lt;'Données projet'!$A$192,$EG$205^A28,IF(A28='Données projet'!$A$192,'Données projet'!$B$192,EJ27+EI28-ER27)))</f>
        <v>266.51000000000005</v>
      </c>
      <c r="EK28" s="17">
        <f>EJ28*VLOOKUP('Données projet'!$B$15,Paramètres!$A$1:$I$89,3,0)*VLOOKUP('Données projet'!$B$15,Paramètres!$A$1:$I$89,5,0)</f>
        <v>117.79742000000005</v>
      </c>
      <c r="EL28" s="13">
        <f t="shared" si="45"/>
        <v>31.160731117001546</v>
      </c>
      <c r="EM28" s="20">
        <f t="shared" si="19"/>
        <v>259.43544652877773</v>
      </c>
      <c r="EN28" s="59">
        <f t="shared" si="20"/>
        <v>495.16719876837556</v>
      </c>
      <c r="EO28" s="59">
        <f ca="1">AVERAGE(OFFSET($EN$3,0,0,'Données projet'!$E$15+1,1))-AVERAGE(OFFSET($H$3,0,0,'Données projet'!$E$15+1,1))</f>
        <v>339.23049610652492</v>
      </c>
      <c r="EP28" s="59">
        <f t="shared" si="46"/>
        <v>448.85057640789785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35.849804422573875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35.849804422573875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7.6601960784313725</v>
      </c>
      <c r="FE28" s="12">
        <f>IF('Données projet'!$A$218&gt;35,FE27+FD28-FM27,IF(A28&lt;'Données projet'!$A$218,$FB$205^A28,IF(A28='Données projet'!$A$218,'Données projet'!$B$218,FE27+FD28-FM27)))</f>
        <v>191.50490196078425</v>
      </c>
      <c r="FF28" s="17">
        <f>FE28*VLOOKUP('Données projet'!$B$16,Paramètres!$A$1:$I$89,3,0)*VLOOKUP('Données projet'!$B$16,Paramètres!$A$1:$I$89,5,0)</f>
        <v>89.62429411764704</v>
      </c>
      <c r="FG28" s="13">
        <f t="shared" si="47"/>
        <v>24.474591733209216</v>
      </c>
      <c r="FH28" s="20">
        <f t="shared" si="22"/>
        <v>198.72222619024129</v>
      </c>
      <c r="FI28" s="59">
        <f t="shared" si="23"/>
        <v>434.45397842983908</v>
      </c>
      <c r="FJ28" s="59">
        <f ca="1">AVERAGE(OFFSET($FI$3,0,0,'Données projet'!$E$16+1,1))-AVERAGE(OFFSET($H$3,0,0,'Données projet'!$E$16+1,1))</f>
        <v>365.63278362856033</v>
      </c>
      <c r="FK28" s="59">
        <f t="shared" si="48"/>
        <v>290.68267842697452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5.0742105263157899</v>
      </c>
      <c r="FZ28" s="12">
        <f>IF('Données projet'!$A$244&gt;35,FZ27+FY28-GH27,IF(A28&lt;'Données projet'!$A$244,$FW$205^A28,IF(A28='Données projet'!$A$244,'Données projet'!$B$244,FZ27+FY28-GH27)))</f>
        <v>126.8552631578948</v>
      </c>
      <c r="GA28" s="17">
        <f>FZ28*VLOOKUP('Données projet'!$B$17,Paramètres!$A$1:$I$89,3,0)*VLOOKUP('Données projet'!$B$17,Paramètres!$A$1:$I$89,5,0)</f>
        <v>108.84181578947376</v>
      </c>
      <c r="GB28" s="13">
        <f t="shared" si="49"/>
        <v>29.057939465200899</v>
      </c>
      <c r="GC28" s="20">
        <f t="shared" si="25"/>
        <v>240.17540706855834</v>
      </c>
      <c r="GD28" s="59">
        <f t="shared" si="26"/>
        <v>475.90715930815611</v>
      </c>
      <c r="GE28" s="59">
        <f ca="1">AVERAGE(OFFSET($GD$3,0,0,'Données projet'!$E$17+1,1))-AVERAGE(OFFSET($H$3,0,0,'Données projet'!$E$17+1,1))</f>
        <v>460.46300302025099</v>
      </c>
      <c r="GF28" s="59">
        <f t="shared" si="50"/>
        <v>340.22534554615879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55.957144550193348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24.2</v>
      </c>
      <c r="GU28" s="12">
        <f>IF('Données projet'!$A$270&gt;35,GU27+GT28-HC27,IF(A28&lt;'Données projet'!$A$270,$GR$205^A28,IF(A28='Données projet'!$A$270,'Données projet'!$B$270,GU27+GT28-HC27)))</f>
        <v>273.19999999999993</v>
      </c>
      <c r="GV28" s="17">
        <f>GU28*VLOOKUP('Données projet'!$B$18,Paramètres!$A$1:$I$89,3,0)*VLOOKUP('Données projet'!$B$18,Paramètres!$A$1:$I$89,5,0)</f>
        <v>163.37359999999995</v>
      </c>
      <c r="GW28" s="13">
        <f t="shared" si="51"/>
        <v>41.602513782891641</v>
      </c>
      <c r="GX28" s="20">
        <f t="shared" si="28"/>
        <v>357.00006483853622</v>
      </c>
      <c r="GY28" s="59">
        <f t="shared" si="29"/>
        <v>592.73181707813399</v>
      </c>
      <c r="GZ28" s="59">
        <f ca="1">AVERAGE(OFFSET($GY$3,0,0,'Données projet'!$E$18+1,1))-AVERAGE(OFFSET($H$3,0,0,'Données projet'!$E$18+1,1))</f>
        <v>-15.950000000000017</v>
      </c>
      <c r="HA28" s="59">
        <f t="shared" si="52"/>
        <v>-15.950000000000017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1.7747247252704528</v>
      </c>
      <c r="HH28" s="21">
        <f>EXP(-LN(2)/25)*HH27+(1-EXP(-LN(2)/25))/(LN(2)/25)*Calculateur!HC28*Calculateur!HE28*VLOOKUP('Données projet'!$B$18,Paramètres!$A$1:$I$89,3,0)*0.475*44/12</f>
        <v>27.069095151853084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28.843819877123536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4.3499999999999996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15.949999999999998</v>
      </c>
      <c r="H29" s="67">
        <f t="shared" si="1"/>
        <v>192.86666666666667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5.044827586206897</v>
      </c>
      <c r="N29" s="13">
        <f>IF('Données projet'!$A$36&gt;35,N28+M29-V28,IF(A29&lt;'Données projet'!$A$36,$K$205^A29,IF(A29='Données projet'!$A$36,'Données projet'!$B$36,N28+M29-V28)))</f>
        <v>87.348114308120827</v>
      </c>
      <c r="O29" s="13">
        <f>N29*VLOOKUP('Données projet'!$B$9,Paramètres!$A$1:$I$89,3,0)*VLOOKUP('Données projet'!$B$9,Paramètres!$A$1:$I$89,5,0)</f>
        <v>76.307312659574364</v>
      </c>
      <c r="P29" s="13">
        <f t="shared" si="33"/>
        <v>21.231834638019325</v>
      </c>
      <c r="Q29" s="20">
        <f t="shared" si="2"/>
        <v>169.88068154330901</v>
      </c>
      <c r="R29" s="59">
        <f t="shared" si="0"/>
        <v>407.7279005438823</v>
      </c>
      <c r="S29" s="59">
        <f ca="1">AVERAGE(OFFSET($R$3,0,0,'Données projet'!$E$9+1,1))-AVERAGE(OFFSET($H$3,0,0,'Données projet'!$E$9+1,1))</f>
        <v>433.46721010558042</v>
      </c>
      <c r="T29" s="59">
        <f t="shared" si="34"/>
        <v>306.18862295347509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>
        <f>VLOOKUP(A29,'Données projet'!$A$61:$I$81,2,0)</f>
        <v>297.39999999999998</v>
      </c>
      <c r="AG29" s="12">
        <f>VLOOKUP(A29,'Données projet'!$A$61:$I$81,9,0)</f>
        <v>24.2</v>
      </c>
      <c r="AH29" s="12">
        <f t="array" ref="AH29">INDEX(AG:AG,MIN(IF(ISNUMBER(AG29:AG225),ROW(AG29:AG225),"")))</f>
        <v>24.2</v>
      </c>
      <c r="AI29" s="13">
        <f>IF('Données projet'!$A$62&gt;35,AI28+AH29-AQ28,IF(A29&lt;'Données projet'!$A$62,$AF$205^A29,IF(A29='Données projet'!$A$62,'Données projet'!$B$62,AI28+AH29-AQ28)))</f>
        <v>297.39999999999992</v>
      </c>
      <c r="AJ29" s="13">
        <f>AI29*VLOOKUP('Données projet'!$B$10,Paramètres!$A$1:$I$89,3,0)*VLOOKUP('Données projet'!$B$10,Paramètres!$A$1:$I$89,5,0)</f>
        <v>177.84519999999998</v>
      </c>
      <c r="AK29" s="13">
        <f t="shared" si="35"/>
        <v>44.842447359713951</v>
      </c>
      <c r="AL29" s="20">
        <f t="shared" si="4"/>
        <v>387.84765248483512</v>
      </c>
      <c r="AM29" s="59">
        <f t="shared" si="5"/>
        <v>625.69487148540838</v>
      </c>
      <c r="AN29" s="59">
        <f ca="1">AVERAGE(OFFSET($AM$3,0,0,'Données projet'!$E$10+1,1))-AVERAGE(OFFSET($H$3,0,0,'Données projet'!$E$10+1,1))</f>
        <v>400.1942260113168</v>
      </c>
      <c r="AO29" s="59">
        <f t="shared" si="36"/>
        <v>497.04866930593926</v>
      </c>
      <c r="AP29" s="15">
        <f>IF(ISNA(VLOOKUP(A29,'Données projet'!$A$61:$I$81,3,0)),0,VLOOKUP(A29,'Données projet'!$A$61:$I$81,3,0))</f>
        <v>3</v>
      </c>
      <c r="AQ29" s="15">
        <f>IF(ISNA(VLOOKUP(A29,'Données projet'!$A$61:$I$81,4,0)),0,VLOOKUP(A29,'Données projet'!$A$61:$I$81,4,0))</f>
        <v>55.94</v>
      </c>
      <c r="AR29" s="16">
        <f>IF(ISNA(VLOOKUP(A29,'Données projet'!$A$61:$I$81,5,0)),0%,VLOOKUP(A29,'Données projet'!$A$61:$I$81,5,0)*VLOOKUP('Données projet'!$B$10,Paramètres!$A$1:$I$89,7,0))</f>
        <v>4.5000000000000005E-2</v>
      </c>
      <c r="AS29" s="16">
        <f>IF(ISNA(VLOOKUP(A29,'Données projet'!$A$61:$I$81,6,0)),0%,VLOOKUP(A29,'Données projet'!$A$61:$I$81,6,0)*VLOOKUP('Données projet'!$B$10,Paramètres!$A$1:$I$89,7,0))</f>
        <v>0.36000000000000004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3.736861156682513</v>
      </c>
      <c r="AV29" s="21">
        <f>EXP(-LN(2)/25)*AV28+(1-EXP(-LN(2)/25))/(LN(2)/25)*Calculateur!AQ29*Calculateur!AS29*VLOOKUP('Données projet'!$B$10,Paramètres!$A$1:$I$89,3,0)*0.475*44/12</f>
        <v>42.24148929085144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45.978350447533956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>
        <f>VLOOKUP(A29,'Données projet'!$A$87:$I$107,2,0)</f>
        <v>449</v>
      </c>
      <c r="BB29" s="12">
        <f>VLOOKUP(A29,'Données projet'!$A$87:$I$107,9,0)</f>
        <v>14</v>
      </c>
      <c r="BC29" s="12">
        <f t="array" ref="BC29">INDEX(BB:BB,MIN(IF(ISNUMBER(BB29:BB225),ROW(BB29:BB225),"")))</f>
        <v>14</v>
      </c>
      <c r="BD29" s="12">
        <f>IF('Données projet'!$A$88&gt;35,BD28+BC29-BL28,IF(A29&lt;'Données projet'!$A$88,$BA$205^A29,IF(A29='Données projet'!$A$88,'Données projet'!$B$88,BD28+BC29-BL28)))</f>
        <v>449</v>
      </c>
      <c r="BE29" s="13">
        <f>BD29*VLOOKUP('Données projet'!$B$11,Paramètres!$A$1:$I$89,3,0)*VLOOKUP('Données projet'!$B$11,Paramètres!$A$1:$I$89,5,0)</f>
        <v>287.18039999999996</v>
      </c>
      <c r="BF29" s="13">
        <f t="shared" si="37"/>
        <v>68.482190384472617</v>
      </c>
      <c r="BG29" s="20">
        <f t="shared" si="7"/>
        <v>619.44567825295644</v>
      </c>
      <c r="BH29" s="59">
        <f t="shared" si="8"/>
        <v>857.29289725352976</v>
      </c>
      <c r="BI29" s="59">
        <f ca="1">AVERAGE(OFFSET($BH$3,0,0,'Données projet'!$E$11+1,1))-AVERAGE(OFFSET($H$3,0,0,'Données projet'!$E$11+1,1))</f>
        <v>284.78505691662588</v>
      </c>
      <c r="BJ29" s="59">
        <f t="shared" si="38"/>
        <v>664.42623058686308</v>
      </c>
      <c r="BK29" s="15">
        <f>IF(ISNA(VLOOKUP(A29,'Données projet'!$A$87:$I$107,3,0)),0,VLOOKUP(A29,'Données projet'!$A$87:$I$107,3,0))</f>
        <v>6</v>
      </c>
      <c r="BL29" s="15">
        <f>IF(ISNA(VLOOKUP(A29,'Données projet'!$A$87:$I$107,4,0)),0,VLOOKUP(A29,'Données projet'!$A$87:$I$107,4,0))</f>
        <v>449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>
        <f>VLOOKUP(A29,'Données projet'!$A$113:$I$133,2,0)</f>
        <v>449</v>
      </c>
      <c r="BW29" s="12">
        <f>VLOOKUP(A29,'Données projet'!$A$113:$I$133,9,0)</f>
        <v>14</v>
      </c>
      <c r="BX29" s="12">
        <f t="array" ref="BX29">INDEX(BW:BW,MIN(IF(ISNUMBER(BW29:BW225),ROW(BW29:BW225),"")))</f>
        <v>14</v>
      </c>
      <c r="BY29" s="12">
        <f>IF('Données projet'!$A$114&gt;35,BY28+BX29-CG28,IF(A29&lt;'Données projet'!$A$114,$BV$205^A29,IF(A29='Données projet'!$A$114,'Données projet'!$B$114,BY28+BX29-CG28)))</f>
        <v>449</v>
      </c>
      <c r="BZ29" s="13">
        <f>BY29*VLOOKUP('Données projet'!$B$12,Paramètres!$A$1:$I$89,3,0)*VLOOKUP('Données projet'!$B$12,Paramètres!$A$1:$I$89,5,0)</f>
        <v>392.24640000000005</v>
      </c>
      <c r="CA29" s="13">
        <f t="shared" si="39"/>
        <v>90.202955523723389</v>
      </c>
      <c r="CB29" s="20">
        <f t="shared" si="10"/>
        <v>840.26596087048495</v>
      </c>
      <c r="CC29" s="59">
        <f t="shared" si="11"/>
        <v>1078.1131798710583</v>
      </c>
      <c r="CD29" s="59">
        <f ca="1">AVERAGE(OFFSET($CC$3,0,0,'Données projet'!$E$12+1,1))-AVERAGE(OFFSET($H$3,0,0,'Données projet'!$E$12+1,1))</f>
        <v>380.64318988568527</v>
      </c>
      <c r="CE29" s="59">
        <f t="shared" si="40"/>
        <v>885.24651320439159</v>
      </c>
      <c r="CF29" s="15">
        <f>IF(ISNA(VLOOKUP(A29,'Données projet'!$A$113:$I$133,3,0)),0,VLOOKUP(A29,'Données projet'!$A$113:$I$133,3,0))</f>
        <v>6</v>
      </c>
      <c r="CG29" s="15">
        <f>IF(ISNA(VLOOKUP(A29,'Données projet'!$A$113:$I$133,4,0)),0,VLOOKUP(A29,'Données projet'!$A$113:$I$133,4,0))</f>
        <v>449</v>
      </c>
      <c r="CH29" s="16">
        <f>IF(ISNA(VLOOKUP(A29,'Données projet'!$A$113:$I$133,5,0)),0%,VLOOKUP(A29,'Données projet'!$A$113:$I$133,5,0)*VLOOKUP('Données projet'!$B$12,Paramètres!$A$1:$I$89,7,0))</f>
        <v>0.39750000000000002</v>
      </c>
      <c r="CI29" s="16">
        <f>IF(ISNA(VLOOKUP(A29,'Données projet'!$A$113:$I$133,6,0)),0%,VLOOKUP(A29,'Données projet'!$A$113:$I$133,6,0)*VLOOKUP('Données projet'!$B$12,Paramètres!$A$1:$I$89,7,0))</f>
        <v>0.10600000000000001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172.36266872967727</v>
      </c>
      <c r="CL29" s="21">
        <f>EXP(-LN(2)/25)*CL28+(1-EXP(-LN(2)/25))/(LN(2)/25)*Calculateur!CG29*Calculateur!CI29*VLOOKUP('Données projet'!$B$12,Paramètres!$A$1:$I$89,3,0)*0.475*44/12</f>
        <v>45.78240299401677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218.14507172369403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21.612857142857145</v>
      </c>
      <c r="CT29" s="12">
        <f>IF('Données projet'!$A$140&gt;35,CT28+CS29-DB28,IF(A29&lt;'Données projet'!$A$140,$CQ$205^A29,IF(A29='Données projet'!$A$140,'Données projet'!$B$140,CT28+CS29-DB28)))</f>
        <v>238.63428571428568</v>
      </c>
      <c r="CU29" s="17">
        <f>CT29*VLOOKUP('Données projet'!$B$13,Paramètres!$A$1:$I$89,3,0)*VLOOKUP('Données projet'!$B$13,Paramètres!$A$1:$I$89,5,0)</f>
        <v>133.39656571428571</v>
      </c>
      <c r="CV29" s="13">
        <f t="shared" si="41"/>
        <v>34.780023938654864</v>
      </c>
      <c r="CW29" s="20">
        <f t="shared" si="13"/>
        <v>292.90756031220479</v>
      </c>
      <c r="CX29" s="59">
        <f t="shared" si="14"/>
        <v>530.75477931277806</v>
      </c>
      <c r="CY29" s="59">
        <f ca="1">AVERAGE(OFFSET($CX$3,0,0,'Données projet'!$E$13+1,1))-AVERAGE(OFFSET($H$3,0,0,'Données projet'!$E$13+1,1))</f>
        <v>404.10467005188889</v>
      </c>
      <c r="CZ29" s="59">
        <f t="shared" si="42"/>
        <v>372.70490129557845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2.3855944152036108</v>
      </c>
      <c r="DG29" s="21">
        <f>EXP(-LN(2)/25)*DG28+(1-EXP(-LN(2)/25))/(LN(2)/25)*Calculateur!DB29*Calculateur!DD29*VLOOKUP('Données projet'!$B$13,Paramètres!$A$1:$I$89,3,0)*0.475*44/12</f>
        <v>18.271387330880323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20.656981746083932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3.1761666666666666</v>
      </c>
      <c r="DO29" s="12">
        <f>IF('Données projet'!$A$166&gt;35,DO28+DN29-DW28,IF(A29&lt;'Données projet'!$A$166,$DL$205^A29,IF(A29='Données projet'!$A$166,'Données projet'!$B$166,DO28+DN29-DW28)))</f>
        <v>82.5803333333333</v>
      </c>
      <c r="DP29" s="17">
        <f>DO29*VLOOKUP('Données projet'!$B$14,Paramètres!$A$1:$I$89,3,0)*VLOOKUP('Données projet'!$B$14,Paramètres!$A$1:$I$89,5,0)</f>
        <v>74.718685599999972</v>
      </c>
      <c r="DQ29" s="13">
        <f t="shared" si="43"/>
        <v>20.840787564171904</v>
      </c>
      <c r="DR29" s="20">
        <f t="shared" si="16"/>
        <v>166.43274909426603</v>
      </c>
      <c r="DS29" s="59">
        <f t="shared" si="17"/>
        <v>404.27996809483932</v>
      </c>
      <c r="DT29" s="59">
        <f ca="1">AVERAGE(OFFSET($DS$3,0,0,'Données projet'!$E$14+1,1))-AVERAGE(OFFSET($H$3,0,0,'Données projet'!$E$14+1,1))</f>
        <v>479.53113328461268</v>
      </c>
      <c r="DU29" s="59">
        <f t="shared" si="44"/>
        <v>244.6360664588118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28.810000000000002</v>
      </c>
      <c r="EJ29" s="12">
        <f>IF('Données projet'!$A$192&gt;35,EJ28+EI29-ER28,IF(A29&lt;'Données projet'!$A$192,$EG$205^A29,IF(A29='Données projet'!$A$192,'Données projet'!$B$192,EJ28+EI29-ER28)))</f>
        <v>295.32000000000005</v>
      </c>
      <c r="EK29" s="17">
        <f>EJ29*VLOOKUP('Données projet'!$B$15,Paramètres!$A$1:$I$89,3,0)*VLOOKUP('Données projet'!$B$15,Paramètres!$A$1:$I$89,5,0)</f>
        <v>130.53144000000003</v>
      </c>
      <c r="EL29" s="13">
        <f t="shared" si="45"/>
        <v>34.119130340423034</v>
      </c>
      <c r="EM29" s="20">
        <f t="shared" si="19"/>
        <v>286.76641000957017</v>
      </c>
      <c r="EN29" s="59">
        <f t="shared" si="20"/>
        <v>524.61362901014343</v>
      </c>
      <c r="EO29" s="59">
        <f ca="1">AVERAGE(OFFSET($EN$3,0,0,'Données projet'!$E$15+1,1))-AVERAGE(OFFSET($H$3,0,0,'Données projet'!$E$15+1,1))</f>
        <v>339.23049610652492</v>
      </c>
      <c r="EP29" s="59">
        <f t="shared" si="46"/>
        <v>448.85057640789785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34.869489635379317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34.869489635379317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7.6601960784313725</v>
      </c>
      <c r="FE29" s="12">
        <f>IF('Données projet'!$A$218&gt;35,FE28+FD29-FM28,IF(A29&lt;'Données projet'!$A$218,$FB$205^A29,IF(A29='Données projet'!$A$218,'Données projet'!$B$218,FE28+FD29-FM28)))</f>
        <v>199.16509803921562</v>
      </c>
      <c r="FF29" s="17">
        <f>FE29*VLOOKUP('Données projet'!$B$16,Paramètres!$A$1:$I$89,3,0)*VLOOKUP('Données projet'!$B$16,Paramètres!$A$1:$I$89,5,0)</f>
        <v>93.209265882352909</v>
      </c>
      <c r="FG29" s="13">
        <f t="shared" si="47"/>
        <v>25.33763727057336</v>
      </c>
      <c r="FH29" s="20">
        <f t="shared" si="22"/>
        <v>206.46918965801322</v>
      </c>
      <c r="FI29" s="59">
        <f t="shared" si="23"/>
        <v>444.31640865858651</v>
      </c>
      <c r="FJ29" s="59">
        <f ca="1">AVERAGE(OFFSET($FI$3,0,0,'Données projet'!$E$16+1,1))-AVERAGE(OFFSET($H$3,0,0,'Données projet'!$E$16+1,1))</f>
        <v>365.63278362856033</v>
      </c>
      <c r="FK29" s="59">
        <f t="shared" si="48"/>
        <v>290.68267842697452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5.0742105263157899</v>
      </c>
      <c r="FZ29" s="12">
        <f>IF('Données projet'!$A$244&gt;35,FZ28+FY29-GH28,IF(A29&lt;'Données projet'!$A$244,$FW$205^A29,IF(A29='Données projet'!$A$244,'Données projet'!$B$244,FZ28+FY29-GH28)))</f>
        <v>131.92947368421059</v>
      </c>
      <c r="GA29" s="17">
        <f>FZ29*VLOOKUP('Données projet'!$B$17,Paramètres!$A$1:$I$89,3,0)*VLOOKUP('Données projet'!$B$17,Paramètres!$A$1:$I$89,5,0)</f>
        <v>113.1954884210527</v>
      </c>
      <c r="GB29" s="13">
        <f t="shared" si="49"/>
        <v>30.08260722079865</v>
      </c>
      <c r="GC29" s="20">
        <f t="shared" si="25"/>
        <v>249.54268324289106</v>
      </c>
      <c r="GD29" s="59">
        <f t="shared" si="26"/>
        <v>487.38990224346435</v>
      </c>
      <c r="GE29" s="59">
        <f ca="1">AVERAGE(OFFSET($GD$3,0,0,'Données projet'!$E$17+1,1))-AVERAGE(OFFSET($H$3,0,0,'Données projet'!$E$17+1,1))</f>
        <v>460.46300302025099</v>
      </c>
      <c r="GF29" s="59">
        <f t="shared" si="50"/>
        <v>340.22534554615879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56.200756697126039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>
        <f>VLOOKUP(A29,'Données projet'!$A$269:$I$289,2,0)</f>
        <v>297.39999999999998</v>
      </c>
      <c r="GS29" s="12">
        <f>VLOOKUP(A29,'Données projet'!$A$269:$I$289,9,0)</f>
        <v>24.2</v>
      </c>
      <c r="GT29" s="12">
        <f t="array" ref="GT29">INDEX(GS:GS,MIN(IF(ISNUMBER(GS29:GS225),ROW(GS29:GS225),"")))</f>
        <v>24.2</v>
      </c>
      <c r="GU29" s="12">
        <f>IF('Données projet'!$A$270&gt;35,GU28+GT29-HC28,IF(A29&lt;'Données projet'!$A$270,$GR$205^A29,IF(A29='Données projet'!$A$270,'Données projet'!$B$270,GU28+GT29-HC28)))</f>
        <v>297.39999999999992</v>
      </c>
      <c r="GV29" s="17">
        <f>GU29*VLOOKUP('Données projet'!$B$18,Paramètres!$A$1:$I$89,3,0)*VLOOKUP('Données projet'!$B$18,Paramètres!$A$1:$I$89,5,0)</f>
        <v>177.84519999999998</v>
      </c>
      <c r="GW29" s="13">
        <f t="shared" si="51"/>
        <v>44.842447359713951</v>
      </c>
      <c r="GX29" s="20">
        <f t="shared" si="28"/>
        <v>387.84765248483512</v>
      </c>
      <c r="GY29" s="59">
        <f t="shared" si="29"/>
        <v>625.69487148540838</v>
      </c>
      <c r="GZ29" s="59">
        <f ca="1">AVERAGE(OFFSET($GY$3,0,0,'Données projet'!$E$18+1,1))-AVERAGE(OFFSET($H$3,0,0,'Données projet'!$E$18+1,1))</f>
        <v>-15.950000000000017</v>
      </c>
      <c r="HA29" s="59">
        <f t="shared" si="52"/>
        <v>-15.950000000000017</v>
      </c>
      <c r="HB29" s="15">
        <f>IF(ISNA(VLOOKUP(A29,'Données projet'!$A$269:$I$289,3,0)),0,VLOOKUP(A29,'Données projet'!$A$269:$I$289,3,0))</f>
        <v>3</v>
      </c>
      <c r="HC29" s="15">
        <f>IF(ISNA(VLOOKUP(A29,'Données projet'!$A$269:$I$289,4,0)),0,VLOOKUP(A29,'Données projet'!$A$269:$I$289,4,0))</f>
        <v>55.94</v>
      </c>
      <c r="HD29" s="16">
        <f>IF(ISNA(VLOOKUP(A29,'Données projet'!$A$269:$I$289,5,0)),0%,VLOOKUP(A29,'Données projet'!$A$269:$I$289,5,0)*VLOOKUP('Données projet'!$B$18,Paramètres!$A$1:$I$89,7,0))</f>
        <v>4.5000000000000005E-2</v>
      </c>
      <c r="HE29" s="16">
        <f>IF(ISNA(VLOOKUP(A29,'Données projet'!$A$269:$I$289,6,0)),0%,VLOOKUP(A29,'Données projet'!$A$269:$I$289,6,0)*VLOOKUP('Données projet'!$B$18,Paramètres!$A$1:$I$89,7,0))</f>
        <v>0.36000000000000004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3.736861156682513</v>
      </c>
      <c r="HH29" s="21">
        <f>EXP(-LN(2)/25)*HH28+(1-EXP(-LN(2)/25))/(LN(2)/25)*Calculateur!HC29*Calculateur!HE29*VLOOKUP('Données projet'!$B$18,Paramètres!$A$1:$I$89,3,0)*0.475*44/12</f>
        <v>42.24148929085144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45.978350447533956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4.3499999999999996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15.949999999999998</v>
      </c>
      <c r="H30" s="67">
        <f t="shared" si="1"/>
        <v>192.86666666666667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5.044827586206897</v>
      </c>
      <c r="N30" s="13">
        <f>IF('Données projet'!$A$36&gt;35,N29+M30-V29,IF(A30&lt;'Données projet'!$A$36,$K$205^A30,IF(A30='Données projet'!$A$36,'Données projet'!$B$36,N29+M30-V29)))</f>
        <v>103.73304613997222</v>
      </c>
      <c r="O30" s="13">
        <f>N30*VLOOKUP('Données projet'!$B$9,Paramètres!$A$1:$I$89,3,0)*VLOOKUP('Données projet'!$B$9,Paramètres!$A$1:$I$89,5,0)</f>
        <v>90.621189107879744</v>
      </c>
      <c r="P30" s="13">
        <f t="shared" si="33"/>
        <v>24.714980821170236</v>
      </c>
      <c r="Q30" s="20">
        <f t="shared" si="2"/>
        <v>200.87716262642871</v>
      </c>
      <c r="R30" s="59">
        <f t="shared" si="0"/>
        <v>440.82435259222564</v>
      </c>
      <c r="S30" s="59">
        <f ca="1">AVERAGE(OFFSET($R$3,0,0,'Données projet'!$E$9+1,1))-AVERAGE(OFFSET($H$3,0,0,'Données projet'!$E$9+1,1))</f>
        <v>433.46721010558042</v>
      </c>
      <c r="T30" s="59">
        <f t="shared" si="34"/>
        <v>306.18862295347509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24.97666666666667</v>
      </c>
      <c r="AI30" s="13">
        <f>IF('Données projet'!$A$62&gt;35,AI29+AH30-AQ29,IF(A30&lt;'Données projet'!$A$62,$AF$205^A30,IF(A30='Données projet'!$A$62,'Données projet'!$B$62,AI29+AH30-AQ29)))</f>
        <v>266.43666666666661</v>
      </c>
      <c r="AJ30" s="13">
        <f>AI30*VLOOKUP('Données projet'!$B$10,Paramètres!$A$1:$I$89,3,0)*VLOOKUP('Données projet'!$B$10,Paramètres!$A$1:$I$89,5,0)</f>
        <v>159.32912666666664</v>
      </c>
      <c r="AK30" s="13">
        <f t="shared" si="35"/>
        <v>40.69116106998591</v>
      </c>
      <c r="AL30" s="20">
        <f t="shared" si="4"/>
        <v>348.36866780800318</v>
      </c>
      <c r="AM30" s="59">
        <f t="shared" si="5"/>
        <v>588.31585777380008</v>
      </c>
      <c r="AN30" s="59">
        <f ca="1">AVERAGE(OFFSET($AM$3,0,0,'Données projet'!$E$10+1,1))-AVERAGE(OFFSET($H$3,0,0,'Données projet'!$E$10+1,1))</f>
        <v>400.1942260113168</v>
      </c>
      <c r="AO30" s="59">
        <f t="shared" si="36"/>
        <v>497.04866930593926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3.6635835886602162</v>
      </c>
      <c r="AV30" s="21">
        <f>EXP(-LN(2)/25)*AV29+(1-EXP(-LN(2)/25))/(LN(2)/25)*Calculateur!AQ30*Calculateur!AS30*VLOOKUP('Données projet'!$B$10,Paramètres!$A$1:$I$89,3,0)*0.475*44/12</f>
        <v>41.086393544809731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44.749977133469947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284.78505691662588</v>
      </c>
      <c r="BJ30" s="59">
        <f t="shared" si="38"/>
        <v>664.42623058686308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380.64318988568527</v>
      </c>
      <c r="CE30" s="59">
        <f t="shared" si="40"/>
        <v>885.24651320439159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168.9827419267354</v>
      </c>
      <c r="CL30" s="21">
        <f>EXP(-LN(2)/25)*CL29+(1-EXP(-LN(2)/25))/(LN(2)/25)*Calculateur!CG30*Calculateur!CI30*VLOOKUP('Données projet'!$B$12,Paramètres!$A$1:$I$89,3,0)*0.475*44/12</f>
        <v>44.530480776553446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213.51322270328885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21.612857142857145</v>
      </c>
      <c r="CT30" s="12">
        <f>IF('Données projet'!$A$140&gt;35,CT29+CS30-DB29,IF(A30&lt;'Données projet'!$A$140,$CQ$205^A30,IF(A30='Données projet'!$A$140,'Données projet'!$B$140,CT29+CS30-DB29)))</f>
        <v>260.24714285714282</v>
      </c>
      <c r="CU30" s="17">
        <f>CT30*VLOOKUP('Données projet'!$B$13,Paramètres!$A$1:$I$89,3,0)*VLOOKUP('Données projet'!$B$13,Paramètres!$A$1:$I$89,5,0)</f>
        <v>145.47815285714285</v>
      </c>
      <c r="CV30" s="13">
        <f t="shared" si="41"/>
        <v>37.54915616665005</v>
      </c>
      <c r="CW30" s="20">
        <f t="shared" si="13"/>
        <v>318.77256321643927</v>
      </c>
      <c r="CX30" s="59">
        <f t="shared" si="14"/>
        <v>558.71975318223622</v>
      </c>
      <c r="CY30" s="59">
        <f ca="1">AVERAGE(OFFSET($CX$3,0,0,'Données projet'!$E$13+1,1))-AVERAGE(OFFSET($H$3,0,0,'Données projet'!$E$13+1,1))</f>
        <v>404.10467005188889</v>
      </c>
      <c r="CZ30" s="59">
        <f t="shared" si="42"/>
        <v>372.70490129557845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2.3388143637903851</v>
      </c>
      <c r="DG30" s="21">
        <f>EXP(-LN(2)/25)*DG29+(1-EXP(-LN(2)/25))/(LN(2)/25)*Calculateur!DB30*Calculateur!DD30*VLOOKUP('Données projet'!$B$13,Paramètres!$A$1:$I$89,3,0)*0.475*44/12</f>
        <v>17.771755283466902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20.110569647257286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3.1761666666666666</v>
      </c>
      <c r="DO30" s="12">
        <f>IF('Données projet'!$A$166&gt;35,DO29+DN30-DW29,IF(A30&lt;'Données projet'!$A$166,$DL$205^A30,IF(A30='Données projet'!$A$166,'Données projet'!$B$166,DO29+DN30-DW29)))</f>
        <v>85.75649999999996</v>
      </c>
      <c r="DP30" s="17">
        <f>DO30*VLOOKUP('Données projet'!$B$14,Paramètres!$A$1:$I$89,3,0)*VLOOKUP('Données projet'!$B$14,Paramètres!$A$1:$I$89,5,0)</f>
        <v>77.592481199999966</v>
      </c>
      <c r="DQ30" s="13">
        <f t="shared" si="43"/>
        <v>21.547490528248293</v>
      </c>
      <c r="DR30" s="20">
        <f t="shared" si="16"/>
        <v>172.66878409336573</v>
      </c>
      <c r="DS30" s="59">
        <f t="shared" si="17"/>
        <v>412.61597405916268</v>
      </c>
      <c r="DT30" s="59">
        <f ca="1">AVERAGE(OFFSET($DS$3,0,0,'Données projet'!$E$14+1,1))-AVERAGE(OFFSET($H$3,0,0,'Données projet'!$E$14+1,1))</f>
        <v>479.53113328461268</v>
      </c>
      <c r="DU30" s="59">
        <f t="shared" si="44"/>
        <v>244.6360664588118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28.810000000000002</v>
      </c>
      <c r="EJ30" s="12">
        <f>IF('Données projet'!$A$192&gt;35,EJ29+EI30-ER29,IF(A30&lt;'Données projet'!$A$192,$EG$205^A30,IF(A30='Données projet'!$A$192,'Données projet'!$B$192,EJ29+EI30-ER29)))</f>
        <v>324.13000000000005</v>
      </c>
      <c r="EK30" s="17">
        <f>EJ30*VLOOKUP('Données projet'!$B$15,Paramètres!$A$1:$I$89,3,0)*VLOOKUP('Données projet'!$B$15,Paramètres!$A$1:$I$89,5,0)</f>
        <v>143.26546000000005</v>
      </c>
      <c r="EL30" s="13">
        <f t="shared" si="45"/>
        <v>37.044069727968875</v>
      </c>
      <c r="EM30" s="20">
        <f t="shared" si="19"/>
        <v>314.03909760954588</v>
      </c>
      <c r="EN30" s="59">
        <f t="shared" si="20"/>
        <v>553.98628757534277</v>
      </c>
      <c r="EO30" s="59">
        <f ca="1">AVERAGE(OFFSET($EN$3,0,0,'Données projet'!$E$15+1,1))-AVERAGE(OFFSET($H$3,0,0,'Données projet'!$E$15+1,1))</f>
        <v>339.23049610652492</v>
      </c>
      <c r="EP30" s="59">
        <f t="shared" si="46"/>
        <v>448.85057640789785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33.915981607593103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33.915981607593103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7.6601960784313725</v>
      </c>
      <c r="FE30" s="12">
        <f>IF('Données projet'!$A$218&gt;35,FE29+FD30-FM29,IF(A30&lt;'Données projet'!$A$218,$FB$205^A30,IF(A30='Données projet'!$A$218,'Données projet'!$B$218,FE29+FD30-FM29)))</f>
        <v>206.82529411764699</v>
      </c>
      <c r="FF30" s="17">
        <f>FE30*VLOOKUP('Données projet'!$B$16,Paramètres!$A$1:$I$89,3,0)*VLOOKUP('Données projet'!$B$16,Paramètres!$A$1:$I$89,5,0)</f>
        <v>96.794237647058793</v>
      </c>
      <c r="FG30" s="13">
        <f t="shared" si="47"/>
        <v>26.196826651333119</v>
      </c>
      <c r="FH30" s="20">
        <f t="shared" si="22"/>
        <v>214.20943698636589</v>
      </c>
      <c r="FI30" s="59">
        <f t="shared" si="23"/>
        <v>454.15662695216281</v>
      </c>
      <c r="FJ30" s="59">
        <f ca="1">AVERAGE(OFFSET($FI$3,0,0,'Données projet'!$E$16+1,1))-AVERAGE(OFFSET($H$3,0,0,'Données projet'!$E$16+1,1))</f>
        <v>365.63278362856033</v>
      </c>
      <c r="FK30" s="59">
        <f t="shared" si="48"/>
        <v>290.68267842697452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5.0742105263157899</v>
      </c>
      <c r="FZ30" s="12">
        <f>IF('Données projet'!$A$244&gt;35,FZ29+FY30-GH29,IF(A30&lt;'Données projet'!$A$244,$FW$205^A30,IF(A30='Données projet'!$A$244,'Données projet'!$B$244,FZ29+FY30-GH29)))</f>
        <v>137.00368421052639</v>
      </c>
      <c r="GA30" s="17">
        <f>FZ30*VLOOKUP('Données projet'!$B$17,Paramètres!$A$1:$I$89,3,0)*VLOOKUP('Données projet'!$B$17,Paramètres!$A$1:$I$89,5,0)</f>
        <v>117.54916105263165</v>
      </c>
      <c r="GB30" s="13">
        <f t="shared" si="49"/>
        <v>31.102696678772467</v>
      </c>
      <c r="GC30" s="20">
        <f t="shared" si="25"/>
        <v>258.90198554886211</v>
      </c>
      <c r="GD30" s="59">
        <f t="shared" si="26"/>
        <v>498.84917551465901</v>
      </c>
      <c r="GE30" s="59">
        <f ca="1">AVERAGE(OFFSET($GD$3,0,0,'Données projet'!$E$17+1,1))-AVERAGE(OFFSET($H$3,0,0,'Données projet'!$E$17+1,1))</f>
        <v>460.46300302025099</v>
      </c>
      <c r="GF30" s="59">
        <f t="shared" si="50"/>
        <v>340.22534554615879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56.440142717944617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24.97666666666667</v>
      </c>
      <c r="GU30" s="12">
        <f>IF('Données projet'!$A$270&gt;35,GU29+GT30-HC29,IF(A30&lt;'Données projet'!$A$270,$GR$205^A30,IF(A30='Données projet'!$A$270,'Données projet'!$B$270,GU29+GT30-HC29)))</f>
        <v>266.43666666666661</v>
      </c>
      <c r="GV30" s="17">
        <f>GU30*VLOOKUP('Données projet'!$B$18,Paramètres!$A$1:$I$89,3,0)*VLOOKUP('Données projet'!$B$18,Paramètres!$A$1:$I$89,5,0)</f>
        <v>159.32912666666664</v>
      </c>
      <c r="GW30" s="13">
        <f t="shared" si="51"/>
        <v>40.69116106998591</v>
      </c>
      <c r="GX30" s="20">
        <f t="shared" si="28"/>
        <v>348.36866780800318</v>
      </c>
      <c r="GY30" s="59">
        <f t="shared" si="29"/>
        <v>588.31585777380008</v>
      </c>
      <c r="GZ30" s="59">
        <f ca="1">AVERAGE(OFFSET($GY$3,0,0,'Données projet'!$E$18+1,1))-AVERAGE(OFFSET($H$3,0,0,'Données projet'!$E$18+1,1))</f>
        <v>-15.950000000000017</v>
      </c>
      <c r="HA30" s="59">
        <f t="shared" si="52"/>
        <v>-15.950000000000017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3.6635835886602162</v>
      </c>
      <c r="HH30" s="21">
        <f>EXP(-LN(2)/25)*HH29+(1-EXP(-LN(2)/25))/(LN(2)/25)*Calculateur!HC30*Calculateur!HE30*VLOOKUP('Données projet'!$B$18,Paramètres!$A$1:$I$89,3,0)*0.475*44/12</f>
        <v>41.086393544809731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44.749977133469947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4.3499999999999996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15.949999999999998</v>
      </c>
      <c r="H31" s="67">
        <f t="shared" si="1"/>
        <v>192.86666666666667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5.044827586206897</v>
      </c>
      <c r="N31" s="13">
        <f>IF('Données projet'!$A$36&gt;35,N30+M31-V30,IF(A31&lt;'Données projet'!$A$36,$K$205^A31,IF(A31='Données projet'!$A$36,'Données projet'!$B$36,N30+M31-V30)))</f>
        <v>123.19149585209976</v>
      </c>
      <c r="O31" s="13">
        <f>N31*VLOOKUP('Données projet'!$B$9,Paramètres!$A$1:$I$89,3,0)*VLOOKUP('Données projet'!$B$9,Paramètres!$A$1:$I$89,5,0)</f>
        <v>107.62009077639436</v>
      </c>
      <c r="P31" s="13">
        <f t="shared" si="33"/>
        <v>28.769547587612301</v>
      </c>
      <c r="Q31" s="20">
        <f t="shared" si="2"/>
        <v>237.54528681731156</v>
      </c>
      <c r="R31" s="59">
        <f t="shared" si="0"/>
        <v>479.57722076999323</v>
      </c>
      <c r="S31" s="59">
        <f ca="1">AVERAGE(OFFSET($R$3,0,0,'Données projet'!$E$9+1,1))-AVERAGE(OFFSET($H$3,0,0,'Données projet'!$E$9+1,1))</f>
        <v>433.46721010558042</v>
      </c>
      <c r="T31" s="59">
        <f t="shared" si="34"/>
        <v>306.18862295347509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24.97666666666667</v>
      </c>
      <c r="AI31" s="13">
        <f>IF('Données projet'!$A$62&gt;35,AI30+AH31-AQ30,IF(A31&lt;'Données projet'!$A$62,$AF$205^A31,IF(A31='Données projet'!$A$62,'Données projet'!$B$62,AI30+AH31-AQ30)))</f>
        <v>291.4133333333333</v>
      </c>
      <c r="AJ31" s="13">
        <f>AI31*VLOOKUP('Données projet'!$B$10,Paramètres!$A$1:$I$89,3,0)*VLOOKUP('Données projet'!$B$10,Paramètres!$A$1:$I$89,5,0)</f>
        <v>174.26517333333334</v>
      </c>
      <c r="AK31" s="13">
        <f t="shared" si="35"/>
        <v>44.043898520130064</v>
      </c>
      <c r="AL31" s="20">
        <f t="shared" si="4"/>
        <v>380.22163347811539</v>
      </c>
      <c r="AM31" s="59">
        <f t="shared" si="5"/>
        <v>622.25356743079715</v>
      </c>
      <c r="AN31" s="59">
        <f ca="1">AVERAGE(OFFSET($AM$3,0,0,'Données projet'!$E$10+1,1))-AVERAGE(OFFSET($H$3,0,0,'Données projet'!$E$10+1,1))</f>
        <v>400.1942260113168</v>
      </c>
      <c r="AO31" s="59">
        <f t="shared" si="36"/>
        <v>497.04866930593926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3.5917429490519335</v>
      </c>
      <c r="AV31" s="21">
        <f>EXP(-LN(2)/25)*AV30+(1-EXP(-LN(2)/25))/(LN(2)/25)*Calculateur!AQ31*Calculateur!AS31*VLOOKUP('Données projet'!$B$10,Paramètres!$A$1:$I$89,3,0)*0.475*44/12</f>
        <v>39.962883952687378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43.554626901739312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284.78505691662588</v>
      </c>
      <c r="BJ31" s="59">
        <f t="shared" si="38"/>
        <v>664.42623058686308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380.64318988568527</v>
      </c>
      <c r="CE31" s="59">
        <f t="shared" si="40"/>
        <v>885.24651320439159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165.66909342684744</v>
      </c>
      <c r="CL31" s="21">
        <f>EXP(-LN(2)/25)*CL30+(1-EXP(-LN(2)/25))/(LN(2)/25)*Calculateur!CG31*Calculateur!CI31*VLOOKUP('Données projet'!$B$12,Paramètres!$A$1:$I$89,3,0)*0.475*44/12</f>
        <v>43.312792437962386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208.98188586480984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>
        <f>VLOOKUP(A31,'Données projet'!$A$139:$I$159,2,0)</f>
        <v>281.86</v>
      </c>
      <c r="CR31" s="12">
        <f>VLOOKUP(A31,'Données projet'!$A$139:$I$159,9,0)</f>
        <v>21.612857142857145</v>
      </c>
      <c r="CS31" s="12">
        <f t="array" ref="CS31">INDEX(CR:CR,MIN(IF(ISNUMBER(CR31:CR227),ROW(CR31:CR227),"")))</f>
        <v>21.612857142857145</v>
      </c>
      <c r="CT31" s="12">
        <f>IF('Données projet'!$A$140&gt;35,CT30+CS31-DB30,IF(A31&lt;'Données projet'!$A$140,$CQ$205^A31,IF(A31='Données projet'!$A$140,'Données projet'!$B$140,CT30+CS31-DB30)))</f>
        <v>281.85999999999996</v>
      </c>
      <c r="CU31" s="17">
        <f>CT31*VLOOKUP('Données projet'!$B$13,Paramètres!$A$1:$I$89,3,0)*VLOOKUP('Données projet'!$B$13,Paramètres!$A$1:$I$89,5,0)</f>
        <v>157.55973999999998</v>
      </c>
      <c r="CV31" s="13">
        <f t="shared" si="41"/>
        <v>40.291616590408985</v>
      </c>
      <c r="CW31" s="20">
        <f t="shared" si="13"/>
        <v>344.59111272829563</v>
      </c>
      <c r="CX31" s="59">
        <f t="shared" si="14"/>
        <v>586.62304668097727</v>
      </c>
      <c r="CY31" s="59">
        <f ca="1">AVERAGE(OFFSET($CX$3,0,0,'Données projet'!$E$13+1,1))-AVERAGE(OFFSET($H$3,0,0,'Données projet'!$E$13+1,1))</f>
        <v>404.10467005188889</v>
      </c>
      <c r="CZ31" s="59">
        <f t="shared" si="42"/>
        <v>372.70490129557845</v>
      </c>
      <c r="DA31" s="15">
        <f>IF(ISNA(VLOOKUP(A31,'Données projet'!$A$139:$I$159,3,0)),0,VLOOKUP(A31,'Données projet'!$A$139:$I$159,3,0))</f>
        <v>2</v>
      </c>
      <c r="DB31" s="15">
        <f>IF(ISNA(VLOOKUP(A31,'Données projet'!$A$139:$I$159,4,0)),0,VLOOKUP(A31,'Données projet'!$A$139:$I$159,4,0))</f>
        <v>67.61</v>
      </c>
      <c r="DC31" s="16">
        <f>IF(ISNA(VLOOKUP(A31,'Données projet'!$A$139:$I$159,5,0)),0%,VLOOKUP(A31,'Données projet'!$A$139:$I$159,5,0)*VLOOKUP('Données projet'!$B$13,Paramètres!$A$1:$I$89,7,0))</f>
        <v>5.5000000000000007E-2</v>
      </c>
      <c r="DD31" s="16">
        <f>IF(ISNA(VLOOKUP(A31,'Données projet'!$A$139:$I$159,6,0)),0%,VLOOKUP(A31,'Données projet'!$A$139:$I$159,6,0)*VLOOKUP('Données projet'!$B$13,Paramètres!$A$1:$I$89,7,0))</f>
        <v>0.44000000000000006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5.0504406476304169</v>
      </c>
      <c r="DG31" s="21">
        <f>EXP(-LN(2)/25)*DG30+(1-EXP(-LN(2)/25))/(LN(2)/25)*Calculateur!DB31*Calculateur!DD31*VLOOKUP('Données projet'!$B$13,Paramètres!$A$1:$I$89,3,0)*0.475*44/12</f>
        <v>39.258839477239725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44.309280124870142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3.1761666666666666</v>
      </c>
      <c r="DO31" s="12">
        <f>IF('Données projet'!$A$166&gt;35,DO30+DN31-DW30,IF(A31&lt;'Données projet'!$A$166,$DL$205^A31,IF(A31='Données projet'!$A$166,'Données projet'!$B$166,DO30+DN31-DW30)))</f>
        <v>88.93266666666662</v>
      </c>
      <c r="DP31" s="17">
        <f>DO31*VLOOKUP('Données projet'!$B$14,Paramètres!$A$1:$I$89,3,0)*VLOOKUP('Données projet'!$B$14,Paramètres!$A$1:$I$89,5,0)</f>
        <v>80.466276799999946</v>
      </c>
      <c r="DQ31" s="13">
        <f t="shared" si="43"/>
        <v>22.251152640842406</v>
      </c>
      <c r="DR31" s="20">
        <f t="shared" si="16"/>
        <v>178.89952294280042</v>
      </c>
      <c r="DS31" s="59">
        <f t="shared" si="17"/>
        <v>420.93145689548214</v>
      </c>
      <c r="DT31" s="59">
        <f ca="1">AVERAGE(OFFSET($DS$3,0,0,'Données projet'!$E$14+1,1))-AVERAGE(OFFSET($H$3,0,0,'Données projet'!$E$14+1,1))</f>
        <v>479.53113328461268</v>
      </c>
      <c r="DU31" s="59">
        <f t="shared" si="44"/>
        <v>244.6360664588118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28.810000000000002</v>
      </c>
      <c r="EJ31" s="12">
        <f>IF('Données projet'!$A$192&gt;35,EJ30+EI31-ER30,IF(A31&lt;'Données projet'!$A$192,$EG$205^A31,IF(A31='Données projet'!$A$192,'Données projet'!$B$192,EJ30+EI31-ER30)))</f>
        <v>352.94000000000005</v>
      </c>
      <c r="EK31" s="17">
        <f>EJ31*VLOOKUP('Données projet'!$B$15,Paramètres!$A$1:$I$89,3,0)*VLOOKUP('Données projet'!$B$15,Paramètres!$A$1:$I$89,5,0)</f>
        <v>155.99948000000003</v>
      </c>
      <c r="EL31" s="13">
        <f t="shared" si="45"/>
        <v>39.938861513736946</v>
      </c>
      <c r="EM31" s="20">
        <f t="shared" si="19"/>
        <v>341.25927813642528</v>
      </c>
      <c r="EN31" s="59">
        <f t="shared" si="20"/>
        <v>583.29121208910692</v>
      </c>
      <c r="EO31" s="59">
        <f ca="1">AVERAGE(OFFSET($EN$3,0,0,'Données projet'!$E$15+1,1))-AVERAGE(OFFSET($H$3,0,0,'Données projet'!$E$15+1,1))</f>
        <v>339.23049610652492</v>
      </c>
      <c r="EP31" s="59">
        <f t="shared" si="46"/>
        <v>448.85057640789785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32.988547306969515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32.988547306969515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7.6601960784313725</v>
      </c>
      <c r="FE31" s="12">
        <f>IF('Données projet'!$A$218&gt;35,FE30+FD31-FM30,IF(A31&lt;'Données projet'!$A$218,$FB$205^A31,IF(A31='Données projet'!$A$218,'Données projet'!$B$218,FE30+FD31-FM30)))</f>
        <v>214.48549019607836</v>
      </c>
      <c r="FF31" s="17">
        <f>FE31*VLOOKUP('Données projet'!$B$16,Paramètres!$A$1:$I$89,3,0)*VLOOKUP('Données projet'!$B$16,Paramètres!$A$1:$I$89,5,0)</f>
        <v>100.37920941176468</v>
      </c>
      <c r="FG31" s="13">
        <f t="shared" si="47"/>
        <v>27.052319051275138</v>
      </c>
      <c r="FH31" s="20">
        <f t="shared" si="22"/>
        <v>221.94324540646099</v>
      </c>
      <c r="FI31" s="59">
        <f t="shared" si="23"/>
        <v>463.97517935914266</v>
      </c>
      <c r="FJ31" s="59">
        <f ca="1">AVERAGE(OFFSET($FI$3,0,0,'Données projet'!$E$16+1,1))-AVERAGE(OFFSET($H$3,0,0,'Données projet'!$E$16+1,1))</f>
        <v>365.63278362856033</v>
      </c>
      <c r="FK31" s="59">
        <f t="shared" si="48"/>
        <v>290.68267842697452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5.0742105263157899</v>
      </c>
      <c r="FZ31" s="12">
        <f>IF('Données projet'!$A$244&gt;35,FZ30+FY31-GH30,IF(A31&lt;'Données projet'!$A$244,$FW$205^A31,IF(A31='Données projet'!$A$244,'Données projet'!$B$244,FZ30+FY31-GH30)))</f>
        <v>142.07789473684218</v>
      </c>
      <c r="GA31" s="17">
        <f>FZ31*VLOOKUP('Données projet'!$B$17,Paramètres!$A$1:$I$89,3,0)*VLOOKUP('Données projet'!$B$17,Paramètres!$A$1:$I$89,5,0)</f>
        <v>121.90283368421062</v>
      </c>
      <c r="GB31" s="13">
        <f t="shared" si="49"/>
        <v>32.118396823699698</v>
      </c>
      <c r="GC31" s="20">
        <f t="shared" si="25"/>
        <v>268.25364313461051</v>
      </c>
      <c r="GD31" s="59">
        <f t="shared" si="26"/>
        <v>510.28557708729221</v>
      </c>
      <c r="GE31" s="59">
        <f ca="1">AVERAGE(OFFSET($GD$3,0,0,'Données projet'!$E$17+1,1))-AVERAGE(OFFSET($H$3,0,0,'Données projet'!$E$17+1,1))</f>
        <v>460.46300302025099</v>
      </c>
      <c r="GF31" s="59">
        <f t="shared" si="50"/>
        <v>340.22534554615879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56.675375926488954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24.97666666666667</v>
      </c>
      <c r="GU31" s="12">
        <f>IF('Données projet'!$A$270&gt;35,GU30+GT31-HC30,IF(A31&lt;'Données projet'!$A$270,$GR$205^A31,IF(A31='Données projet'!$A$270,'Données projet'!$B$270,GU30+GT31-HC30)))</f>
        <v>291.4133333333333</v>
      </c>
      <c r="GV31" s="17">
        <f>GU31*VLOOKUP('Données projet'!$B$18,Paramètres!$A$1:$I$89,3,0)*VLOOKUP('Données projet'!$B$18,Paramètres!$A$1:$I$89,5,0)</f>
        <v>174.26517333333334</v>
      </c>
      <c r="GW31" s="13">
        <f t="shared" si="51"/>
        <v>44.043898520130064</v>
      </c>
      <c r="GX31" s="20">
        <f t="shared" si="28"/>
        <v>380.22163347811539</v>
      </c>
      <c r="GY31" s="59">
        <f t="shared" si="29"/>
        <v>622.25356743079715</v>
      </c>
      <c r="GZ31" s="59">
        <f ca="1">AVERAGE(OFFSET($GY$3,0,0,'Données projet'!$E$18+1,1))-AVERAGE(OFFSET($H$3,0,0,'Données projet'!$E$18+1,1))</f>
        <v>-15.950000000000017</v>
      </c>
      <c r="HA31" s="59">
        <f t="shared" si="52"/>
        <v>-15.950000000000017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3.5917429490519335</v>
      </c>
      <c r="HH31" s="21">
        <f>EXP(-LN(2)/25)*HH30+(1-EXP(-LN(2)/25))/(LN(2)/25)*Calculateur!HC31*Calculateur!HE31*VLOOKUP('Données projet'!$B$18,Paramètres!$A$1:$I$89,3,0)*0.475*44/12</f>
        <v>39.962883952687378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43.554626901739312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4.3499999999999996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15.949999999999998</v>
      </c>
      <c r="H32" s="67">
        <f t="shared" si="1"/>
        <v>192.86666666666667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146.30000000000001</v>
      </c>
      <c r="L32" s="12">
        <f>VLOOKUP(A32,'Données projet'!$A$35:$I$55,9,0)</f>
        <v>5.044827586206897</v>
      </c>
      <c r="M32" s="12">
        <f t="array" ref="M32">INDEX(L:L,MIN(IF(ISNUMBER(L32:L228),ROW(L32:L228),"")))</f>
        <v>5.044827586206897</v>
      </c>
      <c r="N32" s="13">
        <f>IF('Données projet'!$A$36&gt;35,N31+M32-V31,IF(A32&lt;'Données projet'!$A$36,$K$205^A32,IF(A32='Données projet'!$A$36,'Données projet'!$B$36,N31+M32-V31)))</f>
        <v>146.30000000000001</v>
      </c>
      <c r="O32" s="13">
        <f>N32*VLOOKUP('Données projet'!$B$9,Paramètres!$A$1:$I$89,3,0)*VLOOKUP('Données projet'!$B$9,Paramètres!$A$1:$I$89,5,0)</f>
        <v>127.80768000000002</v>
      </c>
      <c r="P32" s="13">
        <f t="shared" si="33"/>
        <v>33.489278198707517</v>
      </c>
      <c r="Q32" s="20">
        <f t="shared" si="2"/>
        <v>280.92553552941558</v>
      </c>
      <c r="R32" s="59">
        <f t="shared" si="0"/>
        <v>525.02725064467495</v>
      </c>
      <c r="S32" s="59">
        <f ca="1">AVERAGE(OFFSET($R$3,0,0,'Données projet'!$E$9+1,1))-AVERAGE(OFFSET($H$3,0,0,'Données projet'!$E$9+1,1))</f>
        <v>433.46721010558042</v>
      </c>
      <c r="T32" s="59">
        <f t="shared" si="34"/>
        <v>306.18862295347509</v>
      </c>
      <c r="U32" s="15">
        <f>IF(ISNA(VLOOKUP(A32,'Données projet'!$A$35:$I$55,3,0)),0,VLOOKUP(A32,'Données projet'!$A$35:$I$55,3,0))</f>
        <v>1</v>
      </c>
      <c r="V32" s="15">
        <f>IF(ISNA(VLOOKUP(A32,'Données projet'!$A$35:$I$55,4,0)),0,VLOOKUP(A32,'Données projet'!$A$35:$I$55,4,0))</f>
        <v>26.5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0.215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5.4806328751189355</v>
      </c>
      <c r="AB32" s="21">
        <f>EXP(-LN(2)/2)*AB31+(1-EXP(-LN(2)/2))/(LN(2)/2)*V32*Y32*VLOOKUP('Données projet'!$B$9,Paramètres!$A$1:$I$89,3,0)*0.475*44/12</f>
        <v>0</v>
      </c>
      <c r="AC32" s="22">
        <f t="shared" si="3"/>
        <v>5.4806328751189355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24.97666666666667</v>
      </c>
      <c r="AI32" s="13">
        <f>IF('Données projet'!$A$62&gt;35,AI31+AH32-AQ31,IF(A32&lt;'Données projet'!$A$62,$AF$205^A32,IF(A32='Données projet'!$A$62,'Données projet'!$B$62,AI31+AH32-AQ31)))</f>
        <v>316.39</v>
      </c>
      <c r="AJ32" s="13">
        <f>AI32*VLOOKUP('Données projet'!$B$10,Paramètres!$A$1:$I$89,3,0)*VLOOKUP('Données projet'!$B$10,Paramètres!$A$1:$I$89,5,0)</f>
        <v>189.20122000000001</v>
      </c>
      <c r="AK32" s="13">
        <f t="shared" si="35"/>
        <v>47.363310656691716</v>
      </c>
      <c r="AL32" s="20">
        <f t="shared" si="4"/>
        <v>412.01655756040469</v>
      </c>
      <c r="AM32" s="59">
        <f t="shared" si="5"/>
        <v>656.11827267566412</v>
      </c>
      <c r="AN32" s="59">
        <f ca="1">AVERAGE(OFFSET($AM$3,0,0,'Données projet'!$E$10+1,1))-AVERAGE(OFFSET($H$3,0,0,'Données projet'!$E$10+1,1))</f>
        <v>400.1942260113168</v>
      </c>
      <c r="AO32" s="59">
        <f t="shared" si="36"/>
        <v>497.04866930593926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3.5213110605679057</v>
      </c>
      <c r="AV32" s="21">
        <f>EXP(-LN(2)/25)*AV31+(1-EXP(-LN(2)/25))/(LN(2)/25)*Calculateur!AQ32*Calculateur!AS32*VLOOKUP('Données projet'!$B$10,Paramètres!$A$1:$I$89,3,0)*0.475*44/12</f>
        <v>38.87009678944441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42.391407850012314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284.78505691662588</v>
      </c>
      <c r="BJ32" s="59">
        <f t="shared" si="38"/>
        <v>664.42623058686308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380.64318988568527</v>
      </c>
      <c r="CE32" s="59">
        <f t="shared" si="40"/>
        <v>885.24651320439159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162.42042355291628</v>
      </c>
      <c r="CL32" s="21">
        <f>EXP(-LN(2)/25)*CL31+(1-EXP(-LN(2)/25))/(LN(2)/25)*Calculateur!CG32*Calculateur!CI32*VLOOKUP('Données projet'!$B$12,Paramètres!$A$1:$I$89,3,0)*0.475*44/12</f>
        <v>42.128401851025544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204.54882540394181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23.267142857142858</v>
      </c>
      <c r="CT32" s="12">
        <f>IF('Données projet'!$A$140&gt;35,CT31+CS32-DB31,IF(A32&lt;'Données projet'!$A$140,$CQ$205^A32,IF(A32='Données projet'!$A$140,'Données projet'!$B$140,CT31+CS32-DB31)))</f>
        <v>237.5171428571428</v>
      </c>
      <c r="CU32" s="17">
        <f>CT32*VLOOKUP('Données projet'!$B$13,Paramètres!$A$1:$I$89,3,0)*VLOOKUP('Données projet'!$B$13,Paramètres!$A$1:$I$89,5,0)</f>
        <v>132.77208285714283</v>
      </c>
      <c r="CV32" s="13">
        <f t="shared" si="41"/>
        <v>34.636117583630416</v>
      </c>
      <c r="CW32" s="20">
        <f t="shared" si="13"/>
        <v>291.56928243434669</v>
      </c>
      <c r="CX32" s="59">
        <f t="shared" si="14"/>
        <v>535.67099754960611</v>
      </c>
      <c r="CY32" s="59">
        <f ca="1">AVERAGE(OFFSET($CX$3,0,0,'Données projet'!$E$13+1,1))-AVERAGE(OFFSET($H$3,0,0,'Données projet'!$E$13+1,1))</f>
        <v>404.10467005188889</v>
      </c>
      <c r="CZ32" s="59">
        <f t="shared" si="42"/>
        <v>372.70490129557845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4.9514045869950092</v>
      </c>
      <c r="DG32" s="21">
        <f>EXP(-LN(2)/25)*DG31+(1-EXP(-LN(2)/25))/(LN(2)/25)*Calculateur!DB32*Calculateur!DD32*VLOOKUP('Données projet'!$B$13,Paramètres!$A$1:$I$89,3,0)*0.475*44/12</f>
        <v>38.185304447201965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43.136709034196976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3.1761666666666666</v>
      </c>
      <c r="DO32" s="12">
        <f>IF('Données projet'!$A$166&gt;35,DO31+DN32-DW31,IF(A32&lt;'Données projet'!$A$166,$DL$205^A32,IF(A32='Données projet'!$A$166,'Données projet'!$B$166,DO31+DN32-DW31)))</f>
        <v>92.10883333333328</v>
      </c>
      <c r="DP32" s="17">
        <f>DO32*VLOOKUP('Données projet'!$B$14,Paramètres!$A$1:$I$89,3,0)*VLOOKUP('Données projet'!$B$14,Paramètres!$A$1:$I$89,5,0)</f>
        <v>83.340072399999954</v>
      </c>
      <c r="DQ32" s="13">
        <f t="shared" si="43"/>
        <v>22.951894945710382</v>
      </c>
      <c r="DR32" s="20">
        <f t="shared" si="16"/>
        <v>185.12517646044549</v>
      </c>
      <c r="DS32" s="59">
        <f t="shared" si="17"/>
        <v>429.22689157570488</v>
      </c>
      <c r="DT32" s="59">
        <f ca="1">AVERAGE(OFFSET($DS$3,0,0,'Données projet'!$E$14+1,1))-AVERAGE(OFFSET($H$3,0,0,'Données projet'!$E$14+1,1))</f>
        <v>479.53113328461268</v>
      </c>
      <c r="DU32" s="59">
        <f t="shared" si="44"/>
        <v>244.6360664588118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28.810000000000002</v>
      </c>
      <c r="EJ32" s="12">
        <f>IF('Données projet'!$A$192&gt;35,EJ31+EI32-ER31,IF(A32&lt;'Données projet'!$A$192,$EG$205^A32,IF(A32='Données projet'!$A$192,'Données projet'!$B$192,EJ31+EI32-ER31)))</f>
        <v>381.75000000000006</v>
      </c>
      <c r="EK32" s="17">
        <f>EJ32*VLOOKUP('Données projet'!$B$15,Paramètres!$A$1:$I$89,3,0)*VLOOKUP('Données projet'!$B$15,Paramètres!$A$1:$I$89,5,0)</f>
        <v>168.73350000000002</v>
      </c>
      <c r="EL32" s="13">
        <f t="shared" si="45"/>
        <v>42.806246384447611</v>
      </c>
      <c r="EM32" s="20">
        <f t="shared" si="19"/>
        <v>368.43172495291293</v>
      </c>
      <c r="EN32" s="59">
        <f t="shared" si="20"/>
        <v>612.53344006817235</v>
      </c>
      <c r="EO32" s="59">
        <f ca="1">AVERAGE(OFFSET($EN$3,0,0,'Données projet'!$E$15+1,1))-AVERAGE(OFFSET($H$3,0,0,'Données projet'!$E$15+1,1))</f>
        <v>339.23049610652492</v>
      </c>
      <c r="EP32" s="59">
        <f t="shared" si="46"/>
        <v>448.85057640789785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32.08647374606813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32.08647374606813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7.6601960784313725</v>
      </c>
      <c r="FE32" s="12">
        <f>IF('Données projet'!$A$218&gt;35,FE31+FD32-FM31,IF(A32&lt;'Données projet'!$A$218,$FB$205^A32,IF(A32='Données projet'!$A$218,'Données projet'!$B$218,FE31+FD32-FM31)))</f>
        <v>222.14568627450973</v>
      </c>
      <c r="FF32" s="17">
        <f>FE32*VLOOKUP('Données projet'!$B$16,Paramètres!$A$1:$I$89,3,0)*VLOOKUP('Données projet'!$B$16,Paramètres!$A$1:$I$89,5,0)</f>
        <v>103.96418117647056</v>
      </c>
      <c r="FG32" s="13">
        <f t="shared" si="47"/>
        <v>27.904261631958295</v>
      </c>
      <c r="FH32" s="20">
        <f t="shared" si="22"/>
        <v>229.67087122468024</v>
      </c>
      <c r="FI32" s="59">
        <f t="shared" si="23"/>
        <v>473.77258633993961</v>
      </c>
      <c r="FJ32" s="59">
        <f ca="1">AVERAGE(OFFSET($FI$3,0,0,'Données projet'!$E$16+1,1))-AVERAGE(OFFSET($H$3,0,0,'Données projet'!$E$16+1,1))</f>
        <v>365.63278362856033</v>
      </c>
      <c r="FK32" s="59">
        <f t="shared" si="48"/>
        <v>290.68267842697452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5.0742105263157899</v>
      </c>
      <c r="FZ32" s="12">
        <f>IF('Données projet'!$A$244&gt;35,FZ31+FY32-GH31,IF(A32&lt;'Données projet'!$A$244,$FW$205^A32,IF(A32='Données projet'!$A$244,'Données projet'!$B$244,FZ31+FY32-GH31)))</f>
        <v>147.15210526315798</v>
      </c>
      <c r="GA32" s="17">
        <f>FZ32*VLOOKUP('Données projet'!$B$17,Paramètres!$A$1:$I$89,3,0)*VLOOKUP('Données projet'!$B$17,Paramètres!$A$1:$I$89,5,0)</f>
        <v>126.25650631578957</v>
      </c>
      <c r="GB32" s="13">
        <f t="shared" si="49"/>
        <v>33.129882376029741</v>
      </c>
      <c r="GC32" s="20">
        <f t="shared" si="25"/>
        <v>277.59796030491867</v>
      </c>
      <c r="GD32" s="59">
        <f t="shared" si="26"/>
        <v>521.6996754201781</v>
      </c>
      <c r="GE32" s="59">
        <f ca="1">AVERAGE(OFFSET($GD$3,0,0,'Données projet'!$E$17+1,1))-AVERAGE(OFFSET($H$3,0,0,'Données projet'!$E$17+1,1))</f>
        <v>460.46300302025099</v>
      </c>
      <c r="GF32" s="59">
        <f t="shared" si="50"/>
        <v>340.22534554615879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56.906528364767716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24.97666666666667</v>
      </c>
      <c r="GU32" s="12">
        <f>IF('Données projet'!$A$270&gt;35,GU31+GT32-HC31,IF(A32&lt;'Données projet'!$A$270,$GR$205^A32,IF(A32='Données projet'!$A$270,'Données projet'!$B$270,GU31+GT32-HC31)))</f>
        <v>316.39</v>
      </c>
      <c r="GV32" s="17">
        <f>GU32*VLOOKUP('Données projet'!$B$18,Paramètres!$A$1:$I$89,3,0)*VLOOKUP('Données projet'!$B$18,Paramètres!$A$1:$I$89,5,0)</f>
        <v>189.20122000000001</v>
      </c>
      <c r="GW32" s="13">
        <f t="shared" si="51"/>
        <v>47.363310656691716</v>
      </c>
      <c r="GX32" s="20">
        <f t="shared" si="28"/>
        <v>412.01655756040469</v>
      </c>
      <c r="GY32" s="59">
        <f t="shared" si="29"/>
        <v>656.11827267566412</v>
      </c>
      <c r="GZ32" s="59">
        <f ca="1">AVERAGE(OFFSET($GY$3,0,0,'Données projet'!$E$18+1,1))-AVERAGE(OFFSET($H$3,0,0,'Données projet'!$E$18+1,1))</f>
        <v>-15.950000000000017</v>
      </c>
      <c r="HA32" s="59">
        <f t="shared" si="52"/>
        <v>-15.950000000000017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3.5213110605679057</v>
      </c>
      <c r="HH32" s="21">
        <f>EXP(-LN(2)/25)*HH31+(1-EXP(-LN(2)/25))/(LN(2)/25)*Calculateur!HC32*Calculateur!HE32*VLOOKUP('Données projet'!$B$18,Paramètres!$A$1:$I$89,3,0)*0.475*44/12</f>
        <v>38.87009678944441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42.391407850012314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4.3499999999999996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15.949999999999998</v>
      </c>
      <c r="H33" s="67">
        <f t="shared" si="1"/>
        <v>192.86666666666667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11.559999999999997</v>
      </c>
      <c r="N33" s="13">
        <f>IF('Données projet'!$A$36&gt;35,N32+M33-V32,IF(A33&lt;'Données projet'!$A$36,$K$205^A33,IF(A33='Données projet'!$A$36,'Données projet'!$B$36,N32+M33-V32)))</f>
        <v>131.36000000000001</v>
      </c>
      <c r="O33" s="13">
        <f>N33*VLOOKUP('Données projet'!$B$9,Paramètres!$A$1:$I$89,3,0)*VLOOKUP('Données projet'!$B$9,Paramètres!$A$1:$I$89,5,0)</f>
        <v>114.75609600000003</v>
      </c>
      <c r="P33" s="13">
        <f t="shared" si="33"/>
        <v>30.44878242778675</v>
      </c>
      <c r="Q33" s="20">
        <f t="shared" si="2"/>
        <v>252.89849659506197</v>
      </c>
      <c r="R33" s="59">
        <f t="shared" si="0"/>
        <v>499.05528962014176</v>
      </c>
      <c r="S33" s="59">
        <f ca="1">AVERAGE(OFFSET($R$3,0,0,'Données projet'!$E$9+1,1))-AVERAGE(OFFSET($H$3,0,0,'Données projet'!$E$9+1,1))</f>
        <v>433.46721010558042</v>
      </c>
      <c r="T33" s="59">
        <f t="shared" si="34"/>
        <v>306.18862295347509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5.330764680934851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5.330764680934851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24.97666666666667</v>
      </c>
      <c r="AI33" s="13">
        <f>IF('Données projet'!$A$62&gt;35,AI32+AH33-AQ32,IF(A33&lt;'Données projet'!$A$62,$AF$205^A33,IF(A33='Données projet'!$A$62,'Données projet'!$B$62,AI32+AH33-AQ32)))</f>
        <v>341.36666666666667</v>
      </c>
      <c r="AJ33" s="13">
        <f>AI33*VLOOKUP('Données projet'!$B$10,Paramètres!$A$1:$I$89,3,0)*VLOOKUP('Données projet'!$B$10,Paramètres!$A$1:$I$89,5,0)</f>
        <v>204.1372666666667</v>
      </c>
      <c r="AK33" s="13">
        <f t="shared" si="35"/>
        <v>50.65232737019042</v>
      </c>
      <c r="AL33" s="20">
        <f t="shared" si="4"/>
        <v>443.75854294752617</v>
      </c>
      <c r="AM33" s="59">
        <f t="shared" si="5"/>
        <v>689.91533597260593</v>
      </c>
      <c r="AN33" s="59">
        <f ca="1">AVERAGE(OFFSET($AM$3,0,0,'Données projet'!$E$10+1,1))-AVERAGE(OFFSET($H$3,0,0,'Données projet'!$E$10+1,1))</f>
        <v>400.1942260113168</v>
      </c>
      <c r="AO33" s="59">
        <f t="shared" si="36"/>
        <v>497.04866930593926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3.4522602984578397</v>
      </c>
      <c r="AV33" s="21">
        <f>EXP(-LN(2)/25)*AV32+(1-EXP(-LN(2)/25))/(LN(2)/25)*Calculateur!AQ33*Calculateur!AS33*VLOOKUP('Données projet'!$B$10,Paramètres!$A$1:$I$89,3,0)*0.475*44/12</f>
        <v>37.8071919486475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41.259452247105337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284.78505691662588</v>
      </c>
      <c r="BJ33" s="59">
        <f t="shared" si="38"/>
        <v>664.42623058686308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380.64318988568527</v>
      </c>
      <c r="CE33" s="59">
        <f t="shared" si="40"/>
        <v>885.24651320439159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159.23545811371994</v>
      </c>
      <c r="CL33" s="21">
        <f>EXP(-LN(2)/25)*CL32+(1-EXP(-LN(2)/25))/(LN(2)/25)*Calculateur!CG33*Calculateur!CI33*VLOOKUP('Données projet'!$B$12,Paramètres!$A$1:$I$89,3,0)*0.475*44/12</f>
        <v>40.976398486972883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200.21185660069284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23.267142857142858</v>
      </c>
      <c r="CT33" s="12">
        <f>IF('Données projet'!$A$140&gt;35,CT32+CS33-DB32,IF(A33&lt;'Données projet'!$A$140,$CQ$205^A33,IF(A33='Données projet'!$A$140,'Données projet'!$B$140,CT32+CS33-DB32)))</f>
        <v>260.78428571428566</v>
      </c>
      <c r="CU33" s="17">
        <f>CT33*VLOOKUP('Données projet'!$B$13,Paramètres!$A$1:$I$89,3,0)*VLOOKUP('Données projet'!$B$13,Paramètres!$A$1:$I$89,5,0)</f>
        <v>145.7784157142857</v>
      </c>
      <c r="CV33" s="13">
        <f t="shared" si="41"/>
        <v>37.617627311837914</v>
      </c>
      <c r="CW33" s="20">
        <f t="shared" si="13"/>
        <v>319.4147749371653</v>
      </c>
      <c r="CX33" s="59">
        <f t="shared" si="14"/>
        <v>565.57156796224513</v>
      </c>
      <c r="CY33" s="59">
        <f ca="1">AVERAGE(OFFSET($CX$3,0,0,'Données projet'!$E$13+1,1))-AVERAGE(OFFSET($H$3,0,0,'Données projet'!$E$13+1,1))</f>
        <v>404.10467005188889</v>
      </c>
      <c r="CZ33" s="59">
        <f t="shared" si="42"/>
        <v>372.70490129557845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4.8543105631026293</v>
      </c>
      <c r="DG33" s="21">
        <f>EXP(-LN(2)/25)*DG32+(1-EXP(-LN(2)/25))/(LN(2)/25)*Calculateur!DB33*Calculateur!DD33*VLOOKUP('Données projet'!$B$13,Paramètres!$A$1:$I$89,3,0)*0.475*44/12</f>
        <v>37.141125289015342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41.995435852117971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3.1761666666666666</v>
      </c>
      <c r="DO33" s="12">
        <f>IF('Données projet'!$A$166&gt;35,DO32+DN33-DW32,IF(A33&lt;'Données projet'!$A$166,$DL$205^A33,IF(A33='Données projet'!$A$166,'Données projet'!$B$166,DO32+DN33-DW32)))</f>
        <v>95.28499999999994</v>
      </c>
      <c r="DP33" s="17">
        <f>DO33*VLOOKUP('Données projet'!$B$14,Paramètres!$A$1:$I$89,3,0)*VLOOKUP('Données projet'!$B$14,Paramètres!$A$1:$I$89,5,0)</f>
        <v>86.213867999999948</v>
      </c>
      <c r="DQ33" s="13">
        <f t="shared" si="43"/>
        <v>23.649829665300725</v>
      </c>
      <c r="DR33" s="20">
        <f t="shared" si="16"/>
        <v>191.34594010039868</v>
      </c>
      <c r="DS33" s="59">
        <f t="shared" si="17"/>
        <v>437.50273312547847</v>
      </c>
      <c r="DT33" s="59">
        <f ca="1">AVERAGE(OFFSET($DS$3,0,0,'Données projet'!$E$14+1,1))-AVERAGE(OFFSET($H$3,0,0,'Données projet'!$E$14+1,1))</f>
        <v>479.53113328461268</v>
      </c>
      <c r="DU33" s="59">
        <f t="shared" si="44"/>
        <v>244.6360664588118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410.56</v>
      </c>
      <c r="EH33" s="12">
        <f>VLOOKUP(A33,'Données projet'!$A$191:$I$211,9,0)</f>
        <v>28.810000000000002</v>
      </c>
      <c r="EI33" s="12">
        <f t="array" ref="EI33">INDEX(EH:EH,MIN(IF(ISNUMBER(EH33:EH229),ROW(EH33:EH229),"")))</f>
        <v>28.810000000000002</v>
      </c>
      <c r="EJ33" s="12">
        <f>IF('Données projet'!$A$192&gt;35,EJ32+EI33-ER32,IF(A33&lt;'Données projet'!$A$192,$EG$205^A33,IF(A33='Données projet'!$A$192,'Données projet'!$B$192,EJ32+EI33-ER32)))</f>
        <v>410.56000000000006</v>
      </c>
      <c r="EK33" s="17">
        <f>EJ33*VLOOKUP('Données projet'!$B$15,Paramètres!$A$1:$I$89,3,0)*VLOOKUP('Données projet'!$B$15,Paramètres!$A$1:$I$89,5,0)</f>
        <v>181.46752000000004</v>
      </c>
      <c r="EL33" s="13">
        <f t="shared" si="45"/>
        <v>45.648527875302193</v>
      </c>
      <c r="EM33" s="20">
        <f t="shared" si="19"/>
        <v>395.5604500494847</v>
      </c>
      <c r="EN33" s="59">
        <f t="shared" si="20"/>
        <v>641.71724307456452</v>
      </c>
      <c r="EO33" s="59">
        <f ca="1">AVERAGE(OFFSET($EN$3,0,0,'Données projet'!$E$15+1,1))-AVERAGE(OFFSET($H$3,0,0,'Données projet'!$E$15+1,1))</f>
        <v>339.23049610652492</v>
      </c>
      <c r="EP33" s="59">
        <f t="shared" si="46"/>
        <v>448.85057640789785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80.97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0.55000000000000004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57.218093889652266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57.218093889652266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7.6601960784313725</v>
      </c>
      <c r="FE33" s="12">
        <f>IF('Données projet'!$A$218&gt;35,FE32+FD33-FM32,IF(A33&lt;'Données projet'!$A$218,$FB$205^A33,IF(A33='Données projet'!$A$218,'Données projet'!$B$218,FE32+FD33-FM32)))</f>
        <v>229.8058823529411</v>
      </c>
      <c r="FF33" s="17">
        <f>FE33*VLOOKUP('Données projet'!$B$16,Paramètres!$A$1:$I$89,3,0)*VLOOKUP('Données projet'!$B$16,Paramètres!$A$1:$I$89,5,0)</f>
        <v>107.54915294117643</v>
      </c>
      <c r="FG33" s="13">
        <f t="shared" si="47"/>
        <v>28.752790830246401</v>
      </c>
      <c r="FH33" s="20">
        <f t="shared" si="22"/>
        <v>237.3925520685614</v>
      </c>
      <c r="FI33" s="59">
        <f t="shared" si="23"/>
        <v>483.54934509364119</v>
      </c>
      <c r="FJ33" s="59">
        <f ca="1">AVERAGE(OFFSET($FI$3,0,0,'Données projet'!$E$16+1,1))-AVERAGE(OFFSET($H$3,0,0,'Données projet'!$E$16+1,1))</f>
        <v>365.63278362856033</v>
      </c>
      <c r="FK33" s="59">
        <f t="shared" si="48"/>
        <v>290.68267842697452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5.0742105263157899</v>
      </c>
      <c r="FZ33" s="12">
        <f>IF('Données projet'!$A$244&gt;35,FZ32+FY33-GH32,IF(A33&lt;'Données projet'!$A$244,$FW$205^A33,IF(A33='Données projet'!$A$244,'Données projet'!$B$244,FZ32+FY33-GH32)))</f>
        <v>152.22631578947377</v>
      </c>
      <c r="GA33" s="17">
        <f>FZ33*VLOOKUP('Données projet'!$B$17,Paramètres!$A$1:$I$89,3,0)*VLOOKUP('Données projet'!$B$17,Paramètres!$A$1:$I$89,5,0)</f>
        <v>130.6101789473685</v>
      </c>
      <c r="GB33" s="13">
        <f t="shared" si="49"/>
        <v>34.137315323107472</v>
      </c>
      <c r="GC33" s="20">
        <f t="shared" si="25"/>
        <v>286.93521918774564</v>
      </c>
      <c r="GD33" s="59">
        <f t="shared" si="26"/>
        <v>533.09201221282547</v>
      </c>
      <c r="GE33" s="59">
        <f ca="1">AVERAGE(OFFSET($GD$3,0,0,'Données projet'!$E$17+1,1))-AVERAGE(OFFSET($H$3,0,0,'Données projet'!$E$17+1,1))</f>
        <v>460.46300302025099</v>
      </c>
      <c r="GF33" s="59">
        <f t="shared" si="50"/>
        <v>340.22534554615879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57.133670825021774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24.97666666666667</v>
      </c>
      <c r="GU33" s="12">
        <f>IF('Données projet'!$A$270&gt;35,GU32+GT33-HC32,IF(A33&lt;'Données projet'!$A$270,$GR$205^A33,IF(A33='Données projet'!$A$270,'Données projet'!$B$270,GU32+GT33-HC32)))</f>
        <v>341.36666666666667</v>
      </c>
      <c r="GV33" s="17">
        <f>GU33*VLOOKUP('Données projet'!$B$18,Paramètres!$A$1:$I$89,3,0)*VLOOKUP('Données projet'!$B$18,Paramètres!$A$1:$I$89,5,0)</f>
        <v>204.1372666666667</v>
      </c>
      <c r="GW33" s="13">
        <f t="shared" si="51"/>
        <v>50.65232737019042</v>
      </c>
      <c r="GX33" s="20">
        <f t="shared" si="28"/>
        <v>443.75854294752617</v>
      </c>
      <c r="GY33" s="59">
        <f t="shared" si="29"/>
        <v>689.91533597260593</v>
      </c>
      <c r="GZ33" s="59">
        <f ca="1">AVERAGE(OFFSET($GY$3,0,0,'Données projet'!$E$18+1,1))-AVERAGE(OFFSET($H$3,0,0,'Données projet'!$E$18+1,1))</f>
        <v>-15.950000000000017</v>
      </c>
      <c r="HA33" s="59">
        <f t="shared" si="52"/>
        <v>-15.950000000000017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3.4522602984578397</v>
      </c>
      <c r="HH33" s="21">
        <f>EXP(-LN(2)/25)*HH32+(1-EXP(-LN(2)/25))/(LN(2)/25)*Calculateur!HC33*Calculateur!HE33*VLOOKUP('Données projet'!$B$18,Paramètres!$A$1:$I$89,3,0)*0.475*44/12</f>
        <v>37.8071919486475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41.259452247105337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4.3499999999999996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15.949999999999998</v>
      </c>
      <c r="H34" s="67">
        <f t="shared" si="1"/>
        <v>192.86666666666667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11.559999999999997</v>
      </c>
      <c r="N34" s="13">
        <f>IF('Données projet'!$A$36&gt;35,N33+M34-V33,IF(A34&lt;'Données projet'!$A$36,$K$205^A34,IF(A34='Données projet'!$A$36,'Données projet'!$B$36,N33+M34-V33)))</f>
        <v>142.92000000000002</v>
      </c>
      <c r="O34" s="13">
        <f>N34*VLOOKUP('Données projet'!$B$9,Paramètres!$A$1:$I$89,3,0)*VLOOKUP('Données projet'!$B$9,Paramètres!$A$1:$I$89,5,0)</f>
        <v>124.85491200000003</v>
      </c>
      <c r="P34" s="13">
        <f t="shared" si="33"/>
        <v>32.804700877507614</v>
      </c>
      <c r="Q34" s="20">
        <f t="shared" si="2"/>
        <v>274.59049242832583</v>
      </c>
      <c r="R34" s="59">
        <f t="shared" si="0"/>
        <v>521.56569295681038</v>
      </c>
      <c r="S34" s="59">
        <f ca="1">AVERAGE(OFFSET($R$3,0,0,'Données projet'!$E$9+1,1))-AVERAGE(OFFSET($H$3,0,0,'Données projet'!$E$9+1,1))</f>
        <v>433.46721010558042</v>
      </c>
      <c r="T34" s="59">
        <f t="shared" si="34"/>
        <v>306.18862295347509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5.1849946404019569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5.1849946404019569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24.97666666666667</v>
      </c>
      <c r="AI34" s="13">
        <f>IF('Données projet'!$A$62&gt;35,AI33+AH34-AQ33,IF(A34&lt;'Données projet'!$A$62,$AF$205^A34,IF(A34='Données projet'!$A$62,'Données projet'!$B$62,AI33+AH34-AQ33)))</f>
        <v>366.34333333333336</v>
      </c>
      <c r="AJ34" s="13">
        <f>AI34*VLOOKUP('Données projet'!$B$10,Paramètres!$A$1:$I$89,3,0)*VLOOKUP('Données projet'!$B$10,Paramètres!$A$1:$I$89,5,0)</f>
        <v>219.07331333333337</v>
      </c>
      <c r="AK34" s="13">
        <f t="shared" si="35"/>
        <v>53.913425498604823</v>
      </c>
      <c r="AL34" s="20">
        <f t="shared" si="4"/>
        <v>475.45190346562566</v>
      </c>
      <c r="AM34" s="59">
        <f t="shared" si="5"/>
        <v>722.42710399411021</v>
      </c>
      <c r="AN34" s="59">
        <f ca="1">AVERAGE(OFFSET($AM$3,0,0,'Données projet'!$E$10+1,1))-AVERAGE(OFFSET($H$3,0,0,'Données projet'!$E$10+1,1))</f>
        <v>400.1942260113168</v>
      </c>
      <c r="AO34" s="59">
        <f t="shared" si="36"/>
        <v>497.04866930593926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3.3845635796759459</v>
      </c>
      <c r="AV34" s="21">
        <f>EXP(-LN(2)/25)*AV33+(1-EXP(-LN(2)/25))/(LN(2)/25)*Calculateur!AQ34*Calculateur!AS34*VLOOKUP('Données projet'!$B$10,Paramètres!$A$1:$I$89,3,0)*0.475*44/12</f>
        <v>36.773352296617915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40.157915876293863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284.78505691662588</v>
      </c>
      <c r="BJ34" s="59">
        <f t="shared" si="38"/>
        <v>664.42623058686308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380.64318988568527</v>
      </c>
      <c r="CE34" s="59">
        <f t="shared" si="40"/>
        <v>885.24651320439159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156.11294790414914</v>
      </c>
      <c r="CL34" s="21">
        <f>EXP(-LN(2)/25)*CL33+(1-EXP(-LN(2)/25))/(LN(2)/25)*Calculateur!CG34*Calculateur!CI34*VLOOKUP('Données projet'!$B$12,Paramètres!$A$1:$I$89,3,0)*0.475*44/12</f>
        <v>39.855896715491468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195.96884461964061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23.267142857142858</v>
      </c>
      <c r="CT34" s="12">
        <f>IF('Données projet'!$A$140&gt;35,CT33+CS34-DB33,IF(A34&lt;'Données projet'!$A$140,$CQ$205^A34,IF(A34='Données projet'!$A$140,'Données projet'!$B$140,CT33+CS34-DB33)))</f>
        <v>284.05142857142852</v>
      </c>
      <c r="CU34" s="17">
        <f>CT34*VLOOKUP('Données projet'!$B$13,Paramètres!$A$1:$I$89,3,0)*VLOOKUP('Données projet'!$B$13,Paramètres!$A$1:$I$89,5,0)</f>
        <v>158.78474857142854</v>
      </c>
      <c r="CV34" s="13">
        <f t="shared" si="41"/>
        <v>40.568290544193985</v>
      </c>
      <c r="CW34" s="20">
        <f t="shared" si="13"/>
        <v>347.20654312637589</v>
      </c>
      <c r="CX34" s="59">
        <f t="shared" si="14"/>
        <v>594.1817436548605</v>
      </c>
      <c r="CY34" s="59">
        <f ca="1">AVERAGE(OFFSET($CX$3,0,0,'Données projet'!$E$13+1,1))-AVERAGE(OFFSET($H$3,0,0,'Données projet'!$E$13+1,1))</f>
        <v>404.10467005188889</v>
      </c>
      <c r="CZ34" s="59">
        <f t="shared" si="42"/>
        <v>372.70490129557845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4.7591204937972718</v>
      </c>
      <c r="DG34" s="21">
        <f>EXP(-LN(2)/25)*DG33+(1-EXP(-LN(2)/25))/(LN(2)/25)*Calculateur!DB34*Calculateur!DD34*VLOOKUP('Données projet'!$B$13,Paramètres!$A$1:$I$89,3,0)*0.475*44/12</f>
        <v>36.125499264820327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40.884619758617596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3.1761666666666666</v>
      </c>
      <c r="DO34" s="12">
        <f>IF('Données projet'!$A$166&gt;35,DO33+DN34-DW33,IF(A34&lt;'Données projet'!$A$166,$DL$205^A34,IF(A34='Données projet'!$A$166,'Données projet'!$B$166,DO33+DN34-DW33)))</f>
        <v>98.4611666666666</v>
      </c>
      <c r="DP34" s="17">
        <f>DO34*VLOOKUP('Données projet'!$B$14,Paramètres!$A$1:$I$89,3,0)*VLOOKUP('Données projet'!$B$14,Paramètres!$A$1:$I$89,5,0)</f>
        <v>89.087663599999928</v>
      </c>
      <c r="DQ34" s="13">
        <f t="shared" si="43"/>
        <v>24.345061116029331</v>
      </c>
      <c r="DR34" s="20">
        <f t="shared" si="16"/>
        <v>197.56199554708428</v>
      </c>
      <c r="DS34" s="59">
        <f t="shared" si="17"/>
        <v>444.53719607556889</v>
      </c>
      <c r="DT34" s="59">
        <f ca="1">AVERAGE(OFFSET($DS$3,0,0,'Données projet'!$E$14+1,1))-AVERAGE(OFFSET($H$3,0,0,'Données projet'!$E$14+1,1))</f>
        <v>479.53113328461268</v>
      </c>
      <c r="DU34" s="59">
        <f t="shared" si="44"/>
        <v>244.6360664588118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28.636666666666667</v>
      </c>
      <c r="EJ34" s="12">
        <f>IF('Données projet'!$A$192&gt;35,EJ33+EI34-ER33,IF(A34&lt;'Données projet'!$A$192,$EG$205^A34,IF(A34='Données projet'!$A$192,'Données projet'!$B$192,EJ33+EI34-ER33)))</f>
        <v>358.22666666666669</v>
      </c>
      <c r="EK34" s="17">
        <f>EJ34*VLOOKUP('Données projet'!$B$15,Paramètres!$A$1:$I$89,3,0)*VLOOKUP('Données projet'!$B$15,Paramètres!$A$1:$I$89,5,0)</f>
        <v>158.33618666666669</v>
      </c>
      <c r="EL34" s="13">
        <f t="shared" si="45"/>
        <v>40.467009658698856</v>
      </c>
      <c r="EM34" s="20">
        <f t="shared" si="19"/>
        <v>346.24890026667828</v>
      </c>
      <c r="EN34" s="59">
        <f t="shared" si="20"/>
        <v>593.22410079516294</v>
      </c>
      <c r="EO34" s="59">
        <f ca="1">AVERAGE(OFFSET($EN$3,0,0,'Données projet'!$E$15+1,1))-AVERAGE(OFFSET($H$3,0,0,'Données projet'!$E$15+1,1))</f>
        <v>339.23049610652492</v>
      </c>
      <c r="EP34" s="59">
        <f t="shared" si="46"/>
        <v>448.85057640789785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55.65346210327094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55.65346210327094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7.6601960784313725</v>
      </c>
      <c r="FE34" s="12">
        <f>IF('Données projet'!$A$218&gt;35,FE33+FD34-FM33,IF(A34&lt;'Données projet'!$A$218,$FB$205^A34,IF(A34='Données projet'!$A$218,'Données projet'!$B$218,FE33+FD34-FM33)))</f>
        <v>237.46607843137247</v>
      </c>
      <c r="FF34" s="17">
        <f>FE34*VLOOKUP('Données projet'!$B$16,Paramètres!$A$1:$I$89,3,0)*VLOOKUP('Données projet'!$B$16,Paramètres!$A$1:$I$89,5,0)</f>
        <v>111.13412470588231</v>
      </c>
      <c r="FG34" s="13">
        <f t="shared" si="47"/>
        <v>29.59803347107345</v>
      </c>
      <c r="FH34" s="20">
        <f t="shared" si="22"/>
        <v>245.10850882486457</v>
      </c>
      <c r="FI34" s="59">
        <f t="shared" si="23"/>
        <v>492.08370935334915</v>
      </c>
      <c r="FJ34" s="59">
        <f ca="1">AVERAGE(OFFSET($FI$3,0,0,'Données projet'!$E$16+1,1))-AVERAGE(OFFSET($H$3,0,0,'Données projet'!$E$16+1,1))</f>
        <v>365.63278362856033</v>
      </c>
      <c r="FK34" s="59">
        <f t="shared" si="48"/>
        <v>290.68267842697452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5.0742105263157899</v>
      </c>
      <c r="FZ34" s="12">
        <f>IF('Données projet'!$A$244&gt;35,FZ33+FY34-GH33,IF(A34&lt;'Données projet'!$A$244,$FW$205^A34,IF(A34='Données projet'!$A$244,'Données projet'!$B$244,FZ33+FY34-GH33)))</f>
        <v>157.30052631578957</v>
      </c>
      <c r="GA34" s="17">
        <f>FZ34*VLOOKUP('Données projet'!$B$17,Paramètres!$A$1:$I$89,3,0)*VLOOKUP('Données projet'!$B$17,Paramètres!$A$1:$I$89,5,0)</f>
        <v>134.96385157894744</v>
      </c>
      <c r="GB34" s="13">
        <f t="shared" si="49"/>
        <v>35.14084624032531</v>
      </c>
      <c r="GC34" s="20">
        <f t="shared" si="25"/>
        <v>296.2656820352334</v>
      </c>
      <c r="GD34" s="59">
        <f t="shared" si="26"/>
        <v>543.24088256371806</v>
      </c>
      <c r="GE34" s="59">
        <f ca="1">AVERAGE(OFFSET($GD$3,0,0,'Données projet'!$E$17+1,1))-AVERAGE(OFFSET($H$3,0,0,'Données projet'!$E$17+1,1))</f>
        <v>460.46300302025099</v>
      </c>
      <c r="GF34" s="59">
        <f t="shared" si="50"/>
        <v>340.22534554615879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57.356872871404889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24.97666666666667</v>
      </c>
      <c r="GU34" s="12">
        <f>IF('Données projet'!$A$270&gt;35,GU33+GT34-HC33,IF(A34&lt;'Données projet'!$A$270,$GR$205^A34,IF(A34='Données projet'!$A$270,'Données projet'!$B$270,GU33+GT34-HC33)))</f>
        <v>366.34333333333336</v>
      </c>
      <c r="GV34" s="17">
        <f>GU34*VLOOKUP('Données projet'!$B$18,Paramètres!$A$1:$I$89,3,0)*VLOOKUP('Données projet'!$B$18,Paramètres!$A$1:$I$89,5,0)</f>
        <v>219.07331333333337</v>
      </c>
      <c r="GW34" s="13">
        <f t="shared" si="51"/>
        <v>53.913425498604823</v>
      </c>
      <c r="GX34" s="20">
        <f t="shared" si="28"/>
        <v>475.45190346562566</v>
      </c>
      <c r="GY34" s="59">
        <f t="shared" si="29"/>
        <v>722.42710399411021</v>
      </c>
      <c r="GZ34" s="59">
        <f ca="1">AVERAGE(OFFSET($GY$3,0,0,'Données projet'!$E$18+1,1))-AVERAGE(OFFSET($H$3,0,0,'Données projet'!$E$18+1,1))</f>
        <v>-15.950000000000017</v>
      </c>
      <c r="HA34" s="59">
        <f t="shared" si="52"/>
        <v>-15.950000000000017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3.3845635796759459</v>
      </c>
      <c r="HH34" s="21">
        <f>EXP(-LN(2)/25)*HH33+(1-EXP(-LN(2)/25))/(LN(2)/25)*Calculateur!HC34*Calculateur!HE34*VLOOKUP('Données projet'!$B$18,Paramètres!$A$1:$I$89,3,0)*0.475*44/12</f>
        <v>36.773352296617915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40.157915876293863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4.3499999999999996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15.949999999999998</v>
      </c>
      <c r="H35" s="67">
        <f t="shared" si="1"/>
        <v>192.86666666666667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11.559999999999997</v>
      </c>
      <c r="N35" s="13">
        <f>IF('Données projet'!$A$36&gt;35,N34+M35-V34,IF(A35&lt;'Données projet'!$A$36,$K$205^A35,IF(A35='Données projet'!$A$36,'Données projet'!$B$36,N34+M35-V34)))</f>
        <v>154.48000000000002</v>
      </c>
      <c r="O35" s="13">
        <f>N35*VLOOKUP('Données projet'!$B$9,Paramètres!$A$1:$I$89,3,0)*VLOOKUP('Données projet'!$B$9,Paramètres!$A$1:$I$89,5,0)</f>
        <v>134.95372800000004</v>
      </c>
      <c r="P35" s="13">
        <f t="shared" si="33"/>
        <v>35.138517149474964</v>
      </c>
      <c r="Q35" s="20">
        <f t="shared" ref="Q35:Q66" si="53">(O35+P35)*0.475*44/12</f>
        <v>296.24399363533558</v>
      </c>
      <c r="R35" s="59">
        <f t="shared" si="0"/>
        <v>544.02340412672584</v>
      </c>
      <c r="S35" s="59">
        <f ca="1">AVERAGE(OFFSET($R$3,0,0,'Données projet'!$E$9+1,1))-AVERAGE(OFFSET($H$3,0,0,'Données projet'!$E$9+1,1))</f>
        <v>433.46721010558042</v>
      </c>
      <c r="T35" s="59">
        <f t="shared" si="34"/>
        <v>306.18862295347509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5.0432106892931481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5.0432106892931481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391.32</v>
      </c>
      <c r="AG35" s="12">
        <f>VLOOKUP(A35,'Données projet'!$A$61:$I$81,9,0)</f>
        <v>24.97666666666667</v>
      </c>
      <c r="AH35" s="12">
        <f t="array" ref="AH35">INDEX(AG:AG,MIN(IF(ISNUMBER(AG35:AG231),ROW(AG35:AG231),"")))</f>
        <v>24.97666666666667</v>
      </c>
      <c r="AI35" s="13">
        <f>IF('Données projet'!$A$62&gt;35,AI34+AH35-AQ34,IF(A35&lt;'Données projet'!$A$62,$AF$205^A35,IF(A35='Données projet'!$A$62,'Données projet'!$B$62,AI34+AH35-AQ34)))</f>
        <v>391.32000000000005</v>
      </c>
      <c r="AJ35" s="13">
        <f>AI35*VLOOKUP('Données projet'!$B$10,Paramètres!$A$1:$I$89,3,0)*VLOOKUP('Données projet'!$B$10,Paramètres!$A$1:$I$89,5,0)</f>
        <v>234.00936000000007</v>
      </c>
      <c r="AK35" s="13">
        <f t="shared" si="35"/>
        <v>57.148725031005249</v>
      </c>
      <c r="AL35" s="20">
        <f t="shared" si="4"/>
        <v>507.10033142900096</v>
      </c>
      <c r="AM35" s="59">
        <f t="shared" si="5"/>
        <v>754.87974192039133</v>
      </c>
      <c r="AN35" s="59">
        <f ca="1">AVERAGE(OFFSET($AM$3,0,0,'Données projet'!$E$10+1,1))-AVERAGE(OFFSET($H$3,0,0,'Données projet'!$E$10+1,1))</f>
        <v>400.1942260113168</v>
      </c>
      <c r="AO35" s="59">
        <f t="shared" si="36"/>
        <v>497.04866930593926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79.400000000000006</v>
      </c>
      <c r="AR35" s="16">
        <f>IF(ISNA(VLOOKUP(A35,'Données projet'!$A$61:$I$81,5,0)),0%,VLOOKUP(A35,'Données projet'!$A$61:$I$81,5,0)*VLOOKUP('Données projet'!$B$10,Paramètres!$A$1:$I$89,7,0))</f>
        <v>0.13500000000000001</v>
      </c>
      <c r="AS35" s="16">
        <f>IF(ISNA(VLOOKUP(A35,'Données projet'!$A$61:$I$81,6,0)),0%,VLOOKUP(A35,'Données projet'!$A$61:$I$81,6,0)*VLOOKUP('Données projet'!$B$10,Paramètres!$A$1:$I$89,7,0))</f>
        <v>0.22500000000000001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11.821422102176591</v>
      </c>
      <c r="AV35" s="21">
        <f>EXP(-LN(2)/25)*AV34+(1-EXP(-LN(2)/25))/(LN(2)/25)*Calculateur!AQ35*Calculateur!AS35*VLOOKUP('Données projet'!$B$10,Paramètres!$A$1:$I$89,3,0)*0.475*44/12</f>
        <v>49.884028548045237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61.705450650221827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284.78505691662588</v>
      </c>
      <c r="BJ35" s="59">
        <f t="shared" si="38"/>
        <v>664.42623058686308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380.64318988568527</v>
      </c>
      <c r="CE35" s="59">
        <f t="shared" si="40"/>
        <v>885.24651320439159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153.05166821524486</v>
      </c>
      <c r="CL35" s="21">
        <f>EXP(-LN(2)/25)*CL34+(1-EXP(-LN(2)/25))/(LN(2)/25)*Calculateur!CG35*Calculateur!CI35*VLOOKUP('Données projet'!$B$12,Paramètres!$A$1:$I$89,3,0)*0.475*44/12</f>
        <v>38.766035123875838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191.8177033391207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23.267142857142858</v>
      </c>
      <c r="CT35" s="12">
        <f>IF('Données projet'!$A$140&gt;35,CT34+CS35-DB34,IF(A35&lt;'Données projet'!$A$140,$CQ$205^A35,IF(A35='Données projet'!$A$140,'Données projet'!$B$140,CT34+CS35-DB34)))</f>
        <v>307.31857142857137</v>
      </c>
      <c r="CU35" s="17">
        <f>CT35*VLOOKUP('Données projet'!$B$13,Paramètres!$A$1:$I$89,3,0)*VLOOKUP('Données projet'!$B$13,Paramètres!$A$1:$I$89,5,0)</f>
        <v>171.79108142857137</v>
      </c>
      <c r="CV35" s="13">
        <f t="shared" si="41"/>
        <v>43.49092122942389</v>
      </c>
      <c r="CW35" s="20">
        <f t="shared" si="13"/>
        <v>374.94948796267505</v>
      </c>
      <c r="CX35" s="59">
        <f t="shared" si="14"/>
        <v>622.7288984540653</v>
      </c>
      <c r="CY35" s="59">
        <f ca="1">AVERAGE(OFFSET($CX$3,0,0,'Données projet'!$E$13+1,1))-AVERAGE(OFFSET($H$3,0,0,'Données projet'!$E$13+1,1))</f>
        <v>404.10467005188889</v>
      </c>
      <c r="CZ35" s="59">
        <f t="shared" si="42"/>
        <v>372.70490129557845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4.665797043690783</v>
      </c>
      <c r="DG35" s="21">
        <f>EXP(-LN(2)/25)*DG34+(1-EXP(-LN(2)/25))/(LN(2)/25)*Calculateur!DB35*Calculateur!DD35*VLOOKUP('Données projet'!$B$13,Paramètres!$A$1:$I$89,3,0)*0.475*44/12</f>
        <v>35.137645587666377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39.803442631357157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3.1761666666666666</v>
      </c>
      <c r="DO35" s="12">
        <f>IF('Données projet'!$A$166&gt;35,DO34+DN35-DW34,IF(A35&lt;'Données projet'!$A$166,$DL$205^A35,IF(A35='Données projet'!$A$166,'Données projet'!$B$166,DO34+DN35-DW34)))</f>
        <v>101.63733333333326</v>
      </c>
      <c r="DP35" s="17">
        <f>DO35*VLOOKUP('Données projet'!$B$14,Paramètres!$A$1:$I$89,3,0)*VLOOKUP('Données projet'!$B$14,Paramètres!$A$1:$I$89,5,0)</f>
        <v>91.961459199999936</v>
      </c>
      <c r="DQ35" s="13">
        <f t="shared" si="43"/>
        <v>25.03768650213679</v>
      </c>
      <c r="DR35" s="20">
        <f t="shared" si="16"/>
        <v>203.77351209788813</v>
      </c>
      <c r="DS35" s="59">
        <f t="shared" si="17"/>
        <v>451.55292258927841</v>
      </c>
      <c r="DT35" s="59">
        <f ca="1">AVERAGE(OFFSET($DS$3,0,0,'Données projet'!$E$14+1,1))-AVERAGE(OFFSET($H$3,0,0,'Données projet'!$E$14+1,1))</f>
        <v>479.53113328461268</v>
      </c>
      <c r="DU35" s="59">
        <f t="shared" si="44"/>
        <v>244.6360664588118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28.636666666666667</v>
      </c>
      <c r="EJ35" s="12">
        <f>IF('Données projet'!$A$192&gt;35,EJ34+EI35-ER34,IF(A35&lt;'Données projet'!$A$192,$EG$205^A35,IF(A35='Données projet'!$A$192,'Données projet'!$B$192,EJ34+EI35-ER34)))</f>
        <v>386.86333333333334</v>
      </c>
      <c r="EK35" s="17">
        <f>EJ35*VLOOKUP('Données projet'!$B$15,Paramètres!$A$1:$I$89,3,0)*VLOOKUP('Données projet'!$B$15,Paramètres!$A$1:$I$89,5,0)</f>
        <v>170.99359333333334</v>
      </c>
      <c r="EL35" s="13">
        <f t="shared" si="45"/>
        <v>43.312479907238945</v>
      </c>
      <c r="EM35" s="20">
        <f t="shared" si="19"/>
        <v>373.24974422733004</v>
      </c>
      <c r="EN35" s="59">
        <f t="shared" si="20"/>
        <v>621.02915471872029</v>
      </c>
      <c r="EO35" s="59">
        <f ca="1">AVERAGE(OFFSET($EN$3,0,0,'Données projet'!$E$15+1,1))-AVERAGE(OFFSET($H$3,0,0,'Données projet'!$E$15+1,1))</f>
        <v>339.23049610652492</v>
      </c>
      <c r="EP35" s="59">
        <f t="shared" si="46"/>
        <v>448.85057640789785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54.131615255368622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54.131615255368622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7.6601960784313725</v>
      </c>
      <c r="FE35" s="12">
        <f>IF('Données projet'!$A$218&gt;35,FE34+FD35-FM34,IF(A35&lt;'Données projet'!$A$218,$FB$205^A35,IF(A35='Données projet'!$A$218,'Données projet'!$B$218,FE34+FD35-FM34)))</f>
        <v>245.12627450980384</v>
      </c>
      <c r="FF35" s="17">
        <f>FE35*VLOOKUP('Données projet'!$B$16,Paramètres!$A$1:$I$89,3,0)*VLOOKUP('Données projet'!$B$16,Paramètres!$A$1:$I$89,5,0)</f>
        <v>114.7190964705882</v>
      </c>
      <c r="FG35" s="13">
        <f t="shared" si="47"/>
        <v>30.440107732592779</v>
      </c>
      <c r="FH35" s="20">
        <f t="shared" si="22"/>
        <v>252.81894732054016</v>
      </c>
      <c r="FI35" s="59">
        <f t="shared" si="23"/>
        <v>500.59835781193044</v>
      </c>
      <c r="FJ35" s="59">
        <f ca="1">AVERAGE(OFFSET($FI$3,0,0,'Données projet'!$E$16+1,1))-AVERAGE(OFFSET($H$3,0,0,'Données projet'!$E$16+1,1))</f>
        <v>365.63278362856033</v>
      </c>
      <c r="FK35" s="59">
        <f t="shared" si="48"/>
        <v>290.68267842697452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5.0742105263157899</v>
      </c>
      <c r="FZ35" s="12">
        <f>IF('Données projet'!$A$244&gt;35,FZ34+FY35-GH34,IF(A35&lt;'Données projet'!$A$244,$FW$205^A35,IF(A35='Données projet'!$A$244,'Données projet'!$B$244,FZ34+FY35-GH34)))</f>
        <v>162.37473684210536</v>
      </c>
      <c r="GA35" s="17">
        <f>FZ35*VLOOKUP('Données projet'!$B$17,Paramètres!$A$1:$I$89,3,0)*VLOOKUP('Données projet'!$B$17,Paramètres!$A$1:$I$89,5,0)</f>
        <v>139.31752421052641</v>
      </c>
      <c r="GB35" s="13">
        <f t="shared" si="49"/>
        <v>36.140615437015562</v>
      </c>
      <c r="GC35" s="20">
        <f t="shared" si="25"/>
        <v>305.58959321946895</v>
      </c>
      <c r="GD35" s="59">
        <f t="shared" si="26"/>
        <v>553.36900371085926</v>
      </c>
      <c r="GE35" s="59">
        <f ca="1">AVERAGE(OFFSET($GD$3,0,0,'Données projet'!$E$17+1,1))-AVERAGE(OFFSET($H$3,0,0,'Données projet'!$E$17+1,1))</f>
        <v>460.46300302025099</v>
      </c>
      <c r="GF35" s="59">
        <f t="shared" si="50"/>
        <v>340.22534554615879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57.576202861288273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>
        <f>VLOOKUP(A35,'Données projet'!$A$269:$I$289,2,0)</f>
        <v>391.32</v>
      </c>
      <c r="GS35" s="12">
        <f>VLOOKUP(A35,'Données projet'!$A$269:$I$289,9,0)</f>
        <v>24.97666666666667</v>
      </c>
      <c r="GT35" s="12">
        <f t="array" ref="GT35">INDEX(GS:GS,MIN(IF(ISNUMBER(GS35:GS231),ROW(GS35:GS231),"")))</f>
        <v>24.97666666666667</v>
      </c>
      <c r="GU35" s="12">
        <f>IF('Données projet'!$A$270&gt;35,GU34+GT35-HC34,IF(A35&lt;'Données projet'!$A$270,$GR$205^A35,IF(A35='Données projet'!$A$270,'Données projet'!$B$270,GU34+GT35-HC34)))</f>
        <v>391.32000000000005</v>
      </c>
      <c r="GV35" s="17">
        <f>GU35*VLOOKUP('Données projet'!$B$18,Paramètres!$A$1:$I$89,3,0)*VLOOKUP('Données projet'!$B$18,Paramètres!$A$1:$I$89,5,0)</f>
        <v>234.00936000000007</v>
      </c>
      <c r="GW35" s="13">
        <f t="shared" si="51"/>
        <v>57.148725031005249</v>
      </c>
      <c r="GX35" s="20">
        <f t="shared" si="28"/>
        <v>507.10033142900096</v>
      </c>
      <c r="GY35" s="59">
        <f t="shared" si="29"/>
        <v>754.87974192039133</v>
      </c>
      <c r="GZ35" s="59">
        <f ca="1">AVERAGE(OFFSET($GY$3,0,0,'Données projet'!$E$18+1,1))-AVERAGE(OFFSET($H$3,0,0,'Données projet'!$E$18+1,1))</f>
        <v>-15.950000000000017</v>
      </c>
      <c r="HA35" s="59">
        <f t="shared" si="52"/>
        <v>-15.950000000000017</v>
      </c>
      <c r="HB35" s="15">
        <f>IF(ISNA(VLOOKUP(A35,'Données projet'!$A$269:$I$289,3,0)),0,VLOOKUP(A35,'Données projet'!$A$269:$I$289,3,0))</f>
        <v>4</v>
      </c>
      <c r="HC35" s="15">
        <f>IF(ISNA(VLOOKUP(A35,'Données projet'!$A$269:$I$289,4,0)),0,VLOOKUP(A35,'Données projet'!$A$269:$I$289,4,0))</f>
        <v>79.400000000000006</v>
      </c>
      <c r="HD35" s="16">
        <f>IF(ISNA(VLOOKUP(A35,'Données projet'!$A$269:$I$289,5,0)),0%,VLOOKUP(A35,'Données projet'!$A$269:$I$289,5,0)*VLOOKUP('Données projet'!$B$18,Paramètres!$A$1:$I$89,7,0))</f>
        <v>0.13500000000000001</v>
      </c>
      <c r="HE35" s="16">
        <f>IF(ISNA(VLOOKUP(A35,'Données projet'!$A$269:$I$289,6,0)),0%,VLOOKUP(A35,'Données projet'!$A$269:$I$289,6,0)*VLOOKUP('Données projet'!$B$18,Paramètres!$A$1:$I$89,7,0))</f>
        <v>0.22500000000000001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11.821422102176591</v>
      </c>
      <c r="HH35" s="21">
        <f>EXP(-LN(2)/25)*HH34+(1-EXP(-LN(2)/25))/(LN(2)/25)*Calculateur!HC35*Calculateur!HE35*VLOOKUP('Données projet'!$B$18,Paramètres!$A$1:$I$89,3,0)*0.475*44/12</f>
        <v>49.884028548045237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61.705450650221827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4.3499999999999996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15.949999999999998</v>
      </c>
      <c r="H36" s="67">
        <f t="shared" si="1"/>
        <v>192.86666666666667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11.559999999999997</v>
      </c>
      <c r="N36" s="13">
        <f>IF('Données projet'!$A$36&gt;35,N35+M36-V35,IF(A36&lt;'Données projet'!$A$36,$K$205^A36,IF(A36='Données projet'!$A$36,'Données projet'!$B$36,N35+M36-V35)))</f>
        <v>166.04000000000002</v>
      </c>
      <c r="O36" s="13">
        <f>N36*VLOOKUP('Données projet'!$B$9,Paramètres!$A$1:$I$89,3,0)*VLOOKUP('Données projet'!$B$9,Paramètres!$A$1:$I$89,5,0)</f>
        <v>145.05254400000004</v>
      </c>
      <c r="P36" s="13">
        <f t="shared" si="33"/>
        <v>37.452073255831394</v>
      </c>
      <c r="Q36" s="20">
        <f t="shared" si="53"/>
        <v>317.86220838723972</v>
      </c>
      <c r="R36" s="59">
        <f t="shared" si="0"/>
        <v>566.43187759662351</v>
      </c>
      <c r="S36" s="59">
        <f ca="1">AVERAGE(OFFSET($R$3,0,0,'Données projet'!$E$9+1,1))-AVERAGE(OFFSET($H$3,0,0,'Données projet'!$E$9+1,1))</f>
        <v>433.46721010558042</v>
      </c>
      <c r="T36" s="59">
        <f t="shared" si="34"/>
        <v>306.18862295347509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4.905303827783503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4.905303827783503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23.308750000000003</v>
      </c>
      <c r="AI36" s="13">
        <f>IF('Données projet'!$A$62&gt;35,AI35+AH36-AQ35,IF(A36&lt;'Données projet'!$A$62,$AF$205^A36,IF(A36='Données projet'!$A$62,'Données projet'!$B$62,AI35+AH36-AQ35)))</f>
        <v>335.2287500000001</v>
      </c>
      <c r="AJ36" s="13">
        <f>AI36*VLOOKUP('Données projet'!$B$10,Paramètres!$A$1:$I$89,3,0)*VLOOKUP('Données projet'!$B$10,Paramètres!$A$1:$I$89,5,0)</f>
        <v>200.46679250000005</v>
      </c>
      <c r="AK36" s="13">
        <f t="shared" si="35"/>
        <v>49.846740665515398</v>
      </c>
      <c r="AL36" s="20">
        <f t="shared" si="4"/>
        <v>435.96273692993935</v>
      </c>
      <c r="AM36" s="59">
        <f t="shared" si="5"/>
        <v>684.53240613932326</v>
      </c>
      <c r="AN36" s="59">
        <f ca="1">AVERAGE(OFFSET($AM$3,0,0,'Données projet'!$E$10+1,1))-AVERAGE(OFFSET($H$3,0,0,'Données projet'!$E$10+1,1))</f>
        <v>400.1942260113168</v>
      </c>
      <c r="AO36" s="59">
        <f t="shared" si="36"/>
        <v>497.04866930593926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11.589611225108428</v>
      </c>
      <c r="AV36" s="21">
        <f>EXP(-LN(2)/25)*AV35+(1-EXP(-LN(2)/25))/(LN(2)/25)*Calculateur!AQ36*Calculateur!AS36*VLOOKUP('Données projet'!$B$10,Paramètres!$A$1:$I$89,3,0)*0.475*44/12</f>
        <v>48.51994716411189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60.109558389220318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284.78505691662588</v>
      </c>
      <c r="BJ36" s="59">
        <f t="shared" si="38"/>
        <v>664.42623058686308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380.64318988568527</v>
      </c>
      <c r="CE36" s="59">
        <f t="shared" si="40"/>
        <v>885.24651320439159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150.05041835384375</v>
      </c>
      <c r="CL36" s="21">
        <f>EXP(-LN(2)/25)*CL35+(1-EXP(-LN(2)/25))/(LN(2)/25)*Calculateur!CG36*Calculateur!CI36*VLOOKUP('Données projet'!$B$12,Paramètres!$A$1:$I$89,3,0)*0.475*44/12</f>
        <v>37.705975854796264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187.75639420864002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23.267142857142858</v>
      </c>
      <c r="CT36" s="12">
        <f>IF('Données projet'!$A$140&gt;35,CT35+CS36-DB35,IF(A36&lt;'Données projet'!$A$140,$CQ$205^A36,IF(A36='Données projet'!$A$140,'Données projet'!$B$140,CT35+CS36-DB35)))</f>
        <v>330.58571428571423</v>
      </c>
      <c r="CU36" s="17">
        <f>CT36*VLOOKUP('Données projet'!$B$13,Paramètres!$A$1:$I$89,3,0)*VLOOKUP('Données projet'!$B$13,Paramètres!$A$1:$I$89,5,0)</f>
        <v>184.79741428571427</v>
      </c>
      <c r="CV36" s="13">
        <f t="shared" si="41"/>
        <v>46.387883037381307</v>
      </c>
      <c r="CW36" s="20">
        <f t="shared" si="13"/>
        <v>402.64772617105808</v>
      </c>
      <c r="CX36" s="59">
        <f t="shared" si="14"/>
        <v>651.21739538044199</v>
      </c>
      <c r="CY36" s="59">
        <f ca="1">AVERAGE(OFFSET($CX$3,0,0,'Données projet'!$E$13+1,1))-AVERAGE(OFFSET($H$3,0,0,'Données projet'!$E$13+1,1))</f>
        <v>404.10467005188889</v>
      </c>
      <c r="CZ36" s="59">
        <f t="shared" si="42"/>
        <v>372.70490129557845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4.5743036095191982</v>
      </c>
      <c r="DG36" s="21">
        <f>EXP(-LN(2)/25)*DG35+(1-EXP(-LN(2)/25))/(LN(2)/25)*Calculateur!DB36*Calculateur!DD36*VLOOKUP('Données projet'!$B$13,Paramètres!$A$1:$I$89,3,0)*0.475*44/12</f>
        <v>34.176804821263168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38.751108430782367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3.1761666666666666</v>
      </c>
      <c r="DO36" s="12">
        <f>IF('Données projet'!$A$166&gt;35,DO35+DN36-DW35,IF(A36&lt;'Données projet'!$A$166,$DL$205^A36,IF(A36='Données projet'!$A$166,'Données projet'!$B$166,DO35+DN36-DW35)))</f>
        <v>104.81349999999992</v>
      </c>
      <c r="DP36" s="17">
        <f>DO36*VLOOKUP('Données projet'!$B$14,Paramètres!$A$1:$I$89,3,0)*VLOOKUP('Données projet'!$B$14,Paramètres!$A$1:$I$89,5,0)</f>
        <v>94.835254799999916</v>
      </c>
      <c r="DQ36" s="13">
        <f t="shared" si="43"/>
        <v>25.727796607525843</v>
      </c>
      <c r="DR36" s="20">
        <f t="shared" si="16"/>
        <v>209.98064786810735</v>
      </c>
      <c r="DS36" s="59">
        <f t="shared" si="17"/>
        <v>458.55031707749117</v>
      </c>
      <c r="DT36" s="59">
        <f ca="1">AVERAGE(OFFSET($DS$3,0,0,'Données projet'!$E$14+1,1))-AVERAGE(OFFSET($H$3,0,0,'Données projet'!$E$14+1,1))</f>
        <v>479.53113328461268</v>
      </c>
      <c r="DU36" s="59">
        <f t="shared" si="44"/>
        <v>244.6360664588118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28.636666666666667</v>
      </c>
      <c r="EJ36" s="12">
        <f>IF('Données projet'!$A$192&gt;35,EJ35+EI36-ER35,IF(A36&lt;'Données projet'!$A$192,$EG$205^A36,IF(A36='Données projet'!$A$192,'Données projet'!$B$192,EJ35+EI36-ER35)))</f>
        <v>415.5</v>
      </c>
      <c r="EK36" s="17">
        <f>EJ36*VLOOKUP('Données projet'!$B$15,Paramètres!$A$1:$I$89,3,0)*VLOOKUP('Données projet'!$B$15,Paramètres!$A$1:$I$89,5,0)</f>
        <v>183.65100000000001</v>
      </c>
      <c r="EL36" s="13">
        <f t="shared" si="45"/>
        <v>46.133514673271662</v>
      </c>
      <c r="EM36" s="20">
        <f t="shared" si="19"/>
        <v>400.20802972261481</v>
      </c>
      <c r="EN36" s="59">
        <f t="shared" si="20"/>
        <v>648.77769893199866</v>
      </c>
      <c r="EO36" s="59">
        <f ca="1">AVERAGE(OFFSET($EN$3,0,0,'Données projet'!$E$15+1,1))-AVERAGE(OFFSET($H$3,0,0,'Données projet'!$E$15+1,1))</f>
        <v>339.23049610652492</v>
      </c>
      <c r="EP36" s="59">
        <f t="shared" si="46"/>
        <v>448.85057640789785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52.651383389552642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52.651383389552642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7.6601960784313725</v>
      </c>
      <c r="FE36" s="12">
        <f>IF('Données projet'!$A$218&gt;35,FE35+FD36-FM35,IF(A36&lt;'Données projet'!$A$218,$FB$205^A36,IF(A36='Données projet'!$A$218,'Données projet'!$B$218,FE35+FD36-FM35)))</f>
        <v>252.7864705882352</v>
      </c>
      <c r="FF36" s="17">
        <f>FE36*VLOOKUP('Données projet'!$B$16,Paramètres!$A$1:$I$89,3,0)*VLOOKUP('Données projet'!$B$16,Paramètres!$A$1:$I$89,5,0)</f>
        <v>118.30406823529408</v>
      </c>
      <c r="FG36" s="13">
        <f t="shared" si="47"/>
        <v>31.279123987293506</v>
      </c>
      <c r="FH36" s="20">
        <f t="shared" si="22"/>
        <v>260.52405978767342</v>
      </c>
      <c r="FI36" s="59">
        <f t="shared" si="23"/>
        <v>509.09372899705727</v>
      </c>
      <c r="FJ36" s="59">
        <f ca="1">AVERAGE(OFFSET($FI$3,0,0,'Données projet'!$E$16+1,1))-AVERAGE(OFFSET($H$3,0,0,'Données projet'!$E$16+1,1))</f>
        <v>365.63278362856033</v>
      </c>
      <c r="FK36" s="59">
        <f t="shared" si="48"/>
        <v>290.68267842697452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5.0742105263157899</v>
      </c>
      <c r="FZ36" s="12">
        <f>IF('Données projet'!$A$244&gt;35,FZ35+FY36-GH35,IF(A36&lt;'Données projet'!$A$244,$FW$205^A36,IF(A36='Données projet'!$A$244,'Données projet'!$B$244,FZ35+FY36-GH35)))</f>
        <v>167.44894736842116</v>
      </c>
      <c r="GA36" s="17">
        <f>FZ36*VLOOKUP('Données projet'!$B$17,Paramètres!$A$1:$I$89,3,0)*VLOOKUP('Données projet'!$B$17,Paramètres!$A$1:$I$89,5,0)</f>
        <v>143.67119684210536</v>
      </c>
      <c r="GB36" s="13">
        <f t="shared" si="49"/>
        <v>37.136753955082504</v>
      </c>
      <c r="GC36" s="20">
        <f t="shared" si="25"/>
        <v>314.90718097176881</v>
      </c>
      <c r="GD36" s="59">
        <f t="shared" si="26"/>
        <v>563.47685018115271</v>
      </c>
      <c r="GE36" s="59">
        <f ca="1">AVERAGE(OFFSET($GD$3,0,0,'Données projet'!$E$17+1,1))-AVERAGE(OFFSET($H$3,0,0,'Données projet'!$E$17+1,1))</f>
        <v>460.46300302025099</v>
      </c>
      <c r="GF36" s="59">
        <f t="shared" si="50"/>
        <v>340.22534554615879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57.791727966195587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23.308750000000003</v>
      </c>
      <c r="GU36" s="12">
        <f>IF('Données projet'!$A$270&gt;35,GU35+GT36-HC35,IF(A36&lt;'Données projet'!$A$270,$GR$205^A36,IF(A36='Données projet'!$A$270,'Données projet'!$B$270,GU35+GT36-HC35)))</f>
        <v>335.2287500000001</v>
      </c>
      <c r="GV36" s="17">
        <f>GU36*VLOOKUP('Données projet'!$B$18,Paramètres!$A$1:$I$89,3,0)*VLOOKUP('Données projet'!$B$18,Paramètres!$A$1:$I$89,5,0)</f>
        <v>200.46679250000005</v>
      </c>
      <c r="GW36" s="13">
        <f t="shared" si="51"/>
        <v>49.846740665515398</v>
      </c>
      <c r="GX36" s="20">
        <f t="shared" si="28"/>
        <v>435.96273692993935</v>
      </c>
      <c r="GY36" s="59">
        <f t="shared" si="29"/>
        <v>684.53240613932326</v>
      </c>
      <c r="GZ36" s="59">
        <f ca="1">AVERAGE(OFFSET($GY$3,0,0,'Données projet'!$E$18+1,1))-AVERAGE(OFFSET($H$3,0,0,'Données projet'!$E$18+1,1))</f>
        <v>-15.950000000000017</v>
      </c>
      <c r="HA36" s="59">
        <f t="shared" si="52"/>
        <v>-15.950000000000017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11.589611225108428</v>
      </c>
      <c r="HH36" s="21">
        <f>EXP(-LN(2)/25)*HH35+(1-EXP(-LN(2)/25))/(LN(2)/25)*Calculateur!HC36*Calculateur!HE36*VLOOKUP('Données projet'!$B$18,Paramètres!$A$1:$I$89,3,0)*0.475*44/12</f>
        <v>48.51994716411189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60.109558389220318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4.3499999999999996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15.949999999999998</v>
      </c>
      <c r="H37" s="67">
        <f t="shared" si="1"/>
        <v>192.86666666666667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177.6</v>
      </c>
      <c r="L37" s="12">
        <f>VLOOKUP(A37,'Données projet'!$A$35:$I$55,9,0)</f>
        <v>11.559999999999997</v>
      </c>
      <c r="M37" s="12">
        <f t="array" ref="M37">INDEX(L:L,MIN(IF(ISNUMBER(L37:L233),ROW(L37:L233),"")))</f>
        <v>11.559999999999997</v>
      </c>
      <c r="N37" s="13">
        <f>IF('Données projet'!$A$36&gt;35,N36+M37-V36,IF(A37&lt;'Données projet'!$A$36,$K$205^A37,IF(A37='Données projet'!$A$36,'Données projet'!$B$36,N36+M37-V36)))</f>
        <v>177.60000000000002</v>
      </c>
      <c r="O37" s="13">
        <f>N37*VLOOKUP('Données projet'!$B$9,Paramètres!$A$1:$I$89,3,0)*VLOOKUP('Données projet'!$B$9,Paramètres!$A$1:$I$89,5,0)</f>
        <v>155.15136000000004</v>
      </c>
      <c r="P37" s="13">
        <f t="shared" si="33"/>
        <v>39.746940196236942</v>
      </c>
      <c r="Q37" s="20">
        <f t="shared" si="53"/>
        <v>339.44787284177943</v>
      </c>
      <c r="R37" s="59">
        <f t="shared" si="0"/>
        <v>588.79409154715336</v>
      </c>
      <c r="S37" s="59">
        <f ca="1">AVERAGE(OFFSET($R$3,0,0,'Données projet'!$E$9+1,1))-AVERAGE(OFFSET($H$3,0,0,'Données projet'!$E$9+1,1))</f>
        <v>433.46721010558042</v>
      </c>
      <c r="T37" s="59">
        <f t="shared" si="34"/>
        <v>306.18862295347509</v>
      </c>
      <c r="U37" s="15">
        <f>IF(ISNA(VLOOKUP(A37,'Données projet'!$A$35:$I$55,3,0)),0,VLOOKUP(A37,'Données projet'!$A$35:$I$55,3,0))</f>
        <v>2</v>
      </c>
      <c r="V37" s="15">
        <f>IF(ISNA(VLOOKUP(A37,'Données projet'!$A$35:$I$55,4,0)),0,VLOOKUP(A37,'Données projet'!$A$35:$I$55,4,0))</f>
        <v>23.1</v>
      </c>
      <c r="W37" s="16">
        <f>IF(ISNA(VLOOKUP(A37,'Données projet'!$A$35:$I$55,5,0)),0%,VLOOKUP(A37,'Données projet'!$A$35:$I$55,5,0)*VLOOKUP('Données projet'!$B$9,Paramètres!$A$1:$I$89,7,0))</f>
        <v>0.25800000000000001</v>
      </c>
      <c r="X37" s="16">
        <f>IF(ISNA(VLOOKUP(A37,'Données projet'!$A$35:$I$55,6,0)),0%,VLOOKUP(A37,'Données projet'!$A$35:$I$55,6,0)*VLOOKUP('Données projet'!$B$9,Paramètres!$A$1:$I$89,7,0))</f>
        <v>8.6000000000000007E-2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5.7556108366328012</v>
      </c>
      <c r="AA37" s="21">
        <f>EXP(-LN(2)/25)*AA36+(1-EXP(-LN(2)/25))/(LN(2)/25)*Calculateur!V37*Calculateur!X37*VLOOKUP('Données projet'!$B$9,Paramètres!$A$1:$I$89,3,0)*0.475*44/12</f>
        <v>6.6821509712238187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12.437761807856621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23.308750000000003</v>
      </c>
      <c r="AI37" s="13">
        <f>IF('Données projet'!$A$62&gt;35,AI36+AH37-AQ36,IF(A37&lt;'Données projet'!$A$62,$AF$205^A37,IF(A37='Données projet'!$A$62,'Données projet'!$B$62,AI36+AH37-AQ36)))</f>
        <v>358.53750000000014</v>
      </c>
      <c r="AJ37" s="13">
        <f>AI37*VLOOKUP('Données projet'!$B$10,Paramètres!$A$1:$I$89,3,0)*VLOOKUP('Données projet'!$B$10,Paramètres!$A$1:$I$89,5,0)</f>
        <v>214.40542500000009</v>
      </c>
      <c r="AK37" s="13">
        <f t="shared" si="35"/>
        <v>52.897115588358794</v>
      </c>
      <c r="AL37" s="20">
        <f t="shared" si="4"/>
        <v>465.55192485805838</v>
      </c>
      <c r="AM37" s="59">
        <f t="shared" si="5"/>
        <v>714.89814356343231</v>
      </c>
      <c r="AN37" s="59">
        <f ca="1">AVERAGE(OFFSET($AM$3,0,0,'Données projet'!$E$10+1,1))-AVERAGE(OFFSET($H$3,0,0,'Données projet'!$E$10+1,1))</f>
        <v>400.1942260113168</v>
      </c>
      <c r="AO37" s="59">
        <f t="shared" si="36"/>
        <v>497.04866930593926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11.362346017948896</v>
      </c>
      <c r="AV37" s="21">
        <f>EXP(-LN(2)/25)*AV36+(1-EXP(-LN(2)/25))/(LN(2)/25)*Calculateur!AQ37*Calculateur!AS37*VLOOKUP('Données projet'!$B$10,Paramètres!$A$1:$I$89,3,0)*0.475*44/12</f>
        <v>47.193166657356123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58.555512675305017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284.78505691662588</v>
      </c>
      <c r="BJ37" s="59">
        <f t="shared" si="38"/>
        <v>664.42623058686308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380.64318988568527</v>
      </c>
      <c r="CE37" s="59">
        <f t="shared" si="40"/>
        <v>885.24651320439159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147.10802117164306</v>
      </c>
      <c r="CL37" s="21">
        <f>EXP(-LN(2)/25)*CL36+(1-EXP(-LN(2)/25))/(LN(2)/25)*Calculateur!CG37*Calculateur!CI37*VLOOKUP('Données projet'!$B$12,Paramètres!$A$1:$I$89,3,0)*0.475*44/12</f>
        <v>36.674903962175769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183.78292513381882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23.267142857142858</v>
      </c>
      <c r="CT37" s="12">
        <f>IF('Données projet'!$A$140&gt;35,CT36+CS37-DB36,IF(A37&lt;'Données projet'!$A$140,$CQ$205^A37,IF(A37='Données projet'!$A$140,'Données projet'!$B$140,CT36+CS37-DB36)))</f>
        <v>353.85285714285709</v>
      </c>
      <c r="CU37" s="17">
        <f>CT37*VLOOKUP('Données projet'!$B$13,Paramètres!$A$1:$I$89,3,0)*VLOOKUP('Données projet'!$B$13,Paramètres!$A$1:$I$89,5,0)</f>
        <v>197.80374714285711</v>
      </c>
      <c r="CV37" s="13">
        <f t="shared" si="41"/>
        <v>49.26118807441209</v>
      </c>
      <c r="CW37" s="20">
        <f t="shared" si="13"/>
        <v>430.30476217007714</v>
      </c>
      <c r="CX37" s="59">
        <f t="shared" si="14"/>
        <v>679.65098087545107</v>
      </c>
      <c r="CY37" s="59">
        <f ca="1">AVERAGE(OFFSET($CX$3,0,0,'Données projet'!$E$13+1,1))-AVERAGE(OFFSET($H$3,0,0,'Données projet'!$E$13+1,1))</f>
        <v>404.10467005188889</v>
      </c>
      <c r="CZ37" s="59">
        <f t="shared" si="42"/>
        <v>372.70490129557845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4.4846043057862337</v>
      </c>
      <c r="DG37" s="21">
        <f>EXP(-LN(2)/25)*DG36+(1-EXP(-LN(2)/25))/(LN(2)/25)*Calculateur!DB37*Calculateur!DD37*VLOOKUP('Données projet'!$B$13,Paramètres!$A$1:$I$89,3,0)*0.475*44/12</f>
        <v>33.242238296145672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37.726842601931907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3.1761666666666666</v>
      </c>
      <c r="DO37" s="12">
        <f>IF('Données projet'!$A$166&gt;35,DO36+DN37-DW36,IF(A37&lt;'Données projet'!$A$166,$DL$205^A37,IF(A37='Données projet'!$A$166,'Données projet'!$B$166,DO36+DN37-DW36)))</f>
        <v>107.98966666666658</v>
      </c>
      <c r="DP37" s="17">
        <f>DO37*VLOOKUP('Données projet'!$B$14,Paramètres!$A$1:$I$89,3,0)*VLOOKUP('Données projet'!$B$14,Paramètres!$A$1:$I$89,5,0)</f>
        <v>97.709050399999924</v>
      </c>
      <c r="DQ37" s="13">
        <f t="shared" si="43"/>
        <v>26.415476401383739</v>
      </c>
      <c r="DR37" s="20">
        <f t="shared" si="16"/>
        <v>216.18355084574318</v>
      </c>
      <c r="DS37" s="59">
        <f t="shared" si="17"/>
        <v>465.52976955111706</v>
      </c>
      <c r="DT37" s="59">
        <f ca="1">AVERAGE(OFFSET($DS$3,0,0,'Données projet'!$E$14+1,1))-AVERAGE(OFFSET($H$3,0,0,'Données projet'!$E$14+1,1))</f>
        <v>479.53113328461268</v>
      </c>
      <c r="DU37" s="59">
        <f t="shared" si="44"/>
        <v>244.6360664588118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28.636666666666667</v>
      </c>
      <c r="EJ37" s="12">
        <f>IF('Données projet'!$A$192&gt;35,EJ36+EI37-ER36,IF(A37&lt;'Données projet'!$A$192,$EG$205^A37,IF(A37='Données projet'!$A$192,'Données projet'!$B$192,EJ36+EI37-ER36)))</f>
        <v>444.13666666666666</v>
      </c>
      <c r="EK37" s="17">
        <f>EJ37*VLOOKUP('Données projet'!$B$15,Paramètres!$A$1:$I$89,3,0)*VLOOKUP('Données projet'!$B$15,Paramètres!$A$1:$I$89,5,0)</f>
        <v>196.30840666666668</v>
      </c>
      <c r="EL37" s="13">
        <f t="shared" si="45"/>
        <v>48.931989656002457</v>
      </c>
      <c r="EM37" s="20">
        <f t="shared" si="19"/>
        <v>427.12702359531545</v>
      </c>
      <c r="EN37" s="59">
        <f t="shared" si="20"/>
        <v>676.47324230068932</v>
      </c>
      <c r="EO37" s="59">
        <f ca="1">AVERAGE(OFFSET($EN$3,0,0,'Données projet'!$E$15+1,1))-AVERAGE(OFFSET($H$3,0,0,'Données projet'!$E$15+1,1))</f>
        <v>339.23049610652492</v>
      </c>
      <c r="EP37" s="59">
        <f t="shared" si="46"/>
        <v>448.85057640789785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51.211628541949409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51.211628541949409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7.6601960784313725</v>
      </c>
      <c r="FE37" s="12">
        <f>IF('Données projet'!$A$218&gt;35,FE36+FD37-FM36,IF(A37&lt;'Données projet'!$A$218,$FB$205^A37,IF(A37='Données projet'!$A$218,'Données projet'!$B$218,FE36+FD37-FM36)))</f>
        <v>260.4466666666666</v>
      </c>
      <c r="FF37" s="17">
        <f>FE37*VLOOKUP('Données projet'!$B$16,Paramètres!$A$1:$I$89,3,0)*VLOOKUP('Données projet'!$B$16,Paramètres!$A$1:$I$89,5,0)</f>
        <v>121.88903999999997</v>
      </c>
      <c r="FG37" s="13">
        <f t="shared" si="47"/>
        <v>32.115185538298832</v>
      </c>
      <c r="FH37" s="20">
        <f t="shared" si="22"/>
        <v>268.22402614587037</v>
      </c>
      <c r="FI37" s="59">
        <f t="shared" si="23"/>
        <v>517.5702448512443</v>
      </c>
      <c r="FJ37" s="59">
        <f ca="1">AVERAGE(OFFSET($FI$3,0,0,'Données projet'!$E$16+1,1))-AVERAGE(OFFSET($H$3,0,0,'Données projet'!$E$16+1,1))</f>
        <v>365.63278362856033</v>
      </c>
      <c r="FK37" s="59">
        <f t="shared" si="48"/>
        <v>290.68267842697452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5.0742105263157899</v>
      </c>
      <c r="FZ37" s="12">
        <f>IF('Données projet'!$A$244&gt;35,FZ36+FY37-GH36,IF(A37&lt;'Données projet'!$A$244,$FW$205^A37,IF(A37='Données projet'!$A$244,'Données projet'!$B$244,FZ36+FY37-GH36)))</f>
        <v>172.52315789473695</v>
      </c>
      <c r="GA37" s="17">
        <f>FZ37*VLOOKUP('Données projet'!$B$17,Paramètres!$A$1:$I$89,3,0)*VLOOKUP('Données projet'!$B$17,Paramètres!$A$1:$I$89,5,0)</f>
        <v>148.0248694736843</v>
      </c>
      <c r="GB37" s="13">
        <f t="shared" si="49"/>
        <v>38.129384443187071</v>
      </c>
      <c r="GC37" s="20">
        <f t="shared" si="25"/>
        <v>324.21865890521764</v>
      </c>
      <c r="GD37" s="59">
        <f t="shared" si="26"/>
        <v>573.56487761059157</v>
      </c>
      <c r="GE37" s="59">
        <f ca="1">AVERAGE(OFFSET($GD$3,0,0,'Données projet'!$E$17+1,1))-AVERAGE(OFFSET($H$3,0,0,'Données projet'!$E$17+1,1))</f>
        <v>460.46300302025099</v>
      </c>
      <c r="GF37" s="59">
        <f t="shared" si="50"/>
        <v>340.22534554615879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58.003514192374702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23.308750000000003</v>
      </c>
      <c r="GU37" s="12">
        <f>IF('Données projet'!$A$270&gt;35,GU36+GT37-HC36,IF(A37&lt;'Données projet'!$A$270,$GR$205^A37,IF(A37='Données projet'!$A$270,'Données projet'!$B$270,GU36+GT37-HC36)))</f>
        <v>358.53750000000014</v>
      </c>
      <c r="GV37" s="17">
        <f>GU37*VLOOKUP('Données projet'!$B$18,Paramètres!$A$1:$I$89,3,0)*VLOOKUP('Données projet'!$B$18,Paramètres!$A$1:$I$89,5,0)</f>
        <v>214.40542500000009</v>
      </c>
      <c r="GW37" s="13">
        <f t="shared" si="51"/>
        <v>52.897115588358794</v>
      </c>
      <c r="GX37" s="20">
        <f t="shared" si="28"/>
        <v>465.55192485805838</v>
      </c>
      <c r="GY37" s="59">
        <f t="shared" si="29"/>
        <v>714.89814356343231</v>
      </c>
      <c r="GZ37" s="59">
        <f ca="1">AVERAGE(OFFSET($GY$3,0,0,'Données projet'!$E$18+1,1))-AVERAGE(OFFSET($H$3,0,0,'Données projet'!$E$18+1,1))</f>
        <v>-15.950000000000017</v>
      </c>
      <c r="HA37" s="59">
        <f t="shared" si="52"/>
        <v>-15.950000000000017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11.362346017948896</v>
      </c>
      <c r="HH37" s="21">
        <f>EXP(-LN(2)/25)*HH36+(1-EXP(-LN(2)/25))/(LN(2)/25)*Calculateur!HC37*Calculateur!HE37*VLOOKUP('Données projet'!$B$18,Paramètres!$A$1:$I$89,3,0)*0.475*44/12</f>
        <v>47.193166657356123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58.555512675305017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4.3499999999999996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15.949999999999998</v>
      </c>
      <c r="H38" s="67">
        <f t="shared" si="1"/>
        <v>192.86666666666667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10.212499999999999</v>
      </c>
      <c r="N38" s="13">
        <f>IF('Données projet'!$A$36&gt;35,N37+M38-V37,IF(A38&lt;'Données projet'!$A$36,$K$205^A38,IF(A38='Données projet'!$A$36,'Données projet'!$B$36,N37+M38-V37)))</f>
        <v>164.71250000000003</v>
      </c>
      <c r="O38" s="13">
        <f>N38*VLOOKUP('Données projet'!$B$9,Paramètres!$A$1:$I$89,3,0)*VLOOKUP('Données projet'!$B$9,Paramètres!$A$1:$I$89,5,0)</f>
        <v>143.89284000000006</v>
      </c>
      <c r="P38" s="13">
        <f t="shared" si="33"/>
        <v>37.187371991533887</v>
      </c>
      <c r="Q38" s="20">
        <f t="shared" si="53"/>
        <v>315.3813692185883</v>
      </c>
      <c r="R38" s="59">
        <f t="shared" si="0"/>
        <v>565.49066602230141</v>
      </c>
      <c r="S38" s="59">
        <f ca="1">AVERAGE(OFFSET($R$3,0,0,'Données projet'!$E$9+1,1))-AVERAGE(OFFSET($H$3,0,0,'Données projet'!$E$9+1,1))</f>
        <v>433.46721010558042</v>
      </c>
      <c r="T38" s="59">
        <f t="shared" si="34"/>
        <v>306.18862295347509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5.6427468187024017</v>
      </c>
      <c r="AA38" s="21">
        <f>EXP(-LN(2)/25)*AA37+(1-EXP(-LN(2)/25))/(LN(2)/25)*Calculateur!V38*Calculateur!X38*VLOOKUP('Données projet'!$B$9,Paramètres!$A$1:$I$89,3,0)*0.475*44/12</f>
        <v>6.4994272015166565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12.142174020219059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23.308750000000003</v>
      </c>
      <c r="AI38" s="13">
        <f>IF('Données projet'!$A$62&gt;35,AI37+AH38-AQ37,IF(A38&lt;'Données projet'!$A$62,$AF$205^A38,IF(A38='Données projet'!$A$62,'Données projet'!$B$62,AI37+AH38-AQ37)))</f>
        <v>381.84625000000017</v>
      </c>
      <c r="AJ38" s="13">
        <f>AI38*VLOOKUP('Données projet'!$B$10,Paramètres!$A$1:$I$89,3,0)*VLOOKUP('Données projet'!$B$10,Paramètres!$A$1:$I$89,5,0)</f>
        <v>228.3440575000001</v>
      </c>
      <c r="AK38" s="13">
        <f t="shared" si="35"/>
        <v>55.924477609658268</v>
      </c>
      <c r="AL38" s="20">
        <f t="shared" si="4"/>
        <v>495.101031982655</v>
      </c>
      <c r="AM38" s="59">
        <f t="shared" si="5"/>
        <v>745.21032878636811</v>
      </c>
      <c r="AN38" s="59">
        <f ca="1">AVERAGE(OFFSET($AM$3,0,0,'Données projet'!$E$10+1,1))-AVERAGE(OFFSET($H$3,0,0,'Données projet'!$E$10+1,1))</f>
        <v>400.1942260113168</v>
      </c>
      <c r="AO38" s="59">
        <f t="shared" si="36"/>
        <v>497.04866930593926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11.139537342883674</v>
      </c>
      <c r="AV38" s="21">
        <f>EXP(-LN(2)/25)*AV37+(1-EXP(-LN(2)/25))/(LN(2)/25)*Calculateur!AQ38*Calculateur!AS38*VLOOKUP('Données projet'!$B$10,Paramètres!$A$1:$I$89,3,0)*0.475*44/12</f>
        <v>45.902667033329948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57.042204376213618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284.78505691662588</v>
      </c>
      <c r="BJ38" s="59">
        <f t="shared" si="38"/>
        <v>664.42623058686308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380.64318988568527</v>
      </c>
      <c r="CE38" s="59">
        <f t="shared" si="40"/>
        <v>885.24651320439159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144.22332260350024</v>
      </c>
      <c r="CL38" s="21">
        <f>EXP(-LN(2)/25)*CL37+(1-EXP(-LN(2)/25))/(LN(2)/25)*Calculateur!CG38*Calculateur!CI38*VLOOKUP('Données projet'!$B$12,Paramètres!$A$1:$I$89,3,0)*0.475*44/12</f>
        <v>35.672026784680696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179.89534938818093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377.12</v>
      </c>
      <c r="CR38" s="12">
        <f>VLOOKUP(A38,'Données projet'!$A$139:$I$159,9,0)</f>
        <v>23.267142857142858</v>
      </c>
      <c r="CS38" s="12">
        <f t="array" ref="CS38">INDEX(CR:CR,MIN(IF(ISNUMBER(CR38:CR234),ROW(CR38:CR234),"")))</f>
        <v>23.267142857142858</v>
      </c>
      <c r="CT38" s="12">
        <f>IF('Données projet'!$A$140&gt;35,CT37+CS38-DB37,IF(A38&lt;'Données projet'!$A$140,$CQ$205^A38,IF(A38='Données projet'!$A$140,'Données projet'!$B$140,CT37+CS38-DB37)))</f>
        <v>377.11999999999995</v>
      </c>
      <c r="CU38" s="17">
        <f>CT38*VLOOKUP('Données projet'!$B$13,Paramètres!$A$1:$I$89,3,0)*VLOOKUP('Données projet'!$B$13,Paramètres!$A$1:$I$89,5,0)</f>
        <v>210.81007999999997</v>
      </c>
      <c r="CV38" s="13">
        <f t="shared" si="41"/>
        <v>52.112568873523912</v>
      </c>
      <c r="CW38" s="20">
        <f t="shared" si="13"/>
        <v>457.92361345472074</v>
      </c>
      <c r="CX38" s="59">
        <f t="shared" si="14"/>
        <v>708.03291025843396</v>
      </c>
      <c r="CY38" s="59">
        <f ca="1">AVERAGE(OFFSET($CX$3,0,0,'Données projet'!$E$13+1,1))-AVERAGE(OFFSET($H$3,0,0,'Données projet'!$E$13+1,1))</f>
        <v>404.10467005188889</v>
      </c>
      <c r="CZ38" s="59">
        <f t="shared" si="42"/>
        <v>372.70490129557845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86.68</v>
      </c>
      <c r="DC38" s="16">
        <f>IF(ISNA(VLOOKUP(A38,'Données projet'!$A$139:$I$159,5,0)),0%,VLOOKUP(A38,'Données projet'!$A$139:$I$159,5,0)*VLOOKUP('Données projet'!$B$13,Paramètres!$A$1:$I$89,7,0))</f>
        <v>0.16500000000000001</v>
      </c>
      <c r="DD38" s="16">
        <f>IF(ISNA(VLOOKUP(A38,'Données projet'!$A$139:$I$159,6,0)),0%,VLOOKUP(A38,'Données projet'!$A$139:$I$159,6,0)*VLOOKUP('Données projet'!$B$13,Paramètres!$A$1:$I$89,7,0))</f>
        <v>0.27500000000000002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15.002453647102655</v>
      </c>
      <c r="DG38" s="21">
        <f>EXP(-LN(2)/25)*DG37+(1-EXP(-LN(2)/25))/(LN(2)/25)*Calculateur!DB38*Calculateur!DD38*VLOOKUP('Données projet'!$B$13,Paramètres!$A$1:$I$89,3,0)*0.475*44/12</f>
        <v>49.93994531056569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64.942398957668345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3.1761666666666666</v>
      </c>
      <c r="DO38" s="12">
        <f>IF('Données projet'!$A$166&gt;35,DO37+DN38-DW37,IF(A38&lt;'Données projet'!$A$166,$DL$205^A38,IF(A38='Données projet'!$A$166,'Données projet'!$B$166,DO37+DN38-DW37)))</f>
        <v>111.16583333333324</v>
      </c>
      <c r="DP38" s="17">
        <f>DO38*VLOOKUP('Données projet'!$B$14,Paramètres!$A$1:$I$89,3,0)*VLOOKUP('Données projet'!$B$14,Paramètres!$A$1:$I$89,5,0)</f>
        <v>100.5828459999999</v>
      </c>
      <c r="DQ38" s="13">
        <f t="shared" si="43"/>
        <v>27.100805570552705</v>
      </c>
      <c r="DR38" s="20">
        <f t="shared" si="16"/>
        <v>222.38235981871244</v>
      </c>
      <c r="DS38" s="59">
        <f t="shared" si="17"/>
        <v>472.49165662242558</v>
      </c>
      <c r="DT38" s="59">
        <f ca="1">AVERAGE(OFFSET($DS$3,0,0,'Données projet'!$E$14+1,1))-AVERAGE(OFFSET($H$3,0,0,'Données projet'!$E$14+1,1))</f>
        <v>479.53113328461268</v>
      </c>
      <c r="DU38" s="59">
        <f t="shared" si="44"/>
        <v>244.6360664588118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28.636666666666667</v>
      </c>
      <c r="EJ38" s="12">
        <f>IF('Données projet'!$A$192&gt;35,EJ37+EI38-ER37,IF(A38&lt;'Données projet'!$A$192,$EG$205^A38,IF(A38='Données projet'!$A$192,'Données projet'!$B$192,EJ37+EI38-ER37)))</f>
        <v>472.77333333333331</v>
      </c>
      <c r="EK38" s="17">
        <f>EJ38*VLOOKUP('Données projet'!$B$15,Paramètres!$A$1:$I$89,3,0)*VLOOKUP('Données projet'!$B$15,Paramètres!$A$1:$I$89,5,0)</f>
        <v>208.96581333333333</v>
      </c>
      <c r="EL38" s="13">
        <f t="shared" si="45"/>
        <v>51.709524998517026</v>
      </c>
      <c r="EM38" s="20">
        <f t="shared" si="19"/>
        <v>454.00954759463934</v>
      </c>
      <c r="EN38" s="59">
        <f t="shared" si="20"/>
        <v>704.11884439835251</v>
      </c>
      <c r="EO38" s="59">
        <f ca="1">AVERAGE(OFFSET($EN$3,0,0,'Données projet'!$E$15+1,1))-AVERAGE(OFFSET($H$3,0,0,'Données projet'!$E$15+1,1))</f>
        <v>339.23049610652492</v>
      </c>
      <c r="EP38" s="59">
        <f t="shared" si="46"/>
        <v>448.85057640789785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49.811243866367306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49.811243866367306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7.6601960784313725</v>
      </c>
      <c r="FE38" s="12">
        <f>IF('Données projet'!$A$218&gt;35,FE37+FD38-FM37,IF(A38&lt;'Données projet'!$A$218,$FB$205^A38,IF(A38='Données projet'!$A$218,'Données projet'!$B$218,FE37+FD38-FM37)))</f>
        <v>268.106862745098</v>
      </c>
      <c r="FF38" s="17">
        <f>FE38*VLOOKUP('Données projet'!$B$16,Paramètres!$A$1:$I$89,3,0)*VLOOKUP('Données projet'!$B$16,Paramètres!$A$1:$I$89,5,0)</f>
        <v>125.47401176470586</v>
      </c>
      <c r="FG38" s="13">
        <f t="shared" si="47"/>
        <v>32.948389266607037</v>
      </c>
      <c r="FH38" s="20">
        <f t="shared" si="22"/>
        <v>275.91901512953666</v>
      </c>
      <c r="FI38" s="59">
        <f t="shared" si="23"/>
        <v>526.02831193324982</v>
      </c>
      <c r="FJ38" s="59">
        <f ca="1">AVERAGE(OFFSET($FI$3,0,0,'Données projet'!$E$16+1,1))-AVERAGE(OFFSET($H$3,0,0,'Données projet'!$E$16+1,1))</f>
        <v>365.63278362856033</v>
      </c>
      <c r="FK38" s="59">
        <f t="shared" si="48"/>
        <v>290.68267842697452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5.0742105263157899</v>
      </c>
      <c r="FZ38" s="12">
        <f>IF('Données projet'!$A$244&gt;35,FZ37+FY38-GH37,IF(A38&lt;'Données projet'!$A$244,$FW$205^A38,IF(A38='Données projet'!$A$244,'Données projet'!$B$244,FZ37+FY38-GH37)))</f>
        <v>177.59736842105275</v>
      </c>
      <c r="GA38" s="17">
        <f>FZ38*VLOOKUP('Données projet'!$B$17,Paramètres!$A$1:$I$89,3,0)*VLOOKUP('Données projet'!$B$17,Paramètres!$A$1:$I$89,5,0)</f>
        <v>152.37854210526328</v>
      </c>
      <c r="GB38" s="13">
        <f t="shared" si="49"/>
        <v>39.118621925196123</v>
      </c>
      <c r="GC38" s="20">
        <f t="shared" si="25"/>
        <v>333.52422735305009</v>
      </c>
      <c r="GD38" s="59">
        <f t="shared" si="26"/>
        <v>583.63352415676331</v>
      </c>
      <c r="GE38" s="59">
        <f ca="1">AVERAGE(OFFSET($GD$3,0,0,'Données projet'!$E$17+1,1))-AVERAGE(OFFSET($H$3,0,0,'Données projet'!$E$17+1,1))</f>
        <v>460.46300302025099</v>
      </c>
      <c r="GF38" s="59">
        <f t="shared" si="50"/>
        <v>340.22534554615879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58.21162640101268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23.308750000000003</v>
      </c>
      <c r="GU38" s="12">
        <f>IF('Données projet'!$A$270&gt;35,GU37+GT38-HC37,IF(A38&lt;'Données projet'!$A$270,$GR$205^A38,IF(A38='Données projet'!$A$270,'Données projet'!$B$270,GU37+GT38-HC37)))</f>
        <v>381.84625000000017</v>
      </c>
      <c r="GV38" s="17">
        <f>GU38*VLOOKUP('Données projet'!$B$18,Paramètres!$A$1:$I$89,3,0)*VLOOKUP('Données projet'!$B$18,Paramètres!$A$1:$I$89,5,0)</f>
        <v>228.3440575000001</v>
      </c>
      <c r="GW38" s="13">
        <f t="shared" si="51"/>
        <v>55.924477609658268</v>
      </c>
      <c r="GX38" s="20">
        <f t="shared" si="28"/>
        <v>495.101031982655</v>
      </c>
      <c r="GY38" s="59">
        <f t="shared" si="29"/>
        <v>745.21032878636811</v>
      </c>
      <c r="GZ38" s="59">
        <f ca="1">AVERAGE(OFFSET($GY$3,0,0,'Données projet'!$E$18+1,1))-AVERAGE(OFFSET($H$3,0,0,'Données projet'!$E$18+1,1))</f>
        <v>-15.950000000000017</v>
      </c>
      <c r="HA38" s="59">
        <f t="shared" si="52"/>
        <v>-15.950000000000017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11.139537342883674</v>
      </c>
      <c r="HH38" s="21">
        <f>EXP(-LN(2)/25)*HH37+(1-EXP(-LN(2)/25))/(LN(2)/25)*Calculateur!HC38*Calculateur!HE38*VLOOKUP('Données projet'!$B$18,Paramètres!$A$1:$I$89,3,0)*0.475*44/12</f>
        <v>45.902667033329948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57.042204376213618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4.3499999999999996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15.949999999999998</v>
      </c>
      <c r="H39" s="67">
        <f t="shared" si="1"/>
        <v>192.86666666666667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10.212499999999999</v>
      </c>
      <c r="N39" s="13">
        <f>IF('Données projet'!$A$36&gt;35,N38+M39-V38,IF(A39&lt;'Données projet'!$A$36,$K$205^A39,IF(A39='Données projet'!$A$36,'Données projet'!$B$36,N38+M39-V38)))</f>
        <v>174.92500000000004</v>
      </c>
      <c r="O39" s="13">
        <f>N39*VLOOKUP('Données projet'!$B$9,Paramètres!$A$1:$I$89,3,0)*VLOOKUP('Données projet'!$B$9,Paramètres!$A$1:$I$89,5,0)</f>
        <v>152.81448000000006</v>
      </c>
      <c r="P39" s="13">
        <f t="shared" si="33"/>
        <v>39.217492673671899</v>
      </c>
      <c r="Q39" s="20">
        <f t="shared" si="53"/>
        <v>334.45568573997866</v>
      </c>
      <c r="R39" s="59">
        <f t="shared" si="0"/>
        <v>585.3148229430119</v>
      </c>
      <c r="S39" s="59">
        <f ca="1">AVERAGE(OFFSET($R$3,0,0,'Données projet'!$E$9+1,1))-AVERAGE(OFFSET($H$3,0,0,'Données projet'!$E$9+1,1))</f>
        <v>433.46721010558042</v>
      </c>
      <c r="T39" s="59">
        <f t="shared" si="34"/>
        <v>306.18862295347509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5.5320959953233642</v>
      </c>
      <c r="AA39" s="21">
        <f>EXP(-LN(2)/25)*AA38+(1-EXP(-LN(2)/25))/(LN(2)/25)*Calculateur!V39*Calculateur!X39*VLOOKUP('Données projet'!$B$9,Paramètres!$A$1:$I$89,3,0)*0.475*44/12</f>
        <v>6.3217000229011617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11.853796018224525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23.308750000000003</v>
      </c>
      <c r="AI39" s="13">
        <f>IF('Données projet'!$A$62&gt;35,AI38+AH39-AQ38,IF(A39&lt;'Données projet'!$A$62,$AF$205^A39,IF(A39='Données projet'!$A$62,'Données projet'!$B$62,AI38+AH39-AQ38)))</f>
        <v>405.1550000000002</v>
      </c>
      <c r="AJ39" s="13">
        <f>AI39*VLOOKUP('Données projet'!$B$10,Paramètres!$A$1:$I$89,3,0)*VLOOKUP('Données projet'!$B$10,Paramètres!$A$1:$I$89,5,0)</f>
        <v>242.28269000000014</v>
      </c>
      <c r="AK39" s="13">
        <f t="shared" si="35"/>
        <v>58.930391445845103</v>
      </c>
      <c r="AL39" s="20">
        <f t="shared" si="4"/>
        <v>524.61278351818044</v>
      </c>
      <c r="AM39" s="59">
        <f t="shared" si="5"/>
        <v>775.47192072121368</v>
      </c>
      <c r="AN39" s="59">
        <f ca="1">AVERAGE(OFFSET($AM$3,0,0,'Données projet'!$E$10+1,1))-AVERAGE(OFFSET($H$3,0,0,'Données projet'!$E$10+1,1))</f>
        <v>400.1942260113168</v>
      </c>
      <c r="AO39" s="59">
        <f t="shared" si="36"/>
        <v>497.04866930593926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10.921097810036608</v>
      </c>
      <c r="AV39" s="21">
        <f>EXP(-LN(2)/25)*AV38+(1-EXP(-LN(2)/25))/(LN(2)/25)*Calculateur!AQ39*Calculateur!AS39*VLOOKUP('Données projet'!$B$10,Paramètres!$A$1:$I$89,3,0)*0.475*44/12</f>
        <v>44.647456189387192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55.568553999423798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284.78505691662588</v>
      </c>
      <c r="BJ39" s="59">
        <f t="shared" si="38"/>
        <v>664.42623058686308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380.64318988568527</v>
      </c>
      <c r="CE39" s="59">
        <f t="shared" si="40"/>
        <v>885.24651320439159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141.39519121478631</v>
      </c>
      <c r="CL39" s="21">
        <f>EXP(-LN(2)/25)*CL38+(1-EXP(-LN(2)/25))/(LN(2)/25)*Calculateur!CG39*Calculateur!CI39*VLOOKUP('Données projet'!$B$12,Paramètres!$A$1:$I$89,3,0)*0.475*44/12</f>
        <v>34.696573336343242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176.09176455112956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22.82714285714286</v>
      </c>
      <c r="CT39" s="12">
        <f>IF('Données projet'!$A$140&gt;35,CT38+CS39-DB38,IF(A39&lt;'Données projet'!$A$140,$CQ$205^A39,IF(A39='Données projet'!$A$140,'Données projet'!$B$140,CT38+CS39-DB38)))</f>
        <v>313.2671428571428</v>
      </c>
      <c r="CU39" s="17">
        <f>CT39*VLOOKUP('Données projet'!$B$13,Paramètres!$A$1:$I$89,3,0)*VLOOKUP('Données projet'!$B$13,Paramètres!$A$1:$I$89,5,0)</f>
        <v>175.11633285714285</v>
      </c>
      <c r="CV39" s="13">
        <f t="shared" si="41"/>
        <v>44.233926946721667</v>
      </c>
      <c r="CW39" s="20">
        <f t="shared" si="13"/>
        <v>382.03503582506397</v>
      </c>
      <c r="CX39" s="59">
        <f t="shared" si="14"/>
        <v>632.89417302809727</v>
      </c>
      <c r="CY39" s="59">
        <f ca="1">AVERAGE(OFFSET($CX$3,0,0,'Données projet'!$E$13+1,1))-AVERAGE(OFFSET($H$3,0,0,'Données projet'!$E$13+1,1))</f>
        <v>404.10467005188889</v>
      </c>
      <c r="CZ39" s="59">
        <f t="shared" si="42"/>
        <v>372.70490129557845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14.70826468167615</v>
      </c>
      <c r="DG39" s="21">
        <f>EXP(-LN(2)/25)*DG38+(1-EXP(-LN(2)/25))/(LN(2)/25)*Calculateur!DB39*Calculateur!DD39*VLOOKUP('Données projet'!$B$13,Paramètres!$A$1:$I$89,3,0)*0.475*44/12</f>
        <v>48.57433487982069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63.282599561496838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3.1761666666666666</v>
      </c>
      <c r="DO39" s="12">
        <f>IF('Données projet'!$A$166&gt;35,DO38+DN39-DW38,IF(A39&lt;'Données projet'!$A$166,$DL$205^A39,IF(A39='Données projet'!$A$166,'Données projet'!$B$166,DO38+DN39-DW38)))</f>
        <v>114.3419999999999</v>
      </c>
      <c r="DP39" s="17">
        <f>DO39*VLOOKUP('Données projet'!$B$14,Paramètres!$A$1:$I$89,3,0)*VLOOKUP('Données projet'!$B$14,Paramètres!$A$1:$I$89,5,0)</f>
        <v>103.45664159999991</v>
      </c>
      <c r="DQ39" s="13">
        <f t="shared" si="43"/>
        <v>27.783858989348001</v>
      </c>
      <c r="DR39" s="20">
        <f t="shared" si="16"/>
        <v>228.57720519311422</v>
      </c>
      <c r="DS39" s="59">
        <f t="shared" si="17"/>
        <v>479.4363423961475</v>
      </c>
      <c r="DT39" s="59">
        <f ca="1">AVERAGE(OFFSET($DS$3,0,0,'Données projet'!$E$14+1,1))-AVERAGE(OFFSET($H$3,0,0,'Données projet'!$E$14+1,1))</f>
        <v>479.53113328461268</v>
      </c>
      <c r="DU39" s="59">
        <f t="shared" si="44"/>
        <v>244.6360664588118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501.41</v>
      </c>
      <c r="EH39" s="12">
        <f>VLOOKUP(A39,'Données projet'!$A$191:$I$211,9,0)</f>
        <v>28.636666666666667</v>
      </c>
      <c r="EI39" s="12">
        <f t="array" ref="EI39">INDEX(EH:EH,MIN(IF(ISNUMBER(EH39:EH235),ROW(EH39:EH235),"")))</f>
        <v>28.636666666666667</v>
      </c>
      <c r="EJ39" s="12">
        <f>IF('Données projet'!$A$192&gt;35,EJ38+EI39-ER38,IF(A39&lt;'Données projet'!$A$192,$EG$205^A39,IF(A39='Données projet'!$A$192,'Données projet'!$B$192,EJ38+EI39-ER38)))</f>
        <v>501.40999999999997</v>
      </c>
      <c r="EK39" s="17">
        <f>EJ39*VLOOKUP('Données projet'!$B$15,Paramètres!$A$1:$I$89,3,0)*VLOOKUP('Données projet'!$B$15,Paramètres!$A$1:$I$89,5,0)</f>
        <v>221.62322</v>
      </c>
      <c r="EL39" s="13">
        <f t="shared" si="45"/>
        <v>54.467533484647333</v>
      </c>
      <c r="EM39" s="20">
        <f t="shared" si="19"/>
        <v>480.85806231909402</v>
      </c>
      <c r="EN39" s="59">
        <f t="shared" si="20"/>
        <v>731.71719952212732</v>
      </c>
      <c r="EO39" s="59">
        <f ca="1">AVERAGE(OFFSET($EN$3,0,0,'Données projet'!$E$15+1,1))-AVERAGE(OFFSET($H$3,0,0,'Données projet'!$E$15+1,1))</f>
        <v>339.23049610652492</v>
      </c>
      <c r="EP39" s="59">
        <f t="shared" si="46"/>
        <v>448.85057640789785</v>
      </c>
      <c r="EQ39" s="15">
        <f>IF(ISNA(VLOOKUP(A39,'Données projet'!$A$191:$I$211,3,0)),0,VLOOKUP(A39,'Données projet'!$A$191:$I$211,3,0))</f>
        <v>4</v>
      </c>
      <c r="ER39" s="15">
        <f>IF(ISNA(VLOOKUP(A39,'Données projet'!$A$191:$I$211,4,0)),0,VLOOKUP(A39,'Données projet'!$A$191:$I$211,4,0))</f>
        <v>85.88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0.55000000000000004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76.035359921834043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76.035359921834043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7.6601960784313725</v>
      </c>
      <c r="FE39" s="12">
        <f>IF('Données projet'!$A$218&gt;35,FE38+FD39-FM38,IF(A39&lt;'Données projet'!$A$218,$FB$205^A39,IF(A39='Données projet'!$A$218,'Données projet'!$B$218,FE38+FD39-FM38)))</f>
        <v>275.7670588235294</v>
      </c>
      <c r="FF39" s="17">
        <f>FE39*VLOOKUP('Données projet'!$B$16,Paramètres!$A$1:$I$89,3,0)*VLOOKUP('Données projet'!$B$16,Paramètres!$A$1:$I$89,5,0)</f>
        <v>129.05898352941176</v>
      </c>
      <c r="FG39" s="13">
        <f t="shared" si="47"/>
        <v>33.778826202282794</v>
      </c>
      <c r="FH39" s="20">
        <f t="shared" si="22"/>
        <v>283.60918528270133</v>
      </c>
      <c r="FI39" s="59">
        <f t="shared" si="23"/>
        <v>534.46832248573457</v>
      </c>
      <c r="FJ39" s="59">
        <f ca="1">AVERAGE(OFFSET($FI$3,0,0,'Données projet'!$E$16+1,1))-AVERAGE(OFFSET($H$3,0,0,'Données projet'!$E$16+1,1))</f>
        <v>365.63278362856033</v>
      </c>
      <c r="FK39" s="59">
        <f t="shared" si="48"/>
        <v>290.68267842697452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5.0742105263157899</v>
      </c>
      <c r="FZ39" s="12">
        <f>IF('Données projet'!$A$244&gt;35,FZ38+FY39-GH38,IF(A39&lt;'Données projet'!$A$244,$FW$205^A39,IF(A39='Données projet'!$A$244,'Données projet'!$B$244,FZ38+FY39-GH38)))</f>
        <v>182.67157894736854</v>
      </c>
      <c r="GA39" s="17">
        <f>FZ39*VLOOKUP('Données projet'!$B$17,Paramètres!$A$1:$I$89,3,0)*VLOOKUP('Données projet'!$B$17,Paramètres!$A$1:$I$89,5,0)</f>
        <v>156.73221473684222</v>
      </c>
      <c r="GB39" s="13">
        <f t="shared" si="49"/>
        <v>40.104574478340844</v>
      </c>
      <c r="GC39" s="20">
        <f t="shared" si="25"/>
        <v>342.82407454977715</v>
      </c>
      <c r="GD39" s="59">
        <f t="shared" si="26"/>
        <v>593.68321175281039</v>
      </c>
      <c r="GE39" s="59">
        <f ca="1">AVERAGE(OFFSET($GD$3,0,0,'Données projet'!$E$17+1,1))-AVERAGE(OFFSET($H$3,0,0,'Données projet'!$E$17+1,1))</f>
        <v>460.46300302025099</v>
      </c>
      <c r="GF39" s="59">
        <f t="shared" si="50"/>
        <v>340.22534554615879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58.416128328099987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23.308750000000003</v>
      </c>
      <c r="GU39" s="12">
        <f>IF('Données projet'!$A$270&gt;35,GU38+GT39-HC38,IF(A39&lt;'Données projet'!$A$270,$GR$205^A39,IF(A39='Données projet'!$A$270,'Données projet'!$B$270,GU38+GT39-HC38)))</f>
        <v>405.1550000000002</v>
      </c>
      <c r="GV39" s="17">
        <f>GU39*VLOOKUP('Données projet'!$B$18,Paramètres!$A$1:$I$89,3,0)*VLOOKUP('Données projet'!$B$18,Paramètres!$A$1:$I$89,5,0)</f>
        <v>242.28269000000014</v>
      </c>
      <c r="GW39" s="13">
        <f t="shared" si="51"/>
        <v>58.930391445845103</v>
      </c>
      <c r="GX39" s="20">
        <f t="shared" si="28"/>
        <v>524.61278351818044</v>
      </c>
      <c r="GY39" s="59">
        <f t="shared" si="29"/>
        <v>775.47192072121368</v>
      </c>
      <c r="GZ39" s="59">
        <f ca="1">AVERAGE(OFFSET($GY$3,0,0,'Données projet'!$E$18+1,1))-AVERAGE(OFFSET($H$3,0,0,'Données projet'!$E$18+1,1))</f>
        <v>-15.950000000000017</v>
      </c>
      <c r="HA39" s="59">
        <f t="shared" si="52"/>
        <v>-15.950000000000017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10.921097810036608</v>
      </c>
      <c r="HH39" s="21">
        <f>EXP(-LN(2)/25)*HH38+(1-EXP(-LN(2)/25))/(LN(2)/25)*Calculateur!HC39*Calculateur!HE39*VLOOKUP('Données projet'!$B$18,Paramètres!$A$1:$I$89,3,0)*0.475*44/12</f>
        <v>44.647456189387192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55.568553999423798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4.3499999999999996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15.949999999999998</v>
      </c>
      <c r="H40" s="67">
        <f t="shared" si="1"/>
        <v>192.86666666666667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10.212499999999999</v>
      </c>
      <c r="N40" s="13">
        <f>IF('Données projet'!$A$36&gt;35,N39+M40-V39,IF(A40&lt;'Données projet'!$A$36,$K$205^A40,IF(A40='Données projet'!$A$36,'Données projet'!$B$36,N39+M40-V39)))</f>
        <v>185.13750000000005</v>
      </c>
      <c r="O40" s="13">
        <f>N40*VLOOKUP('Données projet'!$B$9,Paramètres!$A$1:$I$89,3,0)*VLOOKUP('Données projet'!$B$9,Paramètres!$A$1:$I$89,5,0)</f>
        <v>161.73612000000006</v>
      </c>
      <c r="P40" s="13">
        <f t="shared" si="33"/>
        <v>41.233855819285729</v>
      </c>
      <c r="Q40" s="20">
        <f t="shared" si="53"/>
        <v>353.50604121858942</v>
      </c>
      <c r="R40" s="59">
        <f t="shared" si="0"/>
        <v>605.10201076640658</v>
      </c>
      <c r="S40" s="59">
        <f ca="1">AVERAGE(OFFSET($R$3,0,0,'Données projet'!$E$9+1,1))-AVERAGE(OFFSET($H$3,0,0,'Données projet'!$E$9+1,1))</f>
        <v>433.46721010558042</v>
      </c>
      <c r="T40" s="59">
        <f t="shared" si="34"/>
        <v>306.18862295347509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5.423614967100451</v>
      </c>
      <c r="AA40" s="21">
        <f>EXP(-LN(2)/25)*AA39+(1-EXP(-LN(2)/25))/(LN(2)/25)*Calculateur!V40*Calculateur!X40*VLOOKUP('Données projet'!$B$9,Paramètres!$A$1:$I$89,3,0)*0.475*44/12</f>
        <v>6.1488328033311737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11.572447770431625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23.308750000000003</v>
      </c>
      <c r="AI40" s="13">
        <f>IF('Données projet'!$A$62&gt;35,AI39+AH40-AQ39,IF(A40&lt;'Données projet'!$A$62,$AF$205^A40,IF(A40='Données projet'!$A$62,'Données projet'!$B$62,AI39+AH40-AQ39)))</f>
        <v>428.46375000000023</v>
      </c>
      <c r="AJ40" s="13">
        <f>AI40*VLOOKUP('Données projet'!$B$10,Paramètres!$A$1:$I$89,3,0)*VLOOKUP('Données projet'!$B$10,Paramètres!$A$1:$I$89,5,0)</f>
        <v>256.22132250000016</v>
      </c>
      <c r="AK40" s="13">
        <f t="shared" si="35"/>
        <v>61.91623160633452</v>
      </c>
      <c r="AL40" s="20">
        <f t="shared" si="4"/>
        <v>554.08957340186623</v>
      </c>
      <c r="AM40" s="59">
        <f t="shared" si="5"/>
        <v>805.68554294968339</v>
      </c>
      <c r="AN40" s="59">
        <f ca="1">AVERAGE(OFFSET($AM$3,0,0,'Données projet'!$E$10+1,1))-AVERAGE(OFFSET($H$3,0,0,'Données projet'!$E$10+1,1))</f>
        <v>400.1942260113168</v>
      </c>
      <c r="AO40" s="59">
        <f t="shared" si="36"/>
        <v>497.04866930593926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10.706941743193715</v>
      </c>
      <c r="AV40" s="21">
        <f>EXP(-LN(2)/25)*AV39+(1-EXP(-LN(2)/25))/(LN(2)/25)*Calculateur!AQ40*Calculateur!AS40*VLOOKUP('Données projet'!$B$10,Paramètres!$A$1:$I$89,3,0)*0.475*44/12</f>
        <v>43.426569151980722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54.133510895174439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284.78505691662588</v>
      </c>
      <c r="BJ40" s="59">
        <f t="shared" si="38"/>
        <v>664.42623058686308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380.64318988568527</v>
      </c>
      <c r="CE40" s="59">
        <f t="shared" si="40"/>
        <v>885.24651320439159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138.62251775761524</v>
      </c>
      <c r="CL40" s="21">
        <f>EXP(-LN(2)/25)*CL39+(1-EXP(-LN(2)/25))/(LN(2)/25)*Calculateur!CG40*Calculateur!CI40*VLOOKUP('Données projet'!$B$12,Paramètres!$A$1:$I$89,3,0)*0.475*44/12</f>
        <v>33.747793713847443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172.37031147146268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22.82714285714286</v>
      </c>
      <c r="CT40" s="12">
        <f>IF('Données projet'!$A$140&gt;35,CT39+CS40-DB39,IF(A40&lt;'Données projet'!$A$140,$CQ$205^A40,IF(A40='Données projet'!$A$140,'Données projet'!$B$140,CT39+CS40-DB39)))</f>
        <v>336.09428571428566</v>
      </c>
      <c r="CU40" s="17">
        <f>CT40*VLOOKUP('Données projet'!$B$13,Paramètres!$A$1:$I$89,3,0)*VLOOKUP('Données projet'!$B$13,Paramètres!$A$1:$I$89,5,0)</f>
        <v>187.87670571428569</v>
      </c>
      <c r="CV40" s="13">
        <f t="shared" si="41"/>
        <v>47.070216037627873</v>
      </c>
      <c r="CW40" s="20">
        <f t="shared" si="13"/>
        <v>409.19922205124948</v>
      </c>
      <c r="CX40" s="59">
        <f t="shared" si="14"/>
        <v>660.79519159906658</v>
      </c>
      <c r="CY40" s="59">
        <f ca="1">AVERAGE(OFFSET($CX$3,0,0,'Données projet'!$E$13+1,1))-AVERAGE(OFFSET($H$3,0,0,'Données projet'!$E$13+1,1))</f>
        <v>404.10467005188889</v>
      </c>
      <c r="CZ40" s="59">
        <f t="shared" si="42"/>
        <v>372.70490129557845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14.419844582424108</v>
      </c>
      <c r="DG40" s="21">
        <f>EXP(-LN(2)/25)*DG39+(1-EXP(-LN(2)/25))/(LN(2)/25)*Calculateur!DB40*Calculateur!DD40*VLOOKUP('Données projet'!$B$13,Paramètres!$A$1:$I$89,3,0)*0.475*44/12</f>
        <v>47.24606713811874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61.665911720542852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3.1761666666666666</v>
      </c>
      <c r="DO40" s="12">
        <f>IF('Données projet'!$A$166&gt;35,DO39+DN40-DW39,IF(A40&lt;'Données projet'!$A$166,$DL$205^A40,IF(A40='Données projet'!$A$166,'Données projet'!$B$166,DO39+DN40-DW39)))</f>
        <v>117.51816666666656</v>
      </c>
      <c r="DP40" s="17">
        <f>DO40*VLOOKUP('Données projet'!$B$14,Paramètres!$A$1:$I$89,3,0)*VLOOKUP('Données projet'!$B$14,Paramètres!$A$1:$I$89,5,0)</f>
        <v>106.33043719999991</v>
      </c>
      <c r="DQ40" s="13">
        <f t="shared" si="43"/>
        <v>28.464707135706313</v>
      </c>
      <c r="DR40" s="20">
        <f t="shared" si="16"/>
        <v>234.76820971802169</v>
      </c>
      <c r="DS40" s="59">
        <f t="shared" si="17"/>
        <v>486.36417926583886</v>
      </c>
      <c r="DT40" s="59">
        <f ca="1">AVERAGE(OFFSET($DS$3,0,0,'Données projet'!$E$14+1,1))-AVERAGE(OFFSET($H$3,0,0,'Données projet'!$E$14+1,1))</f>
        <v>479.53113328461268</v>
      </c>
      <c r="DU40" s="59">
        <f t="shared" si="44"/>
        <v>244.6360664588118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28.059999999999992</v>
      </c>
      <c r="EJ40" s="12">
        <f>IF('Données projet'!$A$192&gt;35,EJ39+EI40-ER39,IF(A40&lt;'Données projet'!$A$192,$EG$205^A40,IF(A40='Données projet'!$A$192,'Données projet'!$B$192,EJ39+EI40-ER39)))</f>
        <v>443.58999999999992</v>
      </c>
      <c r="EK40" s="17">
        <f>EJ40*VLOOKUP('Données projet'!$B$15,Paramètres!$A$1:$I$89,3,0)*VLOOKUP('Données projet'!$B$15,Paramètres!$A$1:$I$89,5,0)</f>
        <v>196.06677999999999</v>
      </c>
      <c r="EL40" s="13">
        <f t="shared" si="45"/>
        <v>48.878768332407262</v>
      </c>
      <c r="EM40" s="20">
        <f t="shared" si="19"/>
        <v>426.61349667894268</v>
      </c>
      <c r="EN40" s="59">
        <f t="shared" si="20"/>
        <v>678.20946622675979</v>
      </c>
      <c r="EO40" s="59">
        <f ca="1">AVERAGE(OFFSET($EN$3,0,0,'Données projet'!$E$15+1,1))-AVERAGE(OFFSET($H$3,0,0,'Données projet'!$E$15+1,1))</f>
        <v>339.23049610652492</v>
      </c>
      <c r="EP40" s="59">
        <f t="shared" si="46"/>
        <v>448.85057640789785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73.956169006245688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73.956169006245688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7.6601960784313725</v>
      </c>
      <c r="FE40" s="12">
        <f>IF('Données projet'!$A$218&gt;35,FE39+FD40-FM39,IF(A40&lt;'Données projet'!$A$218,$FB$205^A40,IF(A40='Données projet'!$A$218,'Données projet'!$B$218,FE39+FD40-FM39)))</f>
        <v>283.42725490196079</v>
      </c>
      <c r="FF40" s="17">
        <f>FE40*VLOOKUP('Données projet'!$B$16,Paramètres!$A$1:$I$89,3,0)*VLOOKUP('Données projet'!$B$16,Paramètres!$A$1:$I$89,5,0)</f>
        <v>132.64395529411766</v>
      </c>
      <c r="FG40" s="13">
        <f t="shared" si="47"/>
        <v>34.606582030398712</v>
      </c>
      <c r="FH40" s="20">
        <f t="shared" si="22"/>
        <v>291.29468584019929</v>
      </c>
      <c r="FI40" s="59">
        <f t="shared" si="23"/>
        <v>542.89065538801651</v>
      </c>
      <c r="FJ40" s="59">
        <f ca="1">AVERAGE(OFFSET($FI$3,0,0,'Données projet'!$E$16+1,1))-AVERAGE(OFFSET($H$3,0,0,'Données projet'!$E$16+1,1))</f>
        <v>365.63278362856033</v>
      </c>
      <c r="FK40" s="59">
        <f t="shared" si="48"/>
        <v>290.68267842697452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5.0742105263157899</v>
      </c>
      <c r="FZ40" s="12">
        <f>IF('Données projet'!$A$244&gt;35,FZ39+FY40-GH39,IF(A40&lt;'Données projet'!$A$244,$FW$205^A40,IF(A40='Données projet'!$A$244,'Données projet'!$B$244,FZ39+FY40-GH39)))</f>
        <v>187.74578947368434</v>
      </c>
      <c r="GA40" s="17">
        <f>FZ40*VLOOKUP('Données projet'!$B$17,Paramètres!$A$1:$I$89,3,0)*VLOOKUP('Données projet'!$B$17,Paramètres!$A$1:$I$89,5,0)</f>
        <v>161.08588736842117</v>
      </c>
      <c r="GB40" s="13">
        <f t="shared" si="49"/>
        <v>41.087343833905727</v>
      </c>
      <c r="GC40" s="20">
        <f t="shared" si="25"/>
        <v>352.11837767738598</v>
      </c>
      <c r="GD40" s="59">
        <f t="shared" si="26"/>
        <v>603.71434722520314</v>
      </c>
      <c r="GE40" s="59">
        <f ca="1">AVERAGE(OFFSET($GD$3,0,0,'Données projet'!$E$17+1,1))-AVERAGE(OFFSET($H$3,0,0,'Données projet'!$E$17+1,1))</f>
        <v>460.46300302025099</v>
      </c>
      <c r="GF40" s="59">
        <f t="shared" si="50"/>
        <v>340.22534554615879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58.617082603950145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23.308750000000003</v>
      </c>
      <c r="GU40" s="12">
        <f>IF('Données projet'!$A$270&gt;35,GU39+GT40-HC39,IF(A40&lt;'Données projet'!$A$270,$GR$205^A40,IF(A40='Données projet'!$A$270,'Données projet'!$B$270,GU39+GT40-HC39)))</f>
        <v>428.46375000000023</v>
      </c>
      <c r="GV40" s="17">
        <f>GU40*VLOOKUP('Données projet'!$B$18,Paramètres!$A$1:$I$89,3,0)*VLOOKUP('Données projet'!$B$18,Paramètres!$A$1:$I$89,5,0)</f>
        <v>256.22132250000016</v>
      </c>
      <c r="GW40" s="13">
        <f t="shared" si="51"/>
        <v>61.91623160633452</v>
      </c>
      <c r="GX40" s="20">
        <f t="shared" si="28"/>
        <v>554.08957340186623</v>
      </c>
      <c r="GY40" s="59">
        <f t="shared" si="29"/>
        <v>805.68554294968339</v>
      </c>
      <c r="GZ40" s="59">
        <f ca="1">AVERAGE(OFFSET($GY$3,0,0,'Données projet'!$E$18+1,1))-AVERAGE(OFFSET($H$3,0,0,'Données projet'!$E$18+1,1))</f>
        <v>-15.950000000000017</v>
      </c>
      <c r="HA40" s="59">
        <f t="shared" si="52"/>
        <v>-15.950000000000017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10.706941743193715</v>
      </c>
      <c r="HH40" s="21">
        <f>EXP(-LN(2)/25)*HH39+(1-EXP(-LN(2)/25))/(LN(2)/25)*Calculateur!HC40*Calculateur!HE40*VLOOKUP('Données projet'!$B$18,Paramètres!$A$1:$I$89,3,0)*0.475*44/12</f>
        <v>43.426569151980722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54.133510895174439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4.3499999999999996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15.949999999999998</v>
      </c>
      <c r="H41" s="67">
        <f t="shared" si="1"/>
        <v>192.86666666666667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10.212499999999999</v>
      </c>
      <c r="N41" s="13">
        <f>IF('Données projet'!$A$36&gt;35,N40+M41-V40,IF(A41&lt;'Données projet'!$A$36,$K$205^A41,IF(A41='Données projet'!$A$36,'Données projet'!$B$36,N40+M41-V40)))</f>
        <v>195.35000000000005</v>
      </c>
      <c r="O41" s="13">
        <f>N41*VLOOKUP('Données projet'!$B$9,Paramètres!$A$1:$I$89,3,0)*VLOOKUP('Données projet'!$B$9,Paramètres!$A$1:$I$89,5,0)</f>
        <v>170.65776000000008</v>
      </c>
      <c r="P41" s="13">
        <f t="shared" si="33"/>
        <v>43.237306818575412</v>
      </c>
      <c r="Q41" s="20">
        <f t="shared" si="53"/>
        <v>372.53390804235232</v>
      </c>
      <c r="R41" s="59">
        <f t="shared" si="0"/>
        <v>624.85392754108182</v>
      </c>
      <c r="S41" s="59">
        <f ca="1">AVERAGE(OFFSET($R$3,0,0,'Données projet'!$E$9+1,1))-AVERAGE(OFFSET($H$3,0,0,'Données projet'!$E$9+1,1))</f>
        <v>433.46721010558042</v>
      </c>
      <c r="T41" s="59">
        <f t="shared" si="34"/>
        <v>306.18862295347509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5.3172611856740959</v>
      </c>
      <c r="AA41" s="21">
        <f>EXP(-LN(2)/25)*AA40+(1-EXP(-LN(2)/25))/(LN(2)/25)*Calculateur!V41*Calculateur!X41*VLOOKUP('Données projet'!$B$9,Paramètres!$A$1:$I$89,3,0)*0.475*44/12</f>
        <v>5.9806926469710193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11.297953832645115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23.308750000000003</v>
      </c>
      <c r="AI41" s="13">
        <f>IF('Données projet'!$A$62&gt;35,AI40+AH41-AQ40,IF(A41&lt;'Données projet'!$A$62,$AF$205^A41,IF(A41='Données projet'!$A$62,'Données projet'!$B$62,AI40+AH41-AQ40)))</f>
        <v>451.77250000000026</v>
      </c>
      <c r="AJ41" s="13">
        <f>AI41*VLOOKUP('Données projet'!$B$10,Paramètres!$A$1:$I$89,3,0)*VLOOKUP('Données projet'!$B$10,Paramètres!$A$1:$I$89,5,0)</f>
        <v>270.1599550000002</v>
      </c>
      <c r="AK41" s="13">
        <f t="shared" si="35"/>
        <v>64.88321460564265</v>
      </c>
      <c r="AL41" s="20">
        <f t="shared" si="4"/>
        <v>583.53352039649462</v>
      </c>
      <c r="AM41" s="59">
        <f t="shared" si="5"/>
        <v>835.85353989522412</v>
      </c>
      <c r="AN41" s="59">
        <f ca="1">AVERAGE(OFFSET($AM$3,0,0,'Données projet'!$E$10+1,1))-AVERAGE(OFFSET($H$3,0,0,'Données projet'!$E$10+1,1))</f>
        <v>400.1942260113168</v>
      </c>
      <c r="AO41" s="59">
        <f t="shared" si="36"/>
        <v>497.04866930593926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10.496985146199307</v>
      </c>
      <c r="AV41" s="21">
        <f>EXP(-LN(2)/25)*AV40+(1-EXP(-LN(2)/25))/(LN(2)/25)*Calculateur!AQ41*Calculateur!AS41*VLOOKUP('Données projet'!$B$10,Paramètres!$A$1:$I$89,3,0)*0.475*44/12</f>
        <v>42.239067334815793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52.736052481015101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284.78505691662588</v>
      </c>
      <c r="BJ41" s="59">
        <f t="shared" si="38"/>
        <v>664.42623058686308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380.64318988568527</v>
      </c>
      <c r="CE41" s="59">
        <f t="shared" si="40"/>
        <v>885.24651320439159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135.9042147357755</v>
      </c>
      <c r="CL41" s="21">
        <f>EXP(-LN(2)/25)*CL40+(1-EXP(-LN(2)/25))/(LN(2)/25)*Calculateur!CG41*Calculateur!CI41*VLOOKUP('Données projet'!$B$12,Paramètres!$A$1:$I$89,3,0)*0.475*44/12</f>
        <v>32.824958520022946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168.72917325579846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22.82714285714286</v>
      </c>
      <c r="CT41" s="12">
        <f>IF('Données projet'!$A$140&gt;35,CT40+CS41-DB40,IF(A41&lt;'Données projet'!$A$140,$CQ$205^A41,IF(A41='Données projet'!$A$140,'Données projet'!$B$140,CT40+CS41-DB40)))</f>
        <v>358.92142857142852</v>
      </c>
      <c r="CU41" s="17">
        <f>CT41*VLOOKUP('Données projet'!$B$13,Paramètres!$A$1:$I$89,3,0)*VLOOKUP('Données projet'!$B$13,Paramètres!$A$1:$I$89,5,0)</f>
        <v>200.63707857142853</v>
      </c>
      <c r="CV41" s="13">
        <f t="shared" si="41"/>
        <v>49.884152387105956</v>
      </c>
      <c r="CW41" s="20">
        <f t="shared" si="13"/>
        <v>436.32447725278092</v>
      </c>
      <c r="CX41" s="59">
        <f t="shared" si="14"/>
        <v>688.64449675151036</v>
      </c>
      <c r="CY41" s="59">
        <f ca="1">AVERAGE(OFFSET($CX$3,0,0,'Données projet'!$E$13+1,1))-AVERAGE(OFFSET($H$3,0,0,'Données projet'!$E$13+1,1))</f>
        <v>404.10467005188889</v>
      </c>
      <c r="CZ41" s="59">
        <f t="shared" si="42"/>
        <v>372.70490129557845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14.13708022539951</v>
      </c>
      <c r="DG41" s="21">
        <f>EXP(-LN(2)/25)*DG40+(1-EXP(-LN(2)/25))/(LN(2)/25)*Calculateur!DB41*Calculateur!DD41*VLOOKUP('Données projet'!$B$13,Paramètres!$A$1:$I$89,3,0)*0.475*44/12</f>
        <v>45.954120947664194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60.091201173063702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3.1761666666666666</v>
      </c>
      <c r="DO41" s="12">
        <f>IF('Données projet'!$A$166&gt;35,DO40+DN41-DW40,IF(A41&lt;'Données projet'!$A$166,$DL$205^A41,IF(A41='Données projet'!$A$166,'Données projet'!$B$166,DO40+DN41-DW40)))</f>
        <v>120.69433333333322</v>
      </c>
      <c r="DP41" s="17">
        <f>DO41*VLOOKUP('Données projet'!$B$14,Paramètres!$A$1:$I$89,3,0)*VLOOKUP('Données projet'!$B$14,Paramètres!$A$1:$I$89,5,0)</f>
        <v>109.20423279999989</v>
      </c>
      <c r="DQ41" s="13">
        <f t="shared" si="43"/>
        <v>29.143416461079958</v>
      </c>
      <c r="DR41" s="20">
        <f t="shared" si="16"/>
        <v>240.95548912971404</v>
      </c>
      <c r="DS41" s="59">
        <f t="shared" si="17"/>
        <v>493.2755086284435</v>
      </c>
      <c r="DT41" s="59">
        <f ca="1">AVERAGE(OFFSET($DS$3,0,0,'Données projet'!$E$14+1,1))-AVERAGE(OFFSET($H$3,0,0,'Données projet'!$E$14+1,1))</f>
        <v>479.53113328461268</v>
      </c>
      <c r="DU41" s="59">
        <f t="shared" si="44"/>
        <v>244.6360664588118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28.059999999999992</v>
      </c>
      <c r="EJ41" s="12">
        <f>IF('Données projet'!$A$192&gt;35,EJ40+EI41-ER40,IF(A41&lt;'Données projet'!$A$192,$EG$205^A41,IF(A41='Données projet'!$A$192,'Données projet'!$B$192,EJ40+EI41-ER40)))</f>
        <v>471.64999999999992</v>
      </c>
      <c r="EK41" s="17">
        <f>EJ41*VLOOKUP('Données projet'!$B$15,Paramètres!$A$1:$I$89,3,0)*VLOOKUP('Données projet'!$B$15,Paramètres!$A$1:$I$89,5,0)</f>
        <v>208.4693</v>
      </c>
      <c r="EL41" s="13">
        <f t="shared" si="45"/>
        <v>51.60094694910368</v>
      </c>
      <c r="EM41" s="20">
        <f t="shared" si="19"/>
        <v>452.9556801030223</v>
      </c>
      <c r="EN41" s="59">
        <f t="shared" si="20"/>
        <v>705.27569960175174</v>
      </c>
      <c r="EO41" s="59">
        <f ca="1">AVERAGE(OFFSET($EN$3,0,0,'Données projet'!$E$15+1,1))-AVERAGE(OFFSET($H$3,0,0,'Données projet'!$E$15+1,1))</f>
        <v>339.23049610652492</v>
      </c>
      <c r="EP41" s="59">
        <f t="shared" si="46"/>
        <v>448.85057640789785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71.933833675583998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71.933833675583998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7.6601960784313725</v>
      </c>
      <c r="FE41" s="12">
        <f>IF('Données projet'!$A$218&gt;35,FE40+FD41-FM40,IF(A41&lt;'Données projet'!$A$218,$FB$205^A41,IF(A41='Données projet'!$A$218,'Données projet'!$B$218,FE40+FD41-FM40)))</f>
        <v>291.08745098039219</v>
      </c>
      <c r="FF41" s="17">
        <f>FE41*VLOOKUP('Données projet'!$B$16,Paramètres!$A$1:$I$89,3,0)*VLOOKUP('Données projet'!$B$16,Paramètres!$A$1:$I$89,5,0)</f>
        <v>136.22892705882356</v>
      </c>
      <c r="FG41" s="13">
        <f t="shared" si="47"/>
        <v>35.431737540742127</v>
      </c>
      <c r="FH41" s="20">
        <f t="shared" si="22"/>
        <v>298.9756575109102</v>
      </c>
      <c r="FI41" s="59">
        <f t="shared" si="23"/>
        <v>551.29567700963969</v>
      </c>
      <c r="FJ41" s="59">
        <f ca="1">AVERAGE(OFFSET($FI$3,0,0,'Données projet'!$E$16+1,1))-AVERAGE(OFFSET($H$3,0,0,'Données projet'!$E$16+1,1))</f>
        <v>365.63278362856033</v>
      </c>
      <c r="FK41" s="59">
        <f t="shared" si="48"/>
        <v>290.68267842697452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5.0742105263157899</v>
      </c>
      <c r="FZ41" s="12">
        <f>IF('Données projet'!$A$244&gt;35,FZ40+FY41-GH40,IF(A41&lt;'Données projet'!$A$244,$FW$205^A41,IF(A41='Données projet'!$A$244,'Données projet'!$B$244,FZ40+FY41-GH40)))</f>
        <v>192.82000000000014</v>
      </c>
      <c r="GA41" s="17">
        <f>FZ41*VLOOKUP('Données projet'!$B$17,Paramètres!$A$1:$I$89,3,0)*VLOOKUP('Données projet'!$B$17,Paramètres!$A$1:$I$89,5,0)</f>
        <v>165.43956000000014</v>
      </c>
      <c r="GB41" s="13">
        <f t="shared" si="49"/>
        <v>42.067025911151632</v>
      </c>
      <c r="GC41" s="20">
        <f t="shared" si="25"/>
        <v>361.40730379525598</v>
      </c>
      <c r="GD41" s="59">
        <f t="shared" si="26"/>
        <v>613.72732329398548</v>
      </c>
      <c r="GE41" s="59">
        <f ca="1">AVERAGE(OFFSET($GD$3,0,0,'Données projet'!$E$17+1,1))-AVERAGE(OFFSET($H$3,0,0,'Données projet'!$E$17+1,1))</f>
        <v>460.46300302025099</v>
      </c>
      <c r="GF41" s="59">
        <f t="shared" si="50"/>
        <v>340.22534554615879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58.814550772380755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23.308750000000003</v>
      </c>
      <c r="GU41" s="12">
        <f>IF('Données projet'!$A$270&gt;35,GU40+GT41-HC40,IF(A41&lt;'Données projet'!$A$270,$GR$205^A41,IF(A41='Données projet'!$A$270,'Données projet'!$B$270,GU40+GT41-HC40)))</f>
        <v>451.77250000000026</v>
      </c>
      <c r="GV41" s="17">
        <f>GU41*VLOOKUP('Données projet'!$B$18,Paramètres!$A$1:$I$89,3,0)*VLOOKUP('Données projet'!$B$18,Paramètres!$A$1:$I$89,5,0)</f>
        <v>270.1599550000002</v>
      </c>
      <c r="GW41" s="13">
        <f t="shared" si="51"/>
        <v>64.88321460564265</v>
      </c>
      <c r="GX41" s="20">
        <f t="shared" si="28"/>
        <v>583.53352039649462</v>
      </c>
      <c r="GY41" s="59">
        <f t="shared" si="29"/>
        <v>835.85353989522412</v>
      </c>
      <c r="GZ41" s="59">
        <f ca="1">AVERAGE(OFFSET($GY$3,0,0,'Données projet'!$E$18+1,1))-AVERAGE(OFFSET($H$3,0,0,'Données projet'!$E$18+1,1))</f>
        <v>-15.950000000000017</v>
      </c>
      <c r="HA41" s="59">
        <f t="shared" si="52"/>
        <v>-15.950000000000017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10.496985146199307</v>
      </c>
      <c r="HH41" s="21">
        <f>EXP(-LN(2)/25)*HH40+(1-EXP(-LN(2)/25))/(LN(2)/25)*Calculateur!HC41*Calculateur!HE41*VLOOKUP('Données projet'!$B$18,Paramètres!$A$1:$I$89,3,0)*0.475*44/12</f>
        <v>42.239067334815793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52.736052481015101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4.3499999999999996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15.949999999999998</v>
      </c>
      <c r="H42" s="67">
        <f t="shared" si="1"/>
        <v>192.86666666666667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10.212499999999999</v>
      </c>
      <c r="N42" s="13">
        <f>IF('Données projet'!$A$36&gt;35,N41+M42-V41,IF(A42&lt;'Données projet'!$A$36,$K$205^A42,IF(A42='Données projet'!$A$36,'Données projet'!$B$36,N41+M42-V41)))</f>
        <v>205.56250000000006</v>
      </c>
      <c r="O42" s="13">
        <f>N42*VLOOKUP('Données projet'!$B$9,Paramètres!$A$1:$I$89,3,0)*VLOOKUP('Données projet'!$B$9,Paramètres!$A$1:$I$89,5,0)</f>
        <v>179.57940000000008</v>
      </c>
      <c r="P42" s="13">
        <f t="shared" si="33"/>
        <v>45.228597678839186</v>
      </c>
      <c r="Q42" s="20">
        <f t="shared" si="53"/>
        <v>391.54059595731172</v>
      </c>
      <c r="R42" s="59">
        <f t="shared" si="0"/>
        <v>644.57210475903821</v>
      </c>
      <c r="S42" s="59">
        <f ca="1">AVERAGE(OFFSET($R$3,0,0,'Données projet'!$E$9+1,1))-AVERAGE(OFFSET($H$3,0,0,'Données projet'!$E$9+1,1))</f>
        <v>433.46721010558042</v>
      </c>
      <c r="T42" s="59">
        <f t="shared" si="34"/>
        <v>306.18862295347509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5.2129929370321095</v>
      </c>
      <c r="AA42" s="21">
        <f>EXP(-LN(2)/25)*AA41+(1-EXP(-LN(2)/25))/(LN(2)/25)*Calculateur!V42*Calculateur!X42*VLOOKUP('Données projet'!$B$9,Paramètres!$A$1:$I$89,3,0)*0.475*44/12</f>
        <v>5.8171502920286393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11.030143229060748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23.308750000000003</v>
      </c>
      <c r="AI42" s="13">
        <f>IF('Données projet'!$A$62&gt;35,AI41+AH42-AQ41,IF(A42&lt;'Données projet'!$A$62,$AF$205^A42,IF(A42='Données projet'!$A$62,'Données projet'!$B$62,AI41+AH42-AQ41)))</f>
        <v>475.0812500000003</v>
      </c>
      <c r="AJ42" s="13">
        <f>AI42*VLOOKUP('Données projet'!$B$10,Paramètres!$A$1:$I$89,3,0)*VLOOKUP('Données projet'!$B$10,Paramètres!$A$1:$I$89,5,0)</f>
        <v>284.09858750000018</v>
      </c>
      <c r="AK42" s="13">
        <f t="shared" si="35"/>
        <v>67.832424338348147</v>
      </c>
      <c r="AL42" s="20">
        <f t="shared" si="4"/>
        <v>612.94651228512339</v>
      </c>
      <c r="AM42" s="59">
        <f t="shared" si="5"/>
        <v>865.97802108684994</v>
      </c>
      <c r="AN42" s="59">
        <f ca="1">AVERAGE(OFFSET($AM$3,0,0,'Données projet'!$E$10+1,1))-AVERAGE(OFFSET($H$3,0,0,'Données projet'!$E$10+1,1))</f>
        <v>400.1942260113168</v>
      </c>
      <c r="AO42" s="59">
        <f t="shared" si="36"/>
        <v>497.04866930593926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10.291145670011081</v>
      </c>
      <c r="AV42" s="21">
        <f>EXP(-LN(2)/25)*AV41+(1-EXP(-LN(2)/25))/(LN(2)/25)*Calculateur!AQ42*Calculateur!AS42*VLOOKUP('Données projet'!$B$10,Paramètres!$A$1:$I$89,3,0)*0.475*44/12</f>
        <v>41.084037817289243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51.375183487300326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284.78505691662588</v>
      </c>
      <c r="BJ42" s="59">
        <f t="shared" si="38"/>
        <v>664.42623058686308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380.64318988568527</v>
      </c>
      <c r="CE42" s="59">
        <f t="shared" si="40"/>
        <v>885.24651320439159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133.23921597819287</v>
      </c>
      <c r="CL42" s="21">
        <f>EXP(-LN(2)/25)*CL41+(1-EXP(-LN(2)/25))/(LN(2)/25)*Calculateur!CG42*Calculateur!CI42*VLOOKUP('Données projet'!$B$12,Paramètres!$A$1:$I$89,3,0)*0.475*44/12</f>
        <v>31.927358303103372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165.16657428129625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22.82714285714286</v>
      </c>
      <c r="CT42" s="12">
        <f>IF('Données projet'!$A$140&gt;35,CT41+CS42-DB41,IF(A42&lt;'Données projet'!$A$140,$CQ$205^A42,IF(A42='Données projet'!$A$140,'Données projet'!$B$140,CT41+CS42-DB41)))</f>
        <v>381.74857142857138</v>
      </c>
      <c r="CU42" s="17">
        <f>CT42*VLOOKUP('Données projet'!$B$13,Paramètres!$A$1:$I$89,3,0)*VLOOKUP('Données projet'!$B$13,Paramètres!$A$1:$I$89,5,0)</f>
        <v>213.3974514285714</v>
      </c>
      <c r="CV42" s="13">
        <f t="shared" si="41"/>
        <v>52.67731943158536</v>
      </c>
      <c r="CW42" s="20">
        <f t="shared" si="13"/>
        <v>463.41355924810637</v>
      </c>
      <c r="CX42" s="59">
        <f t="shared" si="14"/>
        <v>716.44506804983291</v>
      </c>
      <c r="CY42" s="59">
        <f ca="1">AVERAGE(OFFSET($CX$3,0,0,'Données projet'!$E$13+1,1))-AVERAGE(OFFSET($H$3,0,0,'Données projet'!$E$13+1,1))</f>
        <v>404.10467005188889</v>
      </c>
      <c r="CZ42" s="59">
        <f t="shared" si="42"/>
        <v>372.70490129557845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13.859860704946936</v>
      </c>
      <c r="DG42" s="21">
        <f>EXP(-LN(2)/25)*DG41+(1-EXP(-LN(2)/25))/(LN(2)/25)*Calculateur!DB42*Calculateur!DD42*VLOOKUP('Données projet'!$B$13,Paramètres!$A$1:$I$89,3,0)*0.475*44/12</f>
        <v>44.697503093728123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58.557363798675055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3.1761666666666666</v>
      </c>
      <c r="DO42" s="12">
        <f>IF('Données projet'!$A$166&gt;35,DO41+DN42-DW41,IF(A42&lt;'Données projet'!$A$166,$DL$205^A42,IF(A42='Données projet'!$A$166,'Données projet'!$B$166,DO41+DN42-DW41)))</f>
        <v>123.87049999999988</v>
      </c>
      <c r="DP42" s="17">
        <f>DO42*VLOOKUP('Données projet'!$B$14,Paramètres!$A$1:$I$89,3,0)*VLOOKUP('Données projet'!$B$14,Paramètres!$A$1:$I$89,5,0)</f>
        <v>112.07802839999988</v>
      </c>
      <c r="DQ42" s="13">
        <f t="shared" si="43"/>
        <v>29.82004972029981</v>
      </c>
      <c r="DR42" s="20">
        <f t="shared" si="16"/>
        <v>247.1391527261886</v>
      </c>
      <c r="DS42" s="59">
        <f t="shared" si="17"/>
        <v>500.17066152791517</v>
      </c>
      <c r="DT42" s="59">
        <f ca="1">AVERAGE(OFFSET($DS$3,0,0,'Données projet'!$E$14+1,1))-AVERAGE(OFFSET($H$3,0,0,'Données projet'!$E$14+1,1))</f>
        <v>479.53113328461268</v>
      </c>
      <c r="DU42" s="59">
        <f t="shared" si="44"/>
        <v>244.6360664588118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28.059999999999992</v>
      </c>
      <c r="EJ42" s="12">
        <f>IF('Données projet'!$A$192&gt;35,EJ41+EI42-ER41,IF(A42&lt;'Données projet'!$A$192,$EG$205^A42,IF(A42='Données projet'!$A$192,'Données projet'!$B$192,EJ41+EI42-ER41)))</f>
        <v>499.70999999999992</v>
      </c>
      <c r="EK42" s="17">
        <f>EJ42*VLOOKUP('Données projet'!$B$15,Paramètres!$A$1:$I$89,3,0)*VLOOKUP('Données projet'!$B$15,Paramètres!$A$1:$I$89,5,0)</f>
        <v>220.87182000000001</v>
      </c>
      <c r="EL42" s="13">
        <f t="shared" si="45"/>
        <v>54.304327852172058</v>
      </c>
      <c r="EM42" s="20">
        <f t="shared" si="19"/>
        <v>479.26512417586628</v>
      </c>
      <c r="EN42" s="59">
        <f t="shared" si="20"/>
        <v>732.29663297759282</v>
      </c>
      <c r="EO42" s="59">
        <f ca="1">AVERAGE(OFFSET($EN$3,0,0,'Données projet'!$E$15+1,1))-AVERAGE(OFFSET($H$3,0,0,'Données projet'!$E$15+1,1))</f>
        <v>339.23049610652492</v>
      </c>
      <c r="EP42" s="59">
        <f t="shared" si="46"/>
        <v>448.85057640789785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69.966799210889249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69.966799210889249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7.6601960784313725</v>
      </c>
      <c r="FE42" s="12">
        <f>IF('Données projet'!$A$218&gt;35,FE41+FD42-FM41,IF(A42&lt;'Données projet'!$A$218,$FB$205^A42,IF(A42='Données projet'!$A$218,'Données projet'!$B$218,FE41+FD42-FM41)))</f>
        <v>298.74764705882359</v>
      </c>
      <c r="FF42" s="17">
        <f>FE42*VLOOKUP('Données projet'!$B$16,Paramètres!$A$1:$I$89,3,0)*VLOOKUP('Données projet'!$B$16,Paramètres!$A$1:$I$89,5,0)</f>
        <v>139.81389882352943</v>
      </c>
      <c r="FG42" s="13">
        <f t="shared" si="47"/>
        <v>36.254369028853056</v>
      </c>
      <c r="FH42" s="20">
        <f t="shared" si="22"/>
        <v>306.65223317623287</v>
      </c>
      <c r="FI42" s="59">
        <f t="shared" si="23"/>
        <v>559.68374197795947</v>
      </c>
      <c r="FJ42" s="59">
        <f ca="1">AVERAGE(OFFSET($FI$3,0,0,'Données projet'!$E$16+1,1))-AVERAGE(OFFSET($H$3,0,0,'Données projet'!$E$16+1,1))</f>
        <v>365.63278362856033</v>
      </c>
      <c r="FK42" s="59">
        <f t="shared" si="48"/>
        <v>290.68267842697452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5.0742105263157899</v>
      </c>
      <c r="FZ42" s="12">
        <f>IF('Données projet'!$A$244&gt;35,FZ41+FY42-GH41,IF(A42&lt;'Données projet'!$A$244,$FW$205^A42,IF(A42='Données projet'!$A$244,'Données projet'!$B$244,FZ41+FY42-GH41)))</f>
        <v>197.89421052631593</v>
      </c>
      <c r="GA42" s="17">
        <f>FZ42*VLOOKUP('Données projet'!$B$17,Paramètres!$A$1:$I$89,3,0)*VLOOKUP('Données projet'!$B$17,Paramètres!$A$1:$I$89,5,0)</f>
        <v>169.79323263157909</v>
      </c>
      <c r="GB42" s="13">
        <f t="shared" si="49"/>
        <v>43.043711293456148</v>
      </c>
      <c r="GC42" s="20">
        <f t="shared" si="25"/>
        <v>370.69101066943631</v>
      </c>
      <c r="GD42" s="59">
        <f t="shared" si="26"/>
        <v>623.72251947116285</v>
      </c>
      <c r="GE42" s="59">
        <f ca="1">AVERAGE(OFFSET($GD$3,0,0,'Données projet'!$E$17+1,1))-AVERAGE(OFFSET($H$3,0,0,'Données projet'!$E$17+1,1))</f>
        <v>460.46300302025099</v>
      </c>
      <c r="GF42" s="59">
        <f t="shared" si="50"/>
        <v>340.22534554615879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59.008593309561789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23.308750000000003</v>
      </c>
      <c r="GU42" s="12">
        <f>IF('Données projet'!$A$270&gt;35,GU41+GT42-HC41,IF(A42&lt;'Données projet'!$A$270,$GR$205^A42,IF(A42='Données projet'!$A$270,'Données projet'!$B$270,GU41+GT42-HC41)))</f>
        <v>475.0812500000003</v>
      </c>
      <c r="GV42" s="17">
        <f>GU42*VLOOKUP('Données projet'!$B$18,Paramètres!$A$1:$I$89,3,0)*VLOOKUP('Données projet'!$B$18,Paramètres!$A$1:$I$89,5,0)</f>
        <v>284.09858750000018</v>
      </c>
      <c r="GW42" s="13">
        <f t="shared" si="51"/>
        <v>67.832424338348147</v>
      </c>
      <c r="GX42" s="20">
        <f t="shared" si="28"/>
        <v>612.94651228512339</v>
      </c>
      <c r="GY42" s="59">
        <f t="shared" si="29"/>
        <v>865.97802108684994</v>
      </c>
      <c r="GZ42" s="59">
        <f ca="1">AVERAGE(OFFSET($GY$3,0,0,'Données projet'!$E$18+1,1))-AVERAGE(OFFSET($H$3,0,0,'Données projet'!$E$18+1,1))</f>
        <v>-15.950000000000017</v>
      </c>
      <c r="HA42" s="59">
        <f t="shared" si="52"/>
        <v>-15.950000000000017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10.291145670011081</v>
      </c>
      <c r="HH42" s="21">
        <f>EXP(-LN(2)/25)*HH41+(1-EXP(-LN(2)/25))/(LN(2)/25)*Calculateur!HC42*Calculateur!HE42*VLOOKUP('Données projet'!$B$18,Paramètres!$A$1:$I$89,3,0)*0.475*44/12</f>
        <v>41.084037817289243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51.375183487300326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4.3499999999999996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15.949999999999998</v>
      </c>
      <c r="H43" s="67">
        <f t="shared" si="1"/>
        <v>192.86666666666667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10.212499999999999</v>
      </c>
      <c r="N43" s="13">
        <f>IF('Données projet'!$A$36&gt;35,N42+M43-V42,IF(A43&lt;'Données projet'!$A$36,$K$205^A43,IF(A43='Données projet'!$A$36,'Données projet'!$B$36,N42+M43-V42)))</f>
        <v>215.77500000000006</v>
      </c>
      <c r="O43" s="13">
        <f>N43*VLOOKUP('Données projet'!$B$9,Paramètres!$A$1:$I$89,3,0)*VLOOKUP('Données projet'!$B$9,Paramètres!$A$1:$I$89,5,0)</f>
        <v>188.50104000000007</v>
      </c>
      <c r="P43" s="13">
        <f t="shared" si="33"/>
        <v>47.208401465736486</v>
      </c>
      <c r="Q43" s="20">
        <f t="shared" si="53"/>
        <v>410.52727721949122</v>
      </c>
      <c r="R43" s="59">
        <f t="shared" si="0"/>
        <v>664.25793257545968</v>
      </c>
      <c r="S43" s="59">
        <f ca="1">AVERAGE(OFFSET($R$3,0,0,'Données projet'!$E$9+1,1))-AVERAGE(OFFSET($H$3,0,0,'Données projet'!$E$9+1,1))</f>
        <v>433.46721010558042</v>
      </c>
      <c r="T43" s="59">
        <f t="shared" si="34"/>
        <v>306.18862295347509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5.1107693251486408</v>
      </c>
      <c r="AA43" s="21">
        <f>EXP(-LN(2)/25)*AA42+(1-EXP(-LN(2)/25))/(LN(2)/25)*Calculateur!V43*Calculateur!X43*VLOOKUP('Données projet'!$B$9,Paramètres!$A$1:$I$89,3,0)*0.475*44/12</f>
        <v>5.6580800113824772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10.768849336531119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498.39</v>
      </c>
      <c r="AG43" s="12">
        <f>VLOOKUP(A43,'Données projet'!$A$61:$I$81,9,0)</f>
        <v>23.308750000000003</v>
      </c>
      <c r="AH43" s="12">
        <f t="array" ref="AH43">INDEX(AG:AG,MIN(IF(ISNUMBER(AG43:AG239),ROW(AG43:AG239),"")))</f>
        <v>23.308750000000003</v>
      </c>
      <c r="AI43" s="13">
        <f>IF('Données projet'!$A$62&gt;35,AI42+AH43-AQ42,IF(A43&lt;'Données projet'!$A$62,$AF$205^A43,IF(A43='Données projet'!$A$62,'Données projet'!$B$62,AI42+AH43-AQ42)))</f>
        <v>498.39000000000033</v>
      </c>
      <c r="AJ43" s="13">
        <f>AI43*VLOOKUP('Données projet'!$B$10,Paramètres!$A$1:$I$89,3,0)*VLOOKUP('Données projet'!$B$10,Paramètres!$A$1:$I$89,5,0)</f>
        <v>298.03722000000022</v>
      </c>
      <c r="AK43" s="13">
        <f t="shared" si="35"/>
        <v>70.764832332856912</v>
      </c>
      <c r="AL43" s="20">
        <f t="shared" si="4"/>
        <v>642.33024114639272</v>
      </c>
      <c r="AM43" s="59">
        <f t="shared" si="5"/>
        <v>896.06089650236117</v>
      </c>
      <c r="AN43" s="59">
        <f ca="1">AVERAGE(OFFSET($AM$3,0,0,'Données projet'!$E$10+1,1))-AVERAGE(OFFSET($H$3,0,0,'Données projet'!$E$10+1,1))</f>
        <v>400.1942260113168</v>
      </c>
      <c r="AO43" s="59">
        <f t="shared" si="36"/>
        <v>497.04866930593926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116.49</v>
      </c>
      <c r="AR43" s="16">
        <f>IF(ISNA(VLOOKUP(A43,'Données projet'!$A$61:$I$81,5,0)),0%,VLOOKUP(A43,'Données projet'!$A$61:$I$81,5,0)*VLOOKUP('Données projet'!$B$10,Paramètres!$A$1:$I$89,7,0))</f>
        <v>0.13500000000000001</v>
      </c>
      <c r="AS43" s="16">
        <f>IF(ISNA(VLOOKUP(A43,'Données projet'!$A$61:$I$81,6,0)),0%,VLOOKUP(A43,'Données projet'!$A$61:$I$81,6,0)*VLOOKUP('Données projet'!$B$10,Paramètres!$A$1:$I$89,7,0))</f>
        <v>0.22500000000000001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22.564670043725719</v>
      </c>
      <c r="AV43" s="21">
        <f>EXP(-LN(2)/25)*AV42+(1-EXP(-LN(2)/25))/(LN(2)/25)*Calculateur!AQ43*Calculateur!AS43*VLOOKUP('Données projet'!$B$10,Paramètres!$A$1:$I$89,3,0)*0.475*44/12</f>
        <v>60.670938218708081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83.2356082624338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284.78505691662588</v>
      </c>
      <c r="BJ43" s="59">
        <f t="shared" si="38"/>
        <v>664.42623058686308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380.64318988568527</v>
      </c>
      <c r="CE43" s="59">
        <f t="shared" si="40"/>
        <v>885.24651320439159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130.62647622075772</v>
      </c>
      <c r="CL43" s="21">
        <f>EXP(-LN(2)/25)*CL42+(1-EXP(-LN(2)/25))/(LN(2)/25)*Calculateur!CG43*Calculateur!CI43*VLOOKUP('Données projet'!$B$12,Paramètres!$A$1:$I$89,3,0)*0.475*44/12</f>
        <v>31.054303011318208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161.68077923207593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22.82714285714286</v>
      </c>
      <c r="CT43" s="12">
        <f>IF('Données projet'!$A$140&gt;35,CT42+CS43-DB42,IF(A43&lt;'Données projet'!$A$140,$CQ$205^A43,IF(A43='Données projet'!$A$140,'Données projet'!$B$140,CT42+CS43-DB42)))</f>
        <v>404.57571428571424</v>
      </c>
      <c r="CU43" s="17">
        <f>CT43*VLOOKUP('Données projet'!$B$13,Paramètres!$A$1:$I$89,3,0)*VLOOKUP('Données projet'!$B$13,Paramètres!$A$1:$I$89,5,0)</f>
        <v>226.15782428571427</v>
      </c>
      <c r="CV43" s="13">
        <f t="shared" si="41"/>
        <v>55.451100541643569</v>
      </c>
      <c r="CW43" s="20">
        <f t="shared" si="13"/>
        <v>490.46887740764822</v>
      </c>
      <c r="CX43" s="59">
        <f t="shared" si="14"/>
        <v>744.19953276361662</v>
      </c>
      <c r="CY43" s="59">
        <f ca="1">AVERAGE(OFFSET($CX$3,0,0,'Données projet'!$E$13+1,1))-AVERAGE(OFFSET($H$3,0,0,'Données projet'!$E$13+1,1))</f>
        <v>404.10467005188889</v>
      </c>
      <c r="CZ43" s="59">
        <f t="shared" si="42"/>
        <v>372.70490129557845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13.588077290203225</v>
      </c>
      <c r="DG43" s="21">
        <f>EXP(-LN(2)/25)*DG42+(1-EXP(-LN(2)/25))/(LN(2)/25)*Calculateur!DB43*Calculateur!DD43*VLOOKUP('Données projet'!$B$13,Paramètres!$A$1:$I$89,3,0)*0.475*44/12</f>
        <v>43.475247521090594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57.063324811293818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3.1761666666666666</v>
      </c>
      <c r="DO43" s="12">
        <f>IF('Données projet'!$A$166&gt;35,DO42+DN43-DW42,IF(A43&lt;'Données projet'!$A$166,$DL$205^A43,IF(A43='Données projet'!$A$166,'Données projet'!$B$166,DO42+DN43-DW42)))</f>
        <v>127.04666666666654</v>
      </c>
      <c r="DP43" s="17">
        <f>DO43*VLOOKUP('Données projet'!$B$14,Paramètres!$A$1:$I$89,3,0)*VLOOKUP('Données projet'!$B$14,Paramètres!$A$1:$I$89,5,0)</f>
        <v>114.95182399999987</v>
      </c>
      <c r="DQ43" s="13">
        <f t="shared" si="43"/>
        <v>30.494666266653788</v>
      </c>
      <c r="DR43" s="20">
        <f t="shared" si="16"/>
        <v>253.31930388108844</v>
      </c>
      <c r="DS43" s="59">
        <f t="shared" si="17"/>
        <v>507.0499592370569</v>
      </c>
      <c r="DT43" s="59">
        <f ca="1">AVERAGE(OFFSET($DS$3,0,0,'Données projet'!$E$14+1,1))-AVERAGE(OFFSET($H$3,0,0,'Données projet'!$E$14+1,1))</f>
        <v>479.53113328461268</v>
      </c>
      <c r="DU43" s="59">
        <f t="shared" si="44"/>
        <v>244.6360664588118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28.059999999999992</v>
      </c>
      <c r="EJ43" s="12">
        <f>IF('Données projet'!$A$192&gt;35,EJ42+EI43-ER42,IF(A43&lt;'Données projet'!$A$192,$EG$205^A43,IF(A43='Données projet'!$A$192,'Données projet'!$B$192,EJ42+EI43-ER42)))</f>
        <v>527.76999999999987</v>
      </c>
      <c r="EK43" s="17">
        <f>EJ43*VLOOKUP('Données projet'!$B$15,Paramètres!$A$1:$I$89,3,0)*VLOOKUP('Données projet'!$B$15,Paramètres!$A$1:$I$89,5,0)</f>
        <v>233.27433999999997</v>
      </c>
      <c r="EL43" s="13">
        <f t="shared" si="45"/>
        <v>56.99008687328341</v>
      </c>
      <c r="EM43" s="20">
        <f t="shared" si="19"/>
        <v>505.54387680430187</v>
      </c>
      <c r="EN43" s="59">
        <f t="shared" si="20"/>
        <v>759.27453216027038</v>
      </c>
      <c r="EO43" s="59">
        <f ca="1">AVERAGE(OFFSET($EN$3,0,0,'Données projet'!$E$15+1,1))-AVERAGE(OFFSET($H$3,0,0,'Données projet'!$E$15+1,1))</f>
        <v>339.23049610652492</v>
      </c>
      <c r="EP43" s="59">
        <f t="shared" si="46"/>
        <v>448.85057640789785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68.053553407073423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68.053553407073423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7.6601960784313725</v>
      </c>
      <c r="FE43" s="12">
        <f>IF('Données projet'!$A$218&gt;35,FE42+FD43-FM42,IF(A43&lt;'Données projet'!$A$218,$FB$205^A43,IF(A43='Données projet'!$A$218,'Données projet'!$B$218,FE42+FD43-FM42)))</f>
        <v>306.40784313725499</v>
      </c>
      <c r="FF43" s="17">
        <f>FE43*VLOOKUP('Données projet'!$B$16,Paramètres!$A$1:$I$89,3,0)*VLOOKUP('Données projet'!$B$16,Paramètres!$A$1:$I$89,5,0)</f>
        <v>143.39887058823533</v>
      </c>
      <c r="FG43" s="13">
        <f t="shared" si="47"/>
        <v>37.074548654772258</v>
      </c>
      <c r="FH43" s="20">
        <f t="shared" si="22"/>
        <v>314.32453851490487</v>
      </c>
      <c r="FI43" s="59">
        <f t="shared" si="23"/>
        <v>568.05519387087338</v>
      </c>
      <c r="FJ43" s="59">
        <f ca="1">AVERAGE(OFFSET($FI$3,0,0,'Données projet'!$E$16+1,1))-AVERAGE(OFFSET($H$3,0,0,'Données projet'!$E$16+1,1))</f>
        <v>365.63278362856033</v>
      </c>
      <c r="FK43" s="59">
        <f t="shared" si="48"/>
        <v>290.68267842697452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5.0742105263157899</v>
      </c>
      <c r="FZ43" s="12">
        <f>IF('Données projet'!$A$244&gt;35,FZ42+FY43-GH42,IF(A43&lt;'Données projet'!$A$244,$FW$205^A43,IF(A43='Données projet'!$A$244,'Données projet'!$B$244,FZ42+FY43-GH42)))</f>
        <v>202.96842105263173</v>
      </c>
      <c r="GA43" s="17">
        <f>FZ43*VLOOKUP('Données projet'!$B$17,Paramètres!$A$1:$I$89,3,0)*VLOOKUP('Données projet'!$B$17,Paramètres!$A$1:$I$89,5,0)</f>
        <v>174.14690526315803</v>
      </c>
      <c r="GB43" s="13">
        <f t="shared" si="49"/>
        <v>44.017485654244034</v>
      </c>
      <c r="GC43" s="20">
        <f t="shared" si="25"/>
        <v>379.9696475144753</v>
      </c>
      <c r="GD43" s="59">
        <f t="shared" si="26"/>
        <v>633.70030287044369</v>
      </c>
      <c r="GE43" s="59">
        <f ca="1">AVERAGE(OFFSET($GD$3,0,0,'Données projet'!$E$17+1,1))-AVERAGE(OFFSET($H$3,0,0,'Données projet'!$E$17+1,1))</f>
        <v>460.46300302025099</v>
      </c>
      <c r="GF43" s="59">
        <f t="shared" si="50"/>
        <v>340.22534554615879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59.199269642536848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498.39</v>
      </c>
      <c r="GS43" s="12">
        <f>VLOOKUP(A43,'Données projet'!$A$269:$I$289,9,0)</f>
        <v>23.308750000000003</v>
      </c>
      <c r="GT43" s="12">
        <f t="array" ref="GT43">INDEX(GS:GS,MIN(IF(ISNUMBER(GS43:GS239),ROW(GS43:GS239),"")))</f>
        <v>23.308750000000003</v>
      </c>
      <c r="GU43" s="12">
        <f>IF('Données projet'!$A$270&gt;35,GU42+GT43-HC42,IF(A43&lt;'Données projet'!$A$270,$GR$205^A43,IF(A43='Données projet'!$A$270,'Données projet'!$B$270,GU42+GT43-HC42)))</f>
        <v>498.39000000000033</v>
      </c>
      <c r="GV43" s="17">
        <f>GU43*VLOOKUP('Données projet'!$B$18,Paramètres!$A$1:$I$89,3,0)*VLOOKUP('Données projet'!$B$18,Paramètres!$A$1:$I$89,5,0)</f>
        <v>298.03722000000022</v>
      </c>
      <c r="GW43" s="13">
        <f t="shared" si="51"/>
        <v>70.764832332856912</v>
      </c>
      <c r="GX43" s="20">
        <f t="shared" si="28"/>
        <v>642.33024114639272</v>
      </c>
      <c r="GY43" s="59">
        <f t="shared" si="29"/>
        <v>896.06089650236117</v>
      </c>
      <c r="GZ43" s="59">
        <f ca="1">AVERAGE(OFFSET($GY$3,0,0,'Données projet'!$E$18+1,1))-AVERAGE(OFFSET($H$3,0,0,'Données projet'!$E$18+1,1))</f>
        <v>-15.950000000000017</v>
      </c>
      <c r="HA43" s="59">
        <f t="shared" si="52"/>
        <v>-15.950000000000017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116.49</v>
      </c>
      <c r="HD43" s="16">
        <f>IF(ISNA(VLOOKUP(A43,'Données projet'!$A$269:$I$289,5,0)),0%,VLOOKUP(A43,'Données projet'!$A$269:$I$289,5,0)*VLOOKUP('Données projet'!$B$18,Paramètres!$A$1:$I$89,7,0))</f>
        <v>0.13500000000000001</v>
      </c>
      <c r="HE43" s="16">
        <f>IF(ISNA(VLOOKUP(A43,'Données projet'!$A$269:$I$289,6,0)),0%,VLOOKUP(A43,'Données projet'!$A$269:$I$289,6,0)*VLOOKUP('Données projet'!$B$18,Paramètres!$A$1:$I$89,7,0))</f>
        <v>0.22500000000000001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22.564670043725719</v>
      </c>
      <c r="HH43" s="21">
        <f>EXP(-LN(2)/25)*HH42+(1-EXP(-LN(2)/25))/(LN(2)/25)*Calculateur!HC43*Calculateur!HE43*VLOOKUP('Données projet'!$B$18,Paramètres!$A$1:$I$89,3,0)*0.475*44/12</f>
        <v>60.670938218708081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83.2356082624338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4.3499999999999996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15.949999999999998</v>
      </c>
      <c r="H44" s="67">
        <f t="shared" si="1"/>
        <v>192.86666666666667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10.212499999999999</v>
      </c>
      <c r="N44" s="13">
        <f>IF('Données projet'!$A$36&gt;35,N43+M44-V43,IF(A44&lt;'Données projet'!$A$36,$K$205^A44,IF(A44='Données projet'!$A$36,'Données projet'!$B$36,N43+M44-V43)))</f>
        <v>225.98750000000007</v>
      </c>
      <c r="O44" s="13">
        <f>N44*VLOOKUP('Données projet'!$B$9,Paramètres!$A$1:$I$89,3,0)*VLOOKUP('Données projet'!$B$9,Paramètres!$A$1:$I$89,5,0)</f>
        <v>197.4226800000001</v>
      </c>
      <c r="P44" s="13">
        <f t="shared" si="33"/>
        <v>49.177323933129124</v>
      </c>
      <c r="Q44" s="20">
        <f t="shared" si="53"/>
        <v>429.49500685020001</v>
      </c>
      <c r="R44" s="59">
        <f t="shared" si="0"/>
        <v>683.91268013075182</v>
      </c>
      <c r="S44" s="59">
        <f ca="1">AVERAGE(OFFSET($R$3,0,0,'Données projet'!$E$9+1,1))-AVERAGE(OFFSET($H$3,0,0,'Données projet'!$E$9+1,1))</f>
        <v>433.46721010558042</v>
      </c>
      <c r="T44" s="59">
        <f t="shared" si="34"/>
        <v>306.18862295347509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5.0105502559439605</v>
      </c>
      <c r="AA44" s="21">
        <f>EXP(-LN(2)/25)*AA43+(1-EXP(-LN(2)/25))/(LN(2)/25)*Calculateur!V44*Calculateur!X44*VLOOKUP('Données projet'!$B$9,Paramètres!$A$1:$I$89,3,0)*0.475*44/12</f>
        <v>5.5033595159257276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10.513909771869688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19.525000000000006</v>
      </c>
      <c r="AI44" s="13">
        <f>IF('Données projet'!$A$62&gt;35,AI43+AH44-AQ43,IF(A44&lt;'Données projet'!$A$62,$AF$205^A44,IF(A44='Données projet'!$A$62,'Données projet'!$B$62,AI43+AH44-AQ43)))</f>
        <v>401.4250000000003</v>
      </c>
      <c r="AJ44" s="13">
        <f>AI44*VLOOKUP('Données projet'!$B$10,Paramètres!$A$1:$I$89,3,0)*VLOOKUP('Données projet'!$B$10,Paramètres!$A$1:$I$89,5,0)</f>
        <v>240.05215000000018</v>
      </c>
      <c r="AK44" s="13">
        <f t="shared" si="35"/>
        <v>58.450750666872672</v>
      </c>
      <c r="AL44" s="20">
        <f t="shared" si="4"/>
        <v>519.89255199480351</v>
      </c>
      <c r="AM44" s="59">
        <f t="shared" si="5"/>
        <v>774.31022527535526</v>
      </c>
      <c r="AN44" s="59">
        <f ca="1">AVERAGE(OFFSET($AM$3,0,0,'Données projet'!$E$10+1,1))-AVERAGE(OFFSET($H$3,0,0,'Données projet'!$E$10+1,1))</f>
        <v>400.1942260113168</v>
      </c>
      <c r="AO44" s="59">
        <f t="shared" si="36"/>
        <v>497.04866930593926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22.122190627257993</v>
      </c>
      <c r="AV44" s="21">
        <f>EXP(-LN(2)/25)*AV43+(1-EXP(-LN(2)/25))/(LN(2)/25)*Calculateur!AQ44*Calculateur!AS44*VLOOKUP('Données projet'!$B$10,Paramètres!$A$1:$I$89,3,0)*0.475*44/12</f>
        <v>59.011888222571535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81.134078849829535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284.78505691662588</v>
      </c>
      <c r="BJ44" s="59">
        <f t="shared" si="38"/>
        <v>664.42623058686308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380.64318988568527</v>
      </c>
      <c r="CE44" s="59">
        <f t="shared" si="40"/>
        <v>885.24651320439159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128.06497069635196</v>
      </c>
      <c r="CL44" s="21">
        <f>EXP(-LN(2)/25)*CL43+(1-EXP(-LN(2)/25))/(LN(2)/25)*Calculateur!CG44*Calculateur!CI44*VLOOKUP('Données projet'!$B$12,Paramètres!$A$1:$I$89,3,0)*0.475*44/12</f>
        <v>30.205121462398893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158.27009215875086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22.82714285714286</v>
      </c>
      <c r="CT44" s="12">
        <f>IF('Données projet'!$A$140&gt;35,CT43+CS44-DB43,IF(A44&lt;'Données projet'!$A$140,$CQ$205^A44,IF(A44='Données projet'!$A$140,'Données projet'!$B$140,CT43+CS44-DB43)))</f>
        <v>427.4028571428571</v>
      </c>
      <c r="CU44" s="17">
        <f>CT44*VLOOKUP('Données projet'!$B$13,Paramètres!$A$1:$I$89,3,0)*VLOOKUP('Données projet'!$B$13,Paramètres!$A$1:$I$89,5,0)</f>
        <v>238.91819714285711</v>
      </c>
      <c r="CV44" s="13">
        <f t="shared" si="41"/>
        <v>58.206714164613295</v>
      </c>
      <c r="CW44" s="20">
        <f t="shared" si="13"/>
        <v>517.49255386051107</v>
      </c>
      <c r="CX44" s="59">
        <f t="shared" si="14"/>
        <v>771.91022714106282</v>
      </c>
      <c r="CY44" s="59">
        <f ca="1">AVERAGE(OFFSET($CX$3,0,0,'Données projet'!$E$13+1,1))-AVERAGE(OFFSET($H$3,0,0,'Données projet'!$E$13+1,1))</f>
        <v>404.10467005188889</v>
      </c>
      <c r="CZ44" s="59">
        <f t="shared" si="42"/>
        <v>372.70490129557845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13.321623382451124</v>
      </c>
      <c r="DG44" s="21">
        <f>EXP(-LN(2)/25)*DG43+(1-EXP(-LN(2)/25))/(LN(2)/25)*Calculateur!DB44*Calculateur!DD44*VLOOKUP('Données projet'!$B$13,Paramètres!$A$1:$I$89,3,0)*0.475*44/12</f>
        <v>42.286414591362465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55.608037973813587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3.1761666666666666</v>
      </c>
      <c r="DO44" s="12">
        <f>IF('Données projet'!$A$166&gt;35,DO43+DN44-DW43,IF(A44&lt;'Données projet'!$A$166,$DL$205^A44,IF(A44='Données projet'!$A$166,'Données projet'!$B$166,DO43+DN44-DW43)))</f>
        <v>130.2228333333332</v>
      </c>
      <c r="DP44" s="17">
        <f>DO44*VLOOKUP('Données projet'!$B$14,Paramètres!$A$1:$I$89,3,0)*VLOOKUP('Données projet'!$B$14,Paramètres!$A$1:$I$89,5,0)</f>
        <v>117.82561959999988</v>
      </c>
      <c r="DQ44" s="13">
        <f t="shared" si="43"/>
        <v>31.167322316627093</v>
      </c>
      <c r="DR44" s="20">
        <f t="shared" si="16"/>
        <v>259.49604050479201</v>
      </c>
      <c r="DS44" s="59">
        <f t="shared" si="17"/>
        <v>513.91371378534382</v>
      </c>
      <c r="DT44" s="59">
        <f ca="1">AVERAGE(OFFSET($DS$3,0,0,'Données projet'!$E$14+1,1))-AVERAGE(OFFSET($H$3,0,0,'Données projet'!$E$14+1,1))</f>
        <v>479.53113328461268</v>
      </c>
      <c r="DU44" s="59">
        <f t="shared" si="44"/>
        <v>244.6360664588118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28.059999999999992</v>
      </c>
      <c r="EJ44" s="12">
        <f>IF('Données projet'!$A$192&gt;35,EJ43+EI44-ER43,IF(A44&lt;'Données projet'!$A$192,$EG$205^A44,IF(A44='Données projet'!$A$192,'Données projet'!$B$192,EJ43+EI44-ER43)))</f>
        <v>555.82999999999981</v>
      </c>
      <c r="EK44" s="17">
        <f>EJ44*VLOOKUP('Données projet'!$B$15,Paramètres!$A$1:$I$89,3,0)*VLOOKUP('Données projet'!$B$15,Paramètres!$A$1:$I$89,5,0)</f>
        <v>245.67685999999995</v>
      </c>
      <c r="EL44" s="13">
        <f t="shared" si="45"/>
        <v>59.659267751383197</v>
      </c>
      <c r="EM44" s="20">
        <f t="shared" si="19"/>
        <v>531.79375583365902</v>
      </c>
      <c r="EN44" s="59">
        <f t="shared" si="20"/>
        <v>786.21142911421077</v>
      </c>
      <c r="EO44" s="59">
        <f ca="1">AVERAGE(OFFSET($EN$3,0,0,'Données projet'!$E$15+1,1))-AVERAGE(OFFSET($H$3,0,0,'Données projet'!$E$15+1,1))</f>
        <v>339.23049610652492</v>
      </c>
      <c r="EP44" s="59">
        <f t="shared" si="46"/>
        <v>448.85057640789785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66.192625410376166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66.192625410376166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7.6601960784313725</v>
      </c>
      <c r="FE44" s="12">
        <f>IF('Données projet'!$A$218&gt;35,FE43+FD44-FM43,IF(A44&lt;'Données projet'!$A$218,$FB$205^A44,IF(A44='Données projet'!$A$218,'Données projet'!$B$218,FE43+FD44-FM43)))</f>
        <v>314.06803921568638</v>
      </c>
      <c r="FF44" s="17">
        <f>FE44*VLOOKUP('Données projet'!$B$16,Paramètres!$A$1:$I$89,3,0)*VLOOKUP('Données projet'!$B$16,Paramètres!$A$1:$I$89,5,0)</f>
        <v>146.98384235294122</v>
      </c>
      <c r="FG44" s="13">
        <f t="shared" si="47"/>
        <v>37.892344764904891</v>
      </c>
      <c r="FH44" s="20">
        <f t="shared" si="22"/>
        <v>321.99269256358195</v>
      </c>
      <c r="FI44" s="59">
        <f t="shared" si="23"/>
        <v>576.41036584413371</v>
      </c>
      <c r="FJ44" s="59">
        <f ca="1">AVERAGE(OFFSET($FI$3,0,0,'Données projet'!$E$16+1,1))-AVERAGE(OFFSET($H$3,0,0,'Données projet'!$E$16+1,1))</f>
        <v>365.63278362856033</v>
      </c>
      <c r="FK44" s="59">
        <f t="shared" si="48"/>
        <v>290.68267842697452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5.0742105263157899</v>
      </c>
      <c r="FZ44" s="12">
        <f>IF('Données projet'!$A$244&gt;35,FZ43+FY44-GH43,IF(A44&lt;'Données projet'!$A$244,$FW$205^A44,IF(A44='Données projet'!$A$244,'Données projet'!$B$244,FZ43+FY44-GH43)))</f>
        <v>208.04263157894752</v>
      </c>
      <c r="GA44" s="17">
        <f>FZ44*VLOOKUP('Données projet'!$B$17,Paramètres!$A$1:$I$89,3,0)*VLOOKUP('Données projet'!$B$17,Paramètres!$A$1:$I$89,5,0)</f>
        <v>178.50057789473701</v>
      </c>
      <c r="GB44" s="13">
        <f t="shared" si="49"/>
        <v>44.98843013912655</v>
      </c>
      <c r="GC44" s="20">
        <f t="shared" si="25"/>
        <v>389.24335565897906</v>
      </c>
      <c r="GD44" s="59">
        <f t="shared" si="26"/>
        <v>643.66102893953075</v>
      </c>
      <c r="GE44" s="59">
        <f ca="1">AVERAGE(OFFSET($GD$3,0,0,'Données projet'!$E$17+1,1))-AVERAGE(OFFSET($H$3,0,0,'Données projet'!$E$17+1,1))</f>
        <v>460.46300302025099</v>
      </c>
      <c r="GF44" s="59">
        <f t="shared" si="50"/>
        <v>340.22534554615879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59.386638167423207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19.525000000000006</v>
      </c>
      <c r="GU44" s="12">
        <f>IF('Données projet'!$A$270&gt;35,GU43+GT44-HC43,IF(A44&lt;'Données projet'!$A$270,$GR$205^A44,IF(A44='Données projet'!$A$270,'Données projet'!$B$270,GU43+GT44-HC43)))</f>
        <v>401.4250000000003</v>
      </c>
      <c r="GV44" s="17">
        <f>GU44*VLOOKUP('Données projet'!$B$18,Paramètres!$A$1:$I$89,3,0)*VLOOKUP('Données projet'!$B$18,Paramètres!$A$1:$I$89,5,0)</f>
        <v>240.05215000000018</v>
      </c>
      <c r="GW44" s="13">
        <f t="shared" si="51"/>
        <v>58.450750666872672</v>
      </c>
      <c r="GX44" s="20">
        <f t="shared" si="28"/>
        <v>519.89255199480351</v>
      </c>
      <c r="GY44" s="59">
        <f t="shared" si="29"/>
        <v>774.31022527535526</v>
      </c>
      <c r="GZ44" s="59">
        <f ca="1">AVERAGE(OFFSET($GY$3,0,0,'Données projet'!$E$18+1,1))-AVERAGE(OFFSET($H$3,0,0,'Données projet'!$E$18+1,1))</f>
        <v>-15.950000000000017</v>
      </c>
      <c r="HA44" s="59">
        <f t="shared" si="52"/>
        <v>-15.950000000000017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22.122190627257993</v>
      </c>
      <c r="HH44" s="21">
        <f>EXP(-LN(2)/25)*HH43+(1-EXP(-LN(2)/25))/(LN(2)/25)*Calculateur!HC44*Calculateur!HE44*VLOOKUP('Données projet'!$B$18,Paramètres!$A$1:$I$89,3,0)*0.475*44/12</f>
        <v>59.011888222571535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81.134078849829535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4.3499999999999996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15.949999999999998</v>
      </c>
      <c r="H45" s="67">
        <f t="shared" si="1"/>
        <v>192.86666666666667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236.2</v>
      </c>
      <c r="L45" s="12">
        <f>VLOOKUP(A45,'Données projet'!$A$35:$I$55,9,0)</f>
        <v>10.212499999999999</v>
      </c>
      <c r="M45" s="12">
        <f t="array" ref="M45">INDEX(L:L,MIN(IF(ISNUMBER(L45:L241),ROW(L45:L241),"")))</f>
        <v>10.212499999999999</v>
      </c>
      <c r="N45" s="13">
        <f>IF('Données projet'!$A$36&gt;35,N44+M45-V44,IF(A45&lt;'Données projet'!$A$36,$K$205^A45,IF(A45='Données projet'!$A$36,'Données projet'!$B$36,N44+M45-V44)))</f>
        <v>236.20000000000007</v>
      </c>
      <c r="O45" s="13">
        <f>N45*VLOOKUP('Données projet'!$B$9,Paramètres!$A$1:$I$89,3,0)*VLOOKUP('Données projet'!$B$9,Paramètres!$A$1:$I$89,5,0)</f>
        <v>206.3443200000001</v>
      </c>
      <c r="P45" s="13">
        <f t="shared" si="33"/>
        <v>51.1359129912763</v>
      </c>
      <c r="Q45" s="20">
        <f t="shared" si="53"/>
        <v>448.44473912647305</v>
      </c>
      <c r="R45" s="59">
        <f t="shared" si="0"/>
        <v>703.53751210655855</v>
      </c>
      <c r="S45" s="59">
        <f ca="1">AVERAGE(OFFSET($R$3,0,0,'Données projet'!$E$9+1,1))-AVERAGE(OFFSET($H$3,0,0,'Données projet'!$E$9+1,1))</f>
        <v>433.46721010558042</v>
      </c>
      <c r="T45" s="59">
        <f t="shared" si="34"/>
        <v>306.18862295347509</v>
      </c>
      <c r="U45" s="15">
        <f>IF(ISNA(VLOOKUP(A45,'Données projet'!$A$35:$I$55,3,0)),0,VLOOKUP(A45,'Données projet'!$A$35:$I$55,3,0))</f>
        <v>3</v>
      </c>
      <c r="V45" s="15">
        <f>IF(ISNA(VLOOKUP(A45,'Données projet'!$A$35:$I$55,4,0)),0,VLOOKUP(A45,'Données projet'!$A$35:$I$55,4,0))</f>
        <v>47.2</v>
      </c>
      <c r="W45" s="16">
        <f>IF(ISNA(VLOOKUP(A45,'Données projet'!$A$35:$I$55,5,0)),0%,VLOOKUP(A45,'Données projet'!$A$35:$I$55,5,0)*VLOOKUP('Données projet'!$B$9,Paramètres!$A$1:$I$89,7,0))</f>
        <v>0.25800000000000001</v>
      </c>
      <c r="X45" s="16">
        <f>IF(ISNA(VLOOKUP(A45,'Données projet'!$A$35:$I$55,6,0)),0%,VLOOKUP(A45,'Données projet'!$A$35:$I$55,6,0)*VLOOKUP('Données projet'!$B$9,Paramètres!$A$1:$I$89,7,0))</f>
        <v>0.129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16.672678737102864</v>
      </c>
      <c r="AA45" s="21">
        <f>EXP(-LN(2)/25)*AA44+(1-EXP(-LN(2)/25))/(LN(2)/25)*Calculateur!V45*Calculateur!X45*VLOOKUP('Données projet'!$B$9,Paramètres!$A$1:$I$89,3,0)*0.475*44/12</f>
        <v>11.209908465209043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27.882587202311907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19.525000000000006</v>
      </c>
      <c r="AI45" s="13">
        <f>IF('Données projet'!$A$62&gt;35,AI44+AH45-AQ44,IF(A45&lt;'Données projet'!$A$62,$AF$205^A45,IF(A45='Données projet'!$A$62,'Données projet'!$B$62,AI44+AH45-AQ44)))</f>
        <v>420.95000000000027</v>
      </c>
      <c r="AJ45" s="13">
        <f>AI45*VLOOKUP('Données projet'!$B$10,Paramètres!$A$1:$I$89,3,0)*VLOOKUP('Données projet'!$B$10,Paramètres!$A$1:$I$89,5,0)</f>
        <v>251.72810000000018</v>
      </c>
      <c r="AK45" s="13">
        <f t="shared" si="35"/>
        <v>60.955838969492589</v>
      </c>
      <c r="AL45" s="20">
        <f t="shared" si="4"/>
        <v>544.59119370519988</v>
      </c>
      <c r="AM45" s="59">
        <f t="shared" si="5"/>
        <v>799.68396668528544</v>
      </c>
      <c r="AN45" s="59">
        <f ca="1">AVERAGE(OFFSET($AM$3,0,0,'Données projet'!$E$10+1,1))-AVERAGE(OFFSET($H$3,0,0,'Données projet'!$E$10+1,1))</f>
        <v>400.1942260113168</v>
      </c>
      <c r="AO45" s="59">
        <f t="shared" si="36"/>
        <v>497.04866930593926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21.688387962261402</v>
      </c>
      <c r="AV45" s="21">
        <f>EXP(-LN(2)/25)*AV44+(1-EXP(-LN(2)/25))/(LN(2)/25)*Calculateur!AQ45*Calculateur!AS45*VLOOKUP('Données projet'!$B$10,Paramètres!$A$1:$I$89,3,0)*0.475*44/12</f>
        <v>57.398205035824986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79.086592998086388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284.78505691662588</v>
      </c>
      <c r="BJ45" s="59">
        <f t="shared" si="38"/>
        <v>664.42623058686308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380.64318988568527</v>
      </c>
      <c r="CE45" s="59">
        <f t="shared" si="40"/>
        <v>885.24651320439159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125.55369473291572</v>
      </c>
      <c r="CL45" s="21">
        <f>EXP(-LN(2)/25)*CL44+(1-EXP(-LN(2)/25))/(LN(2)/25)*Calculateur!CG45*Calculateur!CI45*VLOOKUP('Données projet'!$B$12,Paramètres!$A$1:$I$89,3,0)*0.475*44/12</f>
        <v>29.379160827591292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154.93285556050699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450.23</v>
      </c>
      <c r="CR45" s="12">
        <f>VLOOKUP(A45,'Données projet'!$A$139:$I$159,9,0)</f>
        <v>22.82714285714286</v>
      </c>
      <c r="CS45" s="12">
        <f t="array" ref="CS45">INDEX(CR:CR,MIN(IF(ISNUMBER(CR45:CR241),ROW(CR45:CR241),"")))</f>
        <v>22.82714285714286</v>
      </c>
      <c r="CT45" s="12">
        <f>IF('Données projet'!$A$140&gt;35,CT44+CS45-DB44,IF(A45&lt;'Données projet'!$A$140,$CQ$205^A45,IF(A45='Données projet'!$A$140,'Données projet'!$B$140,CT44+CS45-DB44)))</f>
        <v>450.22999999999996</v>
      </c>
      <c r="CU45" s="17">
        <f>CT45*VLOOKUP('Données projet'!$B$13,Paramètres!$A$1:$I$89,3,0)*VLOOKUP('Données projet'!$B$13,Paramètres!$A$1:$I$89,5,0)</f>
        <v>251.67856999999998</v>
      </c>
      <c r="CV45" s="13">
        <f t="shared" si="41"/>
        <v>60.945241245024086</v>
      </c>
      <c r="CW45" s="20">
        <f t="shared" si="13"/>
        <v>544.48647125175023</v>
      </c>
      <c r="CX45" s="59">
        <f t="shared" si="14"/>
        <v>799.57924423183579</v>
      </c>
      <c r="CY45" s="59">
        <f ca="1">AVERAGE(OFFSET($CX$3,0,0,'Données projet'!$E$13+1,1))-AVERAGE(OFFSET($H$3,0,0,'Données projet'!$E$13+1,1))</f>
        <v>404.10467005188889</v>
      </c>
      <c r="CZ45" s="59">
        <f t="shared" si="42"/>
        <v>372.70490129557845</v>
      </c>
      <c r="DA45" s="15">
        <f>IF(ISNA(VLOOKUP(A45,'Données projet'!$A$139:$I$159,3,0)),0,VLOOKUP(A45,'Données projet'!$A$139:$I$159,3,0))</f>
        <v>4</v>
      </c>
      <c r="DB45" s="15">
        <f>IF(ISNA(VLOOKUP(A45,'Données projet'!$A$139:$I$159,4,0)),0,VLOOKUP(A45,'Données projet'!$A$139:$I$159,4,0))</f>
        <v>99.98</v>
      </c>
      <c r="DC45" s="16">
        <f>IF(ISNA(VLOOKUP(A45,'Données projet'!$A$139:$I$159,5,0)),0%,VLOOKUP(A45,'Données projet'!$A$139:$I$159,5,0)*VLOOKUP('Données projet'!$B$13,Paramètres!$A$1:$I$89,7,0))</f>
        <v>0.16500000000000001</v>
      </c>
      <c r="DD45" s="16">
        <f>IF(ISNA(VLOOKUP(A45,'Données projet'!$A$139:$I$159,6,0)),0%,VLOOKUP(A45,'Données projet'!$A$139:$I$159,6,0)*VLOOKUP('Données projet'!$B$13,Paramètres!$A$1:$I$89,7,0))</f>
        <v>0.27500000000000002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25.293514614604856</v>
      </c>
      <c r="DG45" s="21">
        <f>EXP(-LN(2)/25)*DG44+(1-EXP(-LN(2)/25))/(LN(2)/25)*Calculateur!DB45*Calculateur!DD45*VLOOKUP('Données projet'!$B$13,Paramètres!$A$1:$I$89,3,0)*0.475*44/12</f>
        <v>61.438346504141037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86.731861118745897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3.1761666666666666</v>
      </c>
      <c r="DO45" s="12">
        <f>IF('Données projet'!$A$166&gt;35,DO44+DN45-DW44,IF(A45&lt;'Données projet'!$A$166,$DL$205^A45,IF(A45='Données projet'!$A$166,'Données projet'!$B$166,DO44+DN45-DW44)))</f>
        <v>133.39899999999986</v>
      </c>
      <c r="DP45" s="17">
        <f>DO45*VLOOKUP('Données projet'!$B$14,Paramètres!$A$1:$I$89,3,0)*VLOOKUP('Données projet'!$B$14,Paramètres!$A$1:$I$89,5,0)</f>
        <v>120.69941519999988</v>
      </c>
      <c r="DQ45" s="13">
        <f t="shared" si="43"/>
        <v>31.838071188086897</v>
      </c>
      <c r="DR45" s="20">
        <f t="shared" si="16"/>
        <v>265.66945545925108</v>
      </c>
      <c r="DS45" s="59">
        <f t="shared" si="17"/>
        <v>520.76222843933658</v>
      </c>
      <c r="DT45" s="59">
        <f ca="1">AVERAGE(OFFSET($DS$3,0,0,'Données projet'!$E$14+1,1))-AVERAGE(OFFSET($H$3,0,0,'Données projet'!$E$14+1,1))</f>
        <v>479.53113328461268</v>
      </c>
      <c r="DU45" s="59">
        <f t="shared" si="44"/>
        <v>244.6360664588118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583.89</v>
      </c>
      <c r="EH45" s="12">
        <f>VLOOKUP(A45,'Données projet'!$A$191:$I$211,9,0)</f>
        <v>28.059999999999992</v>
      </c>
      <c r="EI45" s="12">
        <f t="array" ref="EI45">INDEX(EH:EH,MIN(IF(ISNUMBER(EH45:EH241),ROW(EH45:EH241),"")))</f>
        <v>28.059999999999992</v>
      </c>
      <c r="EJ45" s="12">
        <f>IF('Données projet'!$A$192&gt;35,EJ44+EI45-ER44,IF(A45&lt;'Données projet'!$A$192,$EG$205^A45,IF(A45='Données projet'!$A$192,'Données projet'!$B$192,EJ44+EI45-ER44)))</f>
        <v>583.88999999999976</v>
      </c>
      <c r="EK45" s="17">
        <f>EJ45*VLOOKUP('Données projet'!$B$15,Paramètres!$A$1:$I$89,3,0)*VLOOKUP('Données projet'!$B$15,Paramètres!$A$1:$I$89,5,0)</f>
        <v>258.0793799999999</v>
      </c>
      <c r="EL45" s="13">
        <f t="shared" si="45"/>
        <v>62.312802890406914</v>
      </c>
      <c r="EM45" s="20">
        <f t="shared" si="19"/>
        <v>558.01638520079189</v>
      </c>
      <c r="EN45" s="59">
        <f t="shared" si="20"/>
        <v>813.10915818087744</v>
      </c>
      <c r="EO45" s="59">
        <f ca="1">AVERAGE(OFFSET($EN$3,0,0,'Données projet'!$E$15+1,1))-AVERAGE(OFFSET($H$3,0,0,'Données projet'!$E$15+1,1))</f>
        <v>339.23049610652492</v>
      </c>
      <c r="EP45" s="59">
        <f t="shared" si="46"/>
        <v>448.85057640789785</v>
      </c>
      <c r="EQ45" s="15">
        <f>IF(ISNA(VLOOKUP(A45,'Données projet'!$A$191:$I$211,3,0)),0,VLOOKUP(A45,'Données projet'!$A$191:$I$211,3,0))</f>
        <v>5</v>
      </c>
      <c r="ER45" s="15">
        <f>IF(ISNA(VLOOKUP(A45,'Données projet'!$A$191:$I$211,4,0)),0,VLOOKUP(A45,'Données projet'!$A$191:$I$211,4,0))</f>
        <v>91.25</v>
      </c>
      <c r="ES45" s="16">
        <f>IF(ISNA(VLOOKUP(A45,'Données projet'!$A$191:$I$211,5,0)),0%,VLOOKUP(A45,'Données projet'!$A$191:$I$211,5,0)*VLOOKUP('Données projet'!$B$15,Paramètres!$A$1:$I$89,7,0))</f>
        <v>0.27500000000000002</v>
      </c>
      <c r="ET45" s="16">
        <f>IF(ISNA(VLOOKUP(A45,'Données projet'!$A$191:$I$211,6,0)),0%,VLOOKUP(A45,'Données projet'!$A$191:$I$211,6,0)*VLOOKUP('Données projet'!$B$15,Paramètres!$A$1:$I$89,7,0))</f>
        <v>0.27500000000000002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14.713506747229195</v>
      </c>
      <c r="EW45" s="21">
        <f>EXP(-LN(2)/25)*EW44+(1-EXP(-LN(2)/25))/(LN(2)/25)*Calculateur!ER45*Calculateur!ET45*VLOOKUP('Données projet'!$B$15,Paramètres!$A$1:$I$89,3,0)*0.475*44/12</f>
        <v>79.03815865249031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93.751665399719499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7.6601960784313725</v>
      </c>
      <c r="FE45" s="12">
        <f>IF('Données projet'!$A$218&gt;35,FE44+FD45-FM44,IF(A45&lt;'Données projet'!$A$218,$FB$205^A45,IF(A45='Données projet'!$A$218,'Données projet'!$B$218,FE44+FD45-FM44)))</f>
        <v>321.72823529411778</v>
      </c>
      <c r="FF45" s="17">
        <f>FE45*VLOOKUP('Données projet'!$B$16,Paramètres!$A$1:$I$89,3,0)*VLOOKUP('Données projet'!$B$16,Paramètres!$A$1:$I$89,5,0)</f>
        <v>150.56881411764712</v>
      </c>
      <c r="FG45" s="13">
        <f t="shared" si="47"/>
        <v>38.707822181598679</v>
      </c>
      <c r="FH45" s="20">
        <f t="shared" si="22"/>
        <v>329.6568082211864</v>
      </c>
      <c r="FI45" s="59">
        <f t="shared" si="23"/>
        <v>584.74958120127189</v>
      </c>
      <c r="FJ45" s="59">
        <f ca="1">AVERAGE(OFFSET($FI$3,0,0,'Données projet'!$E$16+1,1))-AVERAGE(OFFSET($H$3,0,0,'Données projet'!$E$16+1,1))</f>
        <v>365.63278362856033</v>
      </c>
      <c r="FK45" s="59">
        <f t="shared" si="48"/>
        <v>290.68267842697452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5.0742105263157899</v>
      </c>
      <c r="FZ45" s="12">
        <f>IF('Données projet'!$A$244&gt;35,FZ44+FY45-GH44,IF(A45&lt;'Données projet'!$A$244,$FW$205^A45,IF(A45='Données projet'!$A$244,'Données projet'!$B$244,FZ44+FY45-GH44)))</f>
        <v>213.11684210526332</v>
      </c>
      <c r="GA45" s="17">
        <f>FZ45*VLOOKUP('Données projet'!$B$17,Paramètres!$A$1:$I$89,3,0)*VLOOKUP('Données projet'!$B$17,Paramètres!$A$1:$I$89,5,0)</f>
        <v>182.85425052631595</v>
      </c>
      <c r="GB45" s="13">
        <f t="shared" si="49"/>
        <v>45.95662170970845</v>
      </c>
      <c r="GC45" s="20">
        <f t="shared" si="25"/>
        <v>398.51226914440917</v>
      </c>
      <c r="GD45" s="59">
        <f t="shared" si="26"/>
        <v>653.60504212449473</v>
      </c>
      <c r="GE45" s="59">
        <f ca="1">AVERAGE(OFFSET($GD$3,0,0,'Données projet'!$E$17+1,1))-AVERAGE(OFFSET($H$3,0,0,'Données projet'!$E$17+1,1))</f>
        <v>460.46300302025099</v>
      </c>
      <c r="GF45" s="59">
        <f t="shared" si="50"/>
        <v>340.22534554615879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59.570756267296055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19.525000000000006</v>
      </c>
      <c r="GU45" s="12">
        <f>IF('Données projet'!$A$270&gt;35,GU44+GT45-HC44,IF(A45&lt;'Données projet'!$A$270,$GR$205^A45,IF(A45='Données projet'!$A$270,'Données projet'!$B$270,GU44+GT45-HC44)))</f>
        <v>420.95000000000027</v>
      </c>
      <c r="GV45" s="17">
        <f>GU45*VLOOKUP('Données projet'!$B$18,Paramètres!$A$1:$I$89,3,0)*VLOOKUP('Données projet'!$B$18,Paramètres!$A$1:$I$89,5,0)</f>
        <v>251.72810000000018</v>
      </c>
      <c r="GW45" s="13">
        <f t="shared" si="51"/>
        <v>60.955838969492589</v>
      </c>
      <c r="GX45" s="20">
        <f t="shared" si="28"/>
        <v>544.59119370519988</v>
      </c>
      <c r="GY45" s="59">
        <f t="shared" si="29"/>
        <v>799.68396668528544</v>
      </c>
      <c r="GZ45" s="59">
        <f ca="1">AVERAGE(OFFSET($GY$3,0,0,'Données projet'!$E$18+1,1))-AVERAGE(OFFSET($H$3,0,0,'Données projet'!$E$18+1,1))</f>
        <v>-15.950000000000017</v>
      </c>
      <c r="HA45" s="59">
        <f t="shared" si="52"/>
        <v>-15.950000000000017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21.688387962261402</v>
      </c>
      <c r="HH45" s="21">
        <f>EXP(-LN(2)/25)*HH44+(1-EXP(-LN(2)/25))/(LN(2)/25)*Calculateur!HC45*Calculateur!HE45*VLOOKUP('Données projet'!$B$18,Paramètres!$A$1:$I$89,3,0)*0.475*44/12</f>
        <v>57.398205035824986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79.086592998086388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4.3499999999999996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15.949999999999998</v>
      </c>
      <c r="H46" s="67">
        <f t="shared" si="1"/>
        <v>192.86666666666667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13.587499999999999</v>
      </c>
      <c r="N46" s="13">
        <f>IF('Données projet'!$A$36&gt;35,N45+M46-V45,IF(A46&lt;'Données projet'!$A$36,$K$205^A46,IF(A46='Données projet'!$A$36,'Données projet'!$B$36,N45+M46-V45)))</f>
        <v>202.58750000000009</v>
      </c>
      <c r="O46" s="13">
        <f>N46*VLOOKUP('Données projet'!$B$9,Paramètres!$A$1:$I$89,3,0)*VLOOKUP('Données projet'!$B$9,Paramètres!$A$1:$I$89,5,0)</f>
        <v>176.9804400000001</v>
      </c>
      <c r="P46" s="13">
        <f t="shared" si="33"/>
        <v>44.649729676139316</v>
      </c>
      <c r="Q46" s="20">
        <f t="shared" si="53"/>
        <v>386.00587885260944</v>
      </c>
      <c r="R46" s="59">
        <f t="shared" si="0"/>
        <v>641.76204006173862</v>
      </c>
      <c r="S46" s="59">
        <f ca="1">AVERAGE(OFFSET($R$3,0,0,'Données projet'!$E$9+1,1))-AVERAGE(OFFSET($H$3,0,0,'Données projet'!$E$9+1,1))</f>
        <v>433.46721010558042</v>
      </c>
      <c r="T46" s="59">
        <f t="shared" si="34"/>
        <v>306.18862295347509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16.345737676398169</v>
      </c>
      <c r="AA46" s="21">
        <f>EXP(-LN(2)/25)*AA45+(1-EXP(-LN(2)/25))/(LN(2)/25)*Calculateur!V46*Calculateur!X46*VLOOKUP('Données projet'!$B$9,Paramètres!$A$1:$I$89,3,0)*0.475*44/12</f>
        <v>10.903372928724437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27.249110605122606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19.525000000000006</v>
      </c>
      <c r="AI46" s="13">
        <f>IF('Données projet'!$A$62&gt;35,AI45+AH46-AQ45,IF(A46&lt;'Données projet'!$A$62,$AF$205^A46,IF(A46='Données projet'!$A$62,'Données projet'!$B$62,AI45+AH46-AQ45)))</f>
        <v>440.47500000000025</v>
      </c>
      <c r="AJ46" s="13">
        <f>AI46*VLOOKUP('Données projet'!$B$10,Paramètres!$A$1:$I$89,3,0)*VLOOKUP('Données projet'!$B$10,Paramètres!$A$1:$I$89,5,0)</f>
        <v>263.40405000000015</v>
      </c>
      <c r="AK46" s="13">
        <f t="shared" si="35"/>
        <v>63.447433630968099</v>
      </c>
      <c r="AL46" s="20">
        <f t="shared" si="4"/>
        <v>569.26633399060302</v>
      </c>
      <c r="AM46" s="59">
        <f t="shared" si="5"/>
        <v>825.02249519973225</v>
      </c>
      <c r="AN46" s="59">
        <f ca="1">AVERAGE(OFFSET($AM$3,0,0,'Données projet'!$E$10+1,1))-AVERAGE(OFFSET($H$3,0,0,'Données projet'!$E$10+1,1))</f>
        <v>400.1942260113168</v>
      </c>
      <c r="AO46" s="59">
        <f t="shared" si="36"/>
        <v>497.04866930593926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21.263091902931897</v>
      </c>
      <c r="AV46" s="21">
        <f>EXP(-LN(2)/25)*AV45+(1-EXP(-LN(2)/25))/(LN(2)/25)*Calculateur!AQ46*Calculateur!AS46*VLOOKUP('Données projet'!$B$10,Paramètres!$A$1:$I$89,3,0)*0.475*44/12</f>
        <v>55.828648100679935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77.091740003611832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284.78505691662588</v>
      </c>
      <c r="BJ46" s="59">
        <f t="shared" si="38"/>
        <v>664.42623058686308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380.64318988568527</v>
      </c>
      <c r="CE46" s="59">
        <f t="shared" si="40"/>
        <v>885.24651320439159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123.09166335939535</v>
      </c>
      <c r="CL46" s="21">
        <f>EXP(-LN(2)/25)*CL45+(1-EXP(-LN(2)/25))/(LN(2)/25)*Calculateur!CG46*Calculateur!CI46*VLOOKUP('Données projet'!$B$12,Paramètres!$A$1:$I$89,3,0)*0.475*44/12</f>
        <v>28.575786129777889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151.66744948917324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21.939999999999998</v>
      </c>
      <c r="CT46" s="12">
        <f>IF('Données projet'!$A$140&gt;35,CT45+CS46-DB45,IF(A46&lt;'Données projet'!$A$140,$CQ$205^A46,IF(A46='Données projet'!$A$140,'Données projet'!$B$140,CT45+CS46-DB45)))</f>
        <v>372.18999999999994</v>
      </c>
      <c r="CU46" s="17">
        <f>CT46*VLOOKUP('Données projet'!$B$13,Paramètres!$A$1:$I$89,3,0)*VLOOKUP('Données projet'!$B$13,Paramètres!$A$1:$I$89,5,0)</f>
        <v>208.05420999999996</v>
      </c>
      <c r="CV46" s="13">
        <f t="shared" si="41"/>
        <v>51.510151537098693</v>
      </c>
      <c r="CW46" s="20">
        <f t="shared" si="13"/>
        <v>452.07459634378012</v>
      </c>
      <c r="CX46" s="59">
        <f t="shared" si="14"/>
        <v>707.83075755290929</v>
      </c>
      <c r="CY46" s="59">
        <f ca="1">AVERAGE(OFFSET($CX$3,0,0,'Données projet'!$E$13+1,1))-AVERAGE(OFFSET($H$3,0,0,'Données projet'!$E$13+1,1))</f>
        <v>404.10467005188889</v>
      </c>
      <c r="CZ46" s="59">
        <f t="shared" si="42"/>
        <v>372.70490129557845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24.797524220533028</v>
      </c>
      <c r="DG46" s="21">
        <f>EXP(-LN(2)/25)*DG45+(1-EXP(-LN(2)/25))/(LN(2)/25)*Calculateur!DB46*Calculateur!DD46*VLOOKUP('Données projet'!$B$13,Paramètres!$A$1:$I$89,3,0)*0.475*44/12</f>
        <v>59.758311688083076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84.555835908616103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3.1761666666666666</v>
      </c>
      <c r="DO46" s="12">
        <f>IF('Données projet'!$A$166&gt;35,DO45+DN46-DW45,IF(A46&lt;'Données projet'!$A$166,$DL$205^A46,IF(A46='Données projet'!$A$166,'Données projet'!$B$166,DO45+DN46-DW45)))</f>
        <v>136.57516666666652</v>
      </c>
      <c r="DP46" s="17">
        <f>DO46*VLOOKUP('Données projet'!$B$14,Paramètres!$A$1:$I$89,3,0)*VLOOKUP('Données projet'!$B$14,Paramètres!$A$1:$I$89,5,0)</f>
        <v>123.57321079999986</v>
      </c>
      <c r="DQ46" s="13">
        <f t="shared" si="43"/>
        <v>32.506963515143731</v>
      </c>
      <c r="DR46" s="20">
        <f t="shared" si="16"/>
        <v>271.83963693220841</v>
      </c>
      <c r="DS46" s="59">
        <f t="shared" si="17"/>
        <v>527.59579814133758</v>
      </c>
      <c r="DT46" s="59">
        <f ca="1">AVERAGE(OFFSET($DS$3,0,0,'Données projet'!$E$14+1,1))-AVERAGE(OFFSET($H$3,0,0,'Données projet'!$E$14+1,1))</f>
        <v>479.53113328461268</v>
      </c>
      <c r="DU46" s="59">
        <f t="shared" si="44"/>
        <v>244.6360664588118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27.068333333333328</v>
      </c>
      <c r="EJ46" s="12">
        <f>IF('Données projet'!$A$192&gt;35,EJ45+EI46-ER45,IF(A46&lt;'Données projet'!$A$192,$EG$205^A46,IF(A46='Données projet'!$A$192,'Données projet'!$B$192,EJ45+EI46-ER45)))</f>
        <v>519.70833333333303</v>
      </c>
      <c r="EK46" s="17">
        <f>EJ46*VLOOKUP('Données projet'!$B$15,Paramètres!$A$1:$I$89,3,0)*VLOOKUP('Données projet'!$B$15,Paramètres!$A$1:$I$89,5,0)</f>
        <v>229.71108333333322</v>
      </c>
      <c r="EL46" s="13">
        <f t="shared" si="45"/>
        <v>56.220206423672479</v>
      </c>
      <c r="EM46" s="20">
        <f t="shared" si="19"/>
        <v>497.99699632678494</v>
      </c>
      <c r="EN46" s="59">
        <f t="shared" si="20"/>
        <v>753.75315753591417</v>
      </c>
      <c r="EO46" s="59">
        <f ca="1">AVERAGE(OFFSET($EN$3,0,0,'Données projet'!$E$15+1,1))-AVERAGE(OFFSET($H$3,0,0,'Données projet'!$E$15+1,1))</f>
        <v>339.23049610652492</v>
      </c>
      <c r="EP46" s="59">
        <f t="shared" si="46"/>
        <v>448.85057640789785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14.424983854269001</v>
      </c>
      <c r="EW46" s="21">
        <f>EXP(-LN(2)/25)*EW45+(1-EXP(-LN(2)/25))/(LN(2)/25)*Calculateur!ER46*Calculateur!ET46*VLOOKUP('Données projet'!$B$15,Paramètres!$A$1:$I$89,3,0)*0.475*44/12</f>
        <v>76.87685604770185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91.301839901970851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7.6601960784313725</v>
      </c>
      <c r="FE46" s="12">
        <f>IF('Données projet'!$A$218&gt;35,FE45+FD46-FM45,IF(A46&lt;'Données projet'!$A$218,$FB$205^A46,IF(A46='Données projet'!$A$218,'Données projet'!$B$218,FE45+FD46-FM45)))</f>
        <v>329.38843137254918</v>
      </c>
      <c r="FF46" s="17">
        <f>FE46*VLOOKUP('Données projet'!$B$16,Paramètres!$A$1:$I$89,3,0)*VLOOKUP('Données projet'!$B$16,Paramètres!$A$1:$I$89,5,0)</f>
        <v>154.15378588235302</v>
      </c>
      <c r="FG46" s="13">
        <f t="shared" si="47"/>
        <v>39.521042464366339</v>
      </c>
      <c r="FH46" s="20">
        <f t="shared" si="22"/>
        <v>337.31699270386952</v>
      </c>
      <c r="FI46" s="59">
        <f t="shared" si="23"/>
        <v>593.07315391299869</v>
      </c>
      <c r="FJ46" s="59">
        <f ca="1">AVERAGE(OFFSET($FI$3,0,0,'Données projet'!$E$16+1,1))-AVERAGE(OFFSET($H$3,0,0,'Données projet'!$E$16+1,1))</f>
        <v>365.63278362856033</v>
      </c>
      <c r="FK46" s="59">
        <f t="shared" si="48"/>
        <v>290.68267842697452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5.0742105263157899</v>
      </c>
      <c r="FZ46" s="12">
        <f>IF('Données projet'!$A$244&gt;35,FZ45+FY46-GH45,IF(A46&lt;'Données projet'!$A$244,$FW$205^A46,IF(A46='Données projet'!$A$244,'Données projet'!$B$244,FZ45+FY46-GH45)))</f>
        <v>218.19105263157911</v>
      </c>
      <c r="GA46" s="17">
        <f>FZ46*VLOOKUP('Données projet'!$B$17,Paramètres!$A$1:$I$89,3,0)*VLOOKUP('Données projet'!$B$17,Paramètres!$A$1:$I$89,5,0)</f>
        <v>187.2079231578949</v>
      </c>
      <c r="GB46" s="13">
        <f t="shared" si="49"/>
        <v>46.922133453729629</v>
      </c>
      <c r="GC46" s="20">
        <f t="shared" si="25"/>
        <v>407.77651526524602</v>
      </c>
      <c r="GD46" s="59">
        <f t="shared" si="26"/>
        <v>663.53267647437519</v>
      </c>
      <c r="GE46" s="59">
        <f ca="1">AVERAGE(OFFSET($GD$3,0,0,'Données projet'!$E$17+1,1))-AVERAGE(OFFSET($H$3,0,0,'Données projet'!$E$17+1,1))</f>
        <v>460.46300302025099</v>
      </c>
      <c r="GF46" s="59">
        <f t="shared" si="50"/>
        <v>340.22534554615879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59.751680329762515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19.525000000000006</v>
      </c>
      <c r="GU46" s="12">
        <f>IF('Données projet'!$A$270&gt;35,GU45+GT46-HC45,IF(A46&lt;'Données projet'!$A$270,$GR$205^A46,IF(A46='Données projet'!$A$270,'Données projet'!$B$270,GU45+GT46-HC45)))</f>
        <v>440.47500000000025</v>
      </c>
      <c r="GV46" s="17">
        <f>GU46*VLOOKUP('Données projet'!$B$18,Paramètres!$A$1:$I$89,3,0)*VLOOKUP('Données projet'!$B$18,Paramètres!$A$1:$I$89,5,0)</f>
        <v>263.40405000000015</v>
      </c>
      <c r="GW46" s="13">
        <f t="shared" si="51"/>
        <v>63.447433630968099</v>
      </c>
      <c r="GX46" s="20">
        <f t="shared" si="28"/>
        <v>569.26633399060302</v>
      </c>
      <c r="GY46" s="59">
        <f t="shared" si="29"/>
        <v>825.02249519973225</v>
      </c>
      <c r="GZ46" s="59">
        <f ca="1">AVERAGE(OFFSET($GY$3,0,0,'Données projet'!$E$18+1,1))-AVERAGE(OFFSET($H$3,0,0,'Données projet'!$E$18+1,1))</f>
        <v>-15.950000000000017</v>
      </c>
      <c r="HA46" s="59">
        <f t="shared" si="52"/>
        <v>-15.950000000000017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21.263091902931897</v>
      </c>
      <c r="HH46" s="21">
        <f>EXP(-LN(2)/25)*HH45+(1-EXP(-LN(2)/25))/(LN(2)/25)*Calculateur!HC46*Calculateur!HE46*VLOOKUP('Données projet'!$B$18,Paramètres!$A$1:$I$89,3,0)*0.475*44/12</f>
        <v>55.828648100679935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77.091740003611832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4.3499999999999996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15.949999999999998</v>
      </c>
      <c r="H47" s="67">
        <f t="shared" si="1"/>
        <v>192.86666666666667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13.587499999999999</v>
      </c>
      <c r="N47" s="13">
        <f>IF('Données projet'!$A$36&gt;35,N46+M47-V46,IF(A47&lt;'Données projet'!$A$36,$K$205^A47,IF(A47='Données projet'!$A$36,'Données projet'!$B$36,N46+M47-V46)))</f>
        <v>216.1750000000001</v>
      </c>
      <c r="O47" s="13">
        <f>N47*VLOOKUP('Données projet'!$B$9,Paramètres!$A$1:$I$89,3,0)*VLOOKUP('Données projet'!$B$9,Paramètres!$A$1:$I$89,5,0)</f>
        <v>188.85048000000012</v>
      </c>
      <c r="P47" s="13">
        <f t="shared" si="33"/>
        <v>47.285720610544388</v>
      </c>
      <c r="Q47" s="20">
        <f t="shared" si="53"/>
        <v>411.2705493966983</v>
      </c>
      <c r="R47" s="59">
        <f t="shared" si="0"/>
        <v>667.67859053221127</v>
      </c>
      <c r="S47" s="59">
        <f ca="1">AVERAGE(OFFSET($R$3,0,0,'Données projet'!$E$9+1,1))-AVERAGE(OFFSET($H$3,0,0,'Données projet'!$E$9+1,1))</f>
        <v>433.46721010558042</v>
      </c>
      <c r="T47" s="59">
        <f t="shared" si="34"/>
        <v>306.18862295347509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16.025207730479536</v>
      </c>
      <c r="AA47" s="21">
        <f>EXP(-LN(2)/25)*AA46+(1-EXP(-LN(2)/25))/(LN(2)/25)*Calculateur!V47*Calculateur!X47*VLOOKUP('Données projet'!$B$9,Paramètres!$A$1:$I$89,3,0)*0.475*44/12</f>
        <v>10.605219622605006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26.630427353084542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19.525000000000006</v>
      </c>
      <c r="AI47" s="13">
        <f>IF('Données projet'!$A$62&gt;35,AI46+AH47-AQ46,IF(A47&lt;'Données projet'!$A$62,$AF$205^A47,IF(A47='Données projet'!$A$62,'Données projet'!$B$62,AI46+AH47-AQ46)))</f>
        <v>460.00000000000023</v>
      </c>
      <c r="AJ47" s="13">
        <f>AI47*VLOOKUP('Données projet'!$B$10,Paramètres!$A$1:$I$89,3,0)*VLOOKUP('Données projet'!$B$10,Paramètres!$A$1:$I$89,5,0)</f>
        <v>275.08000000000015</v>
      </c>
      <c r="AK47" s="13">
        <f t="shared" si="35"/>
        <v>65.926201134783341</v>
      </c>
      <c r="AL47" s="20">
        <f t="shared" si="4"/>
        <v>593.91913364308118</v>
      </c>
      <c r="AM47" s="59">
        <f t="shared" si="5"/>
        <v>850.3271747785941</v>
      </c>
      <c r="AN47" s="59">
        <f ca="1">AVERAGE(OFFSET($AM$3,0,0,'Données projet'!$E$10+1,1))-AVERAGE(OFFSET($H$3,0,0,'Données projet'!$E$10+1,1))</f>
        <v>400.1942260113168</v>
      </c>
      <c r="AO47" s="59">
        <f t="shared" si="36"/>
        <v>497.04866930593926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20.84613563992086</v>
      </c>
      <c r="AV47" s="21">
        <f>EXP(-LN(2)/25)*AV46+(1-EXP(-LN(2)/25))/(LN(2)/25)*Calculateur!AQ47*Calculateur!AS47*VLOOKUP('Données projet'!$B$10,Paramètres!$A$1:$I$89,3,0)*0.475*44/12</f>
        <v>54.302010782465835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75.148146422386702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284.78505691662588</v>
      </c>
      <c r="BJ47" s="59">
        <f t="shared" si="38"/>
        <v>664.42623058686308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380.64318988568527</v>
      </c>
      <c r="CE47" s="59">
        <f t="shared" si="40"/>
        <v>885.24651320439159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120.67791091941888</v>
      </c>
      <c r="CL47" s="21">
        <f>EXP(-LN(2)/25)*CL46+(1-EXP(-LN(2)/25))/(LN(2)/25)*Calculateur!CG47*Calculateur!CI47*VLOOKUP('Données projet'!$B$12,Paramètres!$A$1:$I$89,3,0)*0.475*44/12</f>
        <v>27.794379755323831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148.47229067474271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21.939999999999998</v>
      </c>
      <c r="CT47" s="12">
        <f>IF('Données projet'!$A$140&gt;35,CT46+CS47-DB46,IF(A47&lt;'Données projet'!$A$140,$CQ$205^A47,IF(A47='Données projet'!$A$140,'Données projet'!$B$140,CT46+CS47-DB46)))</f>
        <v>394.12999999999994</v>
      </c>
      <c r="CU47" s="17">
        <f>CT47*VLOOKUP('Données projet'!$B$13,Paramètres!$A$1:$I$89,3,0)*VLOOKUP('Données projet'!$B$13,Paramètres!$A$1:$I$89,5,0)</f>
        <v>220.31866999999997</v>
      </c>
      <c r="CV47" s="13">
        <f t="shared" si="41"/>
        <v>54.184141234835565</v>
      </c>
      <c r="CW47" s="20">
        <f t="shared" si="13"/>
        <v>478.09239623400521</v>
      </c>
      <c r="CX47" s="59">
        <f t="shared" si="14"/>
        <v>734.50043736951807</v>
      </c>
      <c r="CY47" s="59">
        <f ca="1">AVERAGE(OFFSET($CX$3,0,0,'Données projet'!$E$13+1,1))-AVERAGE(OFFSET($H$3,0,0,'Données projet'!$E$13+1,1))</f>
        <v>404.10467005188889</v>
      </c>
      <c r="CZ47" s="59">
        <f t="shared" si="42"/>
        <v>372.70490129557845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24.311259895564682</v>
      </c>
      <c r="DG47" s="21">
        <f>EXP(-LN(2)/25)*DG46+(1-EXP(-LN(2)/25))/(LN(2)/25)*Calculateur!DB47*Calculateur!DD47*VLOOKUP('Données projet'!$B$13,Paramètres!$A$1:$I$89,3,0)*0.475*44/12</f>
        <v>58.124217512419413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82.435477407984095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3.1761666666666666</v>
      </c>
      <c r="DO47" s="12">
        <f>IF('Données projet'!$A$166&gt;35,DO46+DN47-DW46,IF(A47&lt;'Données projet'!$A$166,$DL$205^A47,IF(A47='Données projet'!$A$166,'Données projet'!$B$166,DO46+DN47-DW46)))</f>
        <v>139.75133333333318</v>
      </c>
      <c r="DP47" s="17">
        <f>DO47*VLOOKUP('Données projet'!$B$14,Paramètres!$A$1:$I$89,3,0)*VLOOKUP('Données projet'!$B$14,Paramètres!$A$1:$I$89,5,0)</f>
        <v>126.44700639999985</v>
      </c>
      <c r="DQ47" s="13">
        <f t="shared" si="43"/>
        <v>33.174047442462701</v>
      </c>
      <c r="DR47" s="20">
        <f t="shared" si="16"/>
        <v>278.00666877562224</v>
      </c>
      <c r="DS47" s="59">
        <f t="shared" si="17"/>
        <v>534.41470991113511</v>
      </c>
      <c r="DT47" s="59">
        <f ca="1">AVERAGE(OFFSET($DS$3,0,0,'Données projet'!$E$14+1,1))-AVERAGE(OFFSET($H$3,0,0,'Données projet'!$E$14+1,1))</f>
        <v>479.53113328461268</v>
      </c>
      <c r="DU47" s="59">
        <f t="shared" si="44"/>
        <v>244.6360664588118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27.068333333333328</v>
      </c>
      <c r="EJ47" s="12">
        <f>IF('Données projet'!$A$192&gt;35,EJ46+EI47-ER46,IF(A47&lt;'Données projet'!$A$192,$EG$205^A47,IF(A47='Données projet'!$A$192,'Données projet'!$B$192,EJ46+EI47-ER46)))</f>
        <v>546.77666666666642</v>
      </c>
      <c r="EK47" s="17">
        <f>EJ47*VLOOKUP('Données projet'!$B$15,Paramètres!$A$1:$I$89,3,0)*VLOOKUP('Données projet'!$B$15,Paramètres!$A$1:$I$89,5,0)</f>
        <v>241.67528666666661</v>
      </c>
      <c r="EL47" s="13">
        <f t="shared" si="45"/>
        <v>58.799830514755037</v>
      </c>
      <c r="EM47" s="20">
        <f t="shared" si="19"/>
        <v>523.32749575764262</v>
      </c>
      <c r="EN47" s="59">
        <f t="shared" si="20"/>
        <v>779.73553689315554</v>
      </c>
      <c r="EO47" s="59">
        <f ca="1">AVERAGE(OFFSET($EN$3,0,0,'Données projet'!$E$15+1,1))-AVERAGE(OFFSET($H$3,0,0,'Données projet'!$E$15+1,1))</f>
        <v>339.23049610652492</v>
      </c>
      <c r="EP47" s="59">
        <f t="shared" si="46"/>
        <v>448.85057640789785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14.142118719258171</v>
      </c>
      <c r="EW47" s="21">
        <f>EXP(-LN(2)/25)*EW46+(1-EXP(-LN(2)/25))/(LN(2)/25)*Calculateur!ER47*Calculateur!ET47*VLOOKUP('Données projet'!$B$15,Paramètres!$A$1:$I$89,3,0)*0.475*44/12</f>
        <v>74.774654376299281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88.91677309555746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7.6601960784313725</v>
      </c>
      <c r="FE47" s="12">
        <f>IF('Données projet'!$A$218&gt;35,FE46+FD47-FM46,IF(A47&lt;'Données projet'!$A$218,$FB$205^A47,IF(A47='Données projet'!$A$218,'Données projet'!$B$218,FE46+FD47-FM46)))</f>
        <v>337.04862745098058</v>
      </c>
      <c r="FF47" s="17">
        <f>FE47*VLOOKUP('Données projet'!$B$16,Paramètres!$A$1:$I$89,3,0)*VLOOKUP('Données projet'!$B$16,Paramètres!$A$1:$I$89,5,0)</f>
        <v>157.73875764705892</v>
      </c>
      <c r="FG47" s="13">
        <f t="shared" si="47"/>
        <v>40.332064146123422</v>
      </c>
      <c r="FH47" s="20">
        <f t="shared" si="22"/>
        <v>344.97334795645929</v>
      </c>
      <c r="FI47" s="59">
        <f t="shared" si="23"/>
        <v>601.38138909197221</v>
      </c>
      <c r="FJ47" s="59">
        <f ca="1">AVERAGE(OFFSET($FI$3,0,0,'Données projet'!$E$16+1,1))-AVERAGE(OFFSET($H$3,0,0,'Données projet'!$E$16+1,1))</f>
        <v>365.63278362856033</v>
      </c>
      <c r="FK47" s="59">
        <f t="shared" si="48"/>
        <v>290.68267842697452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5.0742105263157899</v>
      </c>
      <c r="FZ47" s="12">
        <f>IF('Données projet'!$A$244&gt;35,FZ46+FY47-GH46,IF(A47&lt;'Données projet'!$A$244,$FW$205^A47,IF(A47='Données projet'!$A$244,'Données projet'!$B$244,FZ46+FY47-GH46)))</f>
        <v>223.26526315789491</v>
      </c>
      <c r="GA47" s="17">
        <f>FZ47*VLOOKUP('Données projet'!$B$17,Paramètres!$A$1:$I$89,3,0)*VLOOKUP('Données projet'!$B$17,Paramètres!$A$1:$I$89,5,0)</f>
        <v>191.56159578947387</v>
      </c>
      <c r="GB47" s="13">
        <f t="shared" si="49"/>
        <v>47.885034865542984</v>
      </c>
      <c r="GC47" s="20">
        <f t="shared" si="25"/>
        <v>417.03621505748771</v>
      </c>
      <c r="GD47" s="59">
        <f t="shared" si="26"/>
        <v>673.44425619300068</v>
      </c>
      <c r="GE47" s="59">
        <f ca="1">AVERAGE(OFFSET($GD$3,0,0,'Données projet'!$E$17+1,1))-AVERAGE(OFFSET($H$3,0,0,'Données projet'!$E$17+1,1))</f>
        <v>460.46300302025099</v>
      </c>
      <c r="GF47" s="59">
        <f t="shared" si="50"/>
        <v>340.22534554615879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59.929465764230791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19.525000000000006</v>
      </c>
      <c r="GU47" s="12">
        <f>IF('Données projet'!$A$270&gt;35,GU46+GT47-HC46,IF(A47&lt;'Données projet'!$A$270,$GR$205^A47,IF(A47='Données projet'!$A$270,'Données projet'!$B$270,GU46+GT47-HC46)))</f>
        <v>460.00000000000023</v>
      </c>
      <c r="GV47" s="17">
        <f>GU47*VLOOKUP('Données projet'!$B$18,Paramètres!$A$1:$I$89,3,0)*VLOOKUP('Données projet'!$B$18,Paramètres!$A$1:$I$89,5,0)</f>
        <v>275.08000000000015</v>
      </c>
      <c r="GW47" s="13">
        <f t="shared" si="51"/>
        <v>65.926201134783341</v>
      </c>
      <c r="GX47" s="20">
        <f t="shared" si="28"/>
        <v>593.91913364308118</v>
      </c>
      <c r="GY47" s="59">
        <f t="shared" si="29"/>
        <v>850.3271747785941</v>
      </c>
      <c r="GZ47" s="59">
        <f ca="1">AVERAGE(OFFSET($GY$3,0,0,'Données projet'!$E$18+1,1))-AVERAGE(OFFSET($H$3,0,0,'Données projet'!$E$18+1,1))</f>
        <v>-15.950000000000017</v>
      </c>
      <c r="HA47" s="59">
        <f t="shared" si="52"/>
        <v>-15.950000000000017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20.84613563992086</v>
      </c>
      <c r="HH47" s="21">
        <f>EXP(-LN(2)/25)*HH46+(1-EXP(-LN(2)/25))/(LN(2)/25)*Calculateur!HC47*Calculateur!HE47*VLOOKUP('Données projet'!$B$18,Paramètres!$A$1:$I$89,3,0)*0.475*44/12</f>
        <v>54.302010782465835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75.148146422386702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4.3499999999999996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15.949999999999998</v>
      </c>
      <c r="H48" s="67">
        <f t="shared" si="1"/>
        <v>192.86666666666667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13.587499999999999</v>
      </c>
      <c r="N48" s="13">
        <f>IF('Données projet'!$A$36&gt;35,N47+M48-V47,IF(A48&lt;'Données projet'!$A$36,$K$205^A48,IF(A48='Données projet'!$A$36,'Données projet'!$B$36,N47+M48-V47)))</f>
        <v>229.7625000000001</v>
      </c>
      <c r="O48" s="13">
        <f>N48*VLOOKUP('Données projet'!$B$9,Paramètres!$A$1:$I$89,3,0)*VLOOKUP('Données projet'!$B$9,Paramètres!$A$1:$I$89,5,0)</f>
        <v>200.72052000000011</v>
      </c>
      <c r="P48" s="13">
        <f t="shared" si="33"/>
        <v>49.902483056701961</v>
      </c>
      <c r="Q48" s="20">
        <f t="shared" si="53"/>
        <v>436.50173032375602</v>
      </c>
      <c r="R48" s="59">
        <f t="shared" si="0"/>
        <v>693.55034272631508</v>
      </c>
      <c r="S48" s="59">
        <f ca="1">AVERAGE(OFFSET($R$3,0,0,'Données projet'!$E$9+1,1))-AVERAGE(OFFSET($H$3,0,0,'Données projet'!$E$9+1,1))</f>
        <v>433.46721010558042</v>
      </c>
      <c r="T48" s="59">
        <f t="shared" si="34"/>
        <v>306.18862295347509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15.710963181296405</v>
      </c>
      <c r="AA48" s="21">
        <f>EXP(-LN(2)/25)*AA47+(1-EXP(-LN(2)/25))/(LN(2)/25)*Calculateur!V48*Calculateur!X48*VLOOKUP('Données projet'!$B$9,Paramètres!$A$1:$I$89,3,0)*0.475*44/12</f>
        <v>10.315219334320611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26.026182515617016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19.525000000000006</v>
      </c>
      <c r="AI48" s="13">
        <f>IF('Données projet'!$A$62&gt;35,AI47+AH48-AQ47,IF(A48&lt;'Données projet'!$A$62,$AF$205^A48,IF(A48='Données projet'!$A$62,'Données projet'!$B$62,AI47+AH48-AQ47)))</f>
        <v>479.5250000000002</v>
      </c>
      <c r="AJ48" s="13">
        <f>AI48*VLOOKUP('Données projet'!$B$10,Paramètres!$A$1:$I$89,3,0)*VLOOKUP('Données projet'!$B$10,Paramètres!$A$1:$I$89,5,0)</f>
        <v>286.75595000000015</v>
      </c>
      <c r="AK48" s="13">
        <f t="shared" si="35"/>
        <v>68.392748185437156</v>
      </c>
      <c r="AL48" s="20">
        <f t="shared" si="4"/>
        <v>618.55064933963661</v>
      </c>
      <c r="AM48" s="59">
        <f t="shared" si="5"/>
        <v>875.59926174219572</v>
      </c>
      <c r="AN48" s="59">
        <f ca="1">AVERAGE(OFFSET($AM$3,0,0,'Données projet'!$E$10+1,1))-AVERAGE(OFFSET($H$3,0,0,'Données projet'!$E$10+1,1))</f>
        <v>400.1942260113168</v>
      </c>
      <c r="AO48" s="59">
        <f t="shared" si="36"/>
        <v>497.04866930593926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20.43735563490926</v>
      </c>
      <c r="AV48" s="21">
        <f>EXP(-LN(2)/25)*AV47+(1-EXP(-LN(2)/25))/(LN(2)/25)*Calculateur!AQ48*Calculateur!AS48*VLOOKUP('Données projet'!$B$10,Paramètres!$A$1:$I$89,3,0)*0.475*44/12</f>
        <v>52.817119442000667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73.254475076909927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284.78505691662588</v>
      </c>
      <c r="BJ48" s="59">
        <f t="shared" si="38"/>
        <v>664.42623058686308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380.64318988568527</v>
      </c>
      <c r="CE48" s="59">
        <f t="shared" si="40"/>
        <v>885.24651320439159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118.31149069254673</v>
      </c>
      <c r="CL48" s="21">
        <f>EXP(-LN(2)/25)*CL47+(1-EXP(-LN(2)/25))/(LN(2)/25)*Calculateur!CG48*Calculateur!CI48*VLOOKUP('Données projet'!$B$12,Paramètres!$A$1:$I$89,3,0)*0.475*44/12</f>
        <v>27.034340979271594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145.34583167181833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21.939999999999998</v>
      </c>
      <c r="CT48" s="12">
        <f>IF('Données projet'!$A$140&gt;35,CT47+CS48-DB47,IF(A48&lt;'Données projet'!$A$140,$CQ$205^A48,IF(A48='Données projet'!$A$140,'Données projet'!$B$140,CT47+CS48-DB47)))</f>
        <v>416.06999999999994</v>
      </c>
      <c r="CU48" s="17">
        <f>CT48*VLOOKUP('Données projet'!$B$13,Paramètres!$A$1:$I$89,3,0)*VLOOKUP('Données projet'!$B$13,Paramètres!$A$1:$I$89,5,0)</f>
        <v>232.58312999999998</v>
      </c>
      <c r="CV48" s="13">
        <f t="shared" si="41"/>
        <v>56.840851065639789</v>
      </c>
      <c r="CW48" s="20">
        <f t="shared" si="13"/>
        <v>504.08010035598926</v>
      </c>
      <c r="CX48" s="59">
        <f t="shared" si="14"/>
        <v>761.12871275854832</v>
      </c>
      <c r="CY48" s="59">
        <f ca="1">AVERAGE(OFFSET($CX$3,0,0,'Données projet'!$E$13+1,1))-AVERAGE(OFFSET($H$3,0,0,'Données projet'!$E$13+1,1))</f>
        <v>404.10467005188889</v>
      </c>
      <c r="CZ48" s="59">
        <f t="shared" si="42"/>
        <v>372.70490129557845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23.834530917417013</v>
      </c>
      <c r="DG48" s="21">
        <f>EXP(-LN(2)/25)*DG47+(1-EXP(-LN(2)/25))/(LN(2)/25)*Calculateur!DB48*Calculateur!DD48*VLOOKUP('Données projet'!$B$13,Paramètres!$A$1:$I$89,3,0)*0.475*44/12</f>
        <v>56.534807727922548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80.369338645339553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3.1761666666666666</v>
      </c>
      <c r="DO48" s="12">
        <f>IF('Données projet'!$A$166&gt;35,DO47+DN48-DW47,IF(A48&lt;'Données projet'!$A$166,$DL$205^A48,IF(A48='Données projet'!$A$166,'Données projet'!$B$166,DO47+DN48-DW47)))</f>
        <v>142.92749999999984</v>
      </c>
      <c r="DP48" s="17">
        <f>DO48*VLOOKUP('Données projet'!$B$14,Paramètres!$A$1:$I$89,3,0)*VLOOKUP('Données projet'!$B$14,Paramètres!$A$1:$I$89,5,0)</f>
        <v>129.32080199999984</v>
      </c>
      <c r="DQ48" s="13">
        <f t="shared" si="43"/>
        <v>33.839368801411766</v>
      </c>
      <c r="DR48" s="20">
        <f t="shared" si="16"/>
        <v>284.17063081245851</v>
      </c>
      <c r="DS48" s="59">
        <f t="shared" si="17"/>
        <v>541.21924321501751</v>
      </c>
      <c r="DT48" s="59">
        <f ca="1">AVERAGE(OFFSET($DS$3,0,0,'Données projet'!$E$14+1,1))-AVERAGE(OFFSET($H$3,0,0,'Données projet'!$E$14+1,1))</f>
        <v>479.53113328461268</v>
      </c>
      <c r="DU48" s="59">
        <f t="shared" si="44"/>
        <v>244.6360664588118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27.068333333333328</v>
      </c>
      <c r="EJ48" s="12">
        <f>IF('Données projet'!$A$192&gt;35,EJ47+EI48-ER47,IF(A48&lt;'Données projet'!$A$192,$EG$205^A48,IF(A48='Données projet'!$A$192,'Données projet'!$B$192,EJ47+EI48-ER47)))</f>
        <v>573.8449999999998</v>
      </c>
      <c r="EK48" s="17">
        <f>EJ48*VLOOKUP('Données projet'!$B$15,Paramètres!$A$1:$I$89,3,0)*VLOOKUP('Données projet'!$B$15,Paramètres!$A$1:$I$89,5,0)</f>
        <v>253.63948999999994</v>
      </c>
      <c r="EL48" s="13">
        <f t="shared" si="45"/>
        <v>61.364626093451839</v>
      </c>
      <c r="EM48" s="20">
        <f t="shared" si="19"/>
        <v>548.63216886276189</v>
      </c>
      <c r="EN48" s="59">
        <f t="shared" si="20"/>
        <v>805.680781265321</v>
      </c>
      <c r="EO48" s="59">
        <f ca="1">AVERAGE(OFFSET($EN$3,0,0,'Données projet'!$E$15+1,1))-AVERAGE(OFFSET($H$3,0,0,'Données projet'!$E$15+1,1))</f>
        <v>339.23049610652492</v>
      </c>
      <c r="EP48" s="59">
        <f t="shared" si="46"/>
        <v>448.85057640789785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13.864800397014207</v>
      </c>
      <c r="EW48" s="21">
        <f>EXP(-LN(2)/25)*EW47+(1-EXP(-LN(2)/25))/(LN(2)/25)*Calculateur!ER48*Calculateur!ET48*VLOOKUP('Données projet'!$B$15,Paramètres!$A$1:$I$89,3,0)*0.475*44/12</f>
        <v>72.729937520151211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86.594737917165418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7.6601960784313725</v>
      </c>
      <c r="FE48" s="12">
        <f>IF('Données projet'!$A$218&gt;35,FE47+FD48-FM47,IF(A48&lt;'Données projet'!$A$218,$FB$205^A48,IF(A48='Données projet'!$A$218,'Données projet'!$B$218,FE47+FD48-FM47)))</f>
        <v>344.70882352941197</v>
      </c>
      <c r="FF48" s="17">
        <f>FE48*VLOOKUP('Données projet'!$B$16,Paramètres!$A$1:$I$89,3,0)*VLOOKUP('Données projet'!$B$16,Paramètres!$A$1:$I$89,5,0)</f>
        <v>161.32372941176479</v>
      </c>
      <c r="FG48" s="13">
        <f t="shared" si="47"/>
        <v>41.140942947344818</v>
      </c>
      <c r="FH48" s="20">
        <f t="shared" si="22"/>
        <v>352.62597102544919</v>
      </c>
      <c r="FI48" s="59">
        <f t="shared" si="23"/>
        <v>609.67458342800819</v>
      </c>
      <c r="FJ48" s="59">
        <f ca="1">AVERAGE(OFFSET($FI$3,0,0,'Données projet'!$E$16+1,1))-AVERAGE(OFFSET($H$3,0,0,'Données projet'!$E$16+1,1))</f>
        <v>365.63278362856033</v>
      </c>
      <c r="FK48" s="59">
        <f t="shared" si="48"/>
        <v>290.68267842697452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5.0742105263157899</v>
      </c>
      <c r="FZ48" s="12">
        <f>IF('Données projet'!$A$244&gt;35,FZ47+FY48-GH47,IF(A48&lt;'Données projet'!$A$244,$FW$205^A48,IF(A48='Données projet'!$A$244,'Données projet'!$B$244,FZ47+FY48-GH47)))</f>
        <v>228.3394736842107</v>
      </c>
      <c r="GA48" s="17">
        <f>FZ48*VLOOKUP('Données projet'!$B$17,Paramètres!$A$1:$I$89,3,0)*VLOOKUP('Données projet'!$B$17,Paramètres!$A$1:$I$89,5,0)</f>
        <v>195.91526842105282</v>
      </c>
      <c r="GB48" s="13">
        <f t="shared" si="49"/>
        <v>48.845392100376074</v>
      </c>
      <c r="GC48" s="20">
        <f t="shared" si="25"/>
        <v>426.29148374148866</v>
      </c>
      <c r="GD48" s="59">
        <f t="shared" si="26"/>
        <v>683.34009614404772</v>
      </c>
      <c r="GE48" s="59">
        <f ca="1">AVERAGE(OFFSET($GD$3,0,0,'Données projet'!$E$17+1,1))-AVERAGE(OFFSET($H$3,0,0,'Données projet'!$E$17+1,1))</f>
        <v>460.46300302025099</v>
      </c>
      <c r="GF48" s="59">
        <f t="shared" si="50"/>
        <v>340.22534554615879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60.104167018879728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19.525000000000006</v>
      </c>
      <c r="GU48" s="12">
        <f>IF('Données projet'!$A$270&gt;35,GU47+GT48-HC47,IF(A48&lt;'Données projet'!$A$270,$GR$205^A48,IF(A48='Données projet'!$A$270,'Données projet'!$B$270,GU47+GT48-HC47)))</f>
        <v>479.5250000000002</v>
      </c>
      <c r="GV48" s="17">
        <f>GU48*VLOOKUP('Données projet'!$B$18,Paramètres!$A$1:$I$89,3,0)*VLOOKUP('Données projet'!$B$18,Paramètres!$A$1:$I$89,5,0)</f>
        <v>286.75595000000015</v>
      </c>
      <c r="GW48" s="13">
        <f t="shared" si="51"/>
        <v>68.392748185437156</v>
      </c>
      <c r="GX48" s="20">
        <f t="shared" si="28"/>
        <v>618.55064933963661</v>
      </c>
      <c r="GY48" s="59">
        <f t="shared" si="29"/>
        <v>875.59926174219572</v>
      </c>
      <c r="GZ48" s="59">
        <f ca="1">AVERAGE(OFFSET($GY$3,0,0,'Données projet'!$E$18+1,1))-AVERAGE(OFFSET($H$3,0,0,'Données projet'!$E$18+1,1))</f>
        <v>-15.950000000000017</v>
      </c>
      <c r="HA48" s="59">
        <f t="shared" si="52"/>
        <v>-15.950000000000017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20.43735563490926</v>
      </c>
      <c r="HH48" s="21">
        <f>EXP(-LN(2)/25)*HH47+(1-EXP(-LN(2)/25))/(LN(2)/25)*Calculateur!HC48*Calculateur!HE48*VLOOKUP('Données projet'!$B$18,Paramètres!$A$1:$I$89,3,0)*0.475*44/12</f>
        <v>52.817119442000667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73.254475076909927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4.3499999999999996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15.949999999999998</v>
      </c>
      <c r="H49" s="67">
        <f t="shared" si="1"/>
        <v>192.86666666666667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13.587499999999999</v>
      </c>
      <c r="N49" s="13">
        <f>IF('Données projet'!$A$36&gt;35,N48+M49-V48,IF(A49&lt;'Données projet'!$A$36,$K$205^A49,IF(A49='Données projet'!$A$36,'Données projet'!$B$36,N48+M49-V48)))</f>
        <v>243.35000000000011</v>
      </c>
      <c r="O49" s="13">
        <f>N49*VLOOKUP('Données projet'!$B$9,Paramètres!$A$1:$I$89,3,0)*VLOOKUP('Données projet'!$B$9,Paramètres!$A$1:$I$89,5,0)</f>
        <v>212.59056000000012</v>
      </c>
      <c r="P49" s="13">
        <f t="shared" si="33"/>
        <v>52.501283653296447</v>
      </c>
      <c r="Q49" s="20">
        <f t="shared" si="53"/>
        <v>461.70162769615814</v>
      </c>
      <c r="R49" s="59">
        <f t="shared" si="0"/>
        <v>719.37969888638281</v>
      </c>
      <c r="S49" s="59">
        <f ca="1">AVERAGE(OFFSET($R$3,0,0,'Données projet'!$E$9+1,1))-AVERAGE(OFFSET($H$3,0,0,'Données projet'!$E$9+1,1))</f>
        <v>433.46721010558042</v>
      </c>
      <c r="T49" s="59">
        <f t="shared" si="34"/>
        <v>306.18862295347509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15.402880776052505</v>
      </c>
      <c r="AA49" s="21">
        <f>EXP(-LN(2)/25)*AA48+(1-EXP(-LN(2)/25))/(LN(2)/25)*Calculateur!V49*Calculateur!X49*VLOOKUP('Données projet'!$B$9,Paramètres!$A$1:$I$89,3,0)*0.475*44/12</f>
        <v>10.033149119169805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25.436029895222312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19.525000000000006</v>
      </c>
      <c r="AI49" s="13">
        <f>IF('Données projet'!$A$62&gt;35,AI48+AH49-AQ48,IF(A49&lt;'Données projet'!$A$62,$AF$205^A49,IF(A49='Données projet'!$A$62,'Données projet'!$B$62,AI48+AH49-AQ48)))</f>
        <v>499.05000000000018</v>
      </c>
      <c r="AJ49" s="13">
        <f>AI49*VLOOKUP('Données projet'!$B$10,Paramètres!$A$1:$I$89,3,0)*VLOOKUP('Données projet'!$B$10,Paramètres!$A$1:$I$89,5,0)</f>
        <v>298.43190000000016</v>
      </c>
      <c r="AK49" s="13">
        <f t="shared" si="35"/>
        <v>70.847629284612296</v>
      </c>
      <c r="AL49" s="20">
        <f t="shared" si="4"/>
        <v>643.16184683736662</v>
      </c>
      <c r="AM49" s="59">
        <f t="shared" si="5"/>
        <v>900.83991802759124</v>
      </c>
      <c r="AN49" s="59">
        <f ca="1">AVERAGE(OFFSET($AM$3,0,0,'Données projet'!$E$10+1,1))-AVERAGE(OFFSET($H$3,0,0,'Données projet'!$E$10+1,1))</f>
        <v>400.1942260113168</v>
      </c>
      <c r="AO49" s="59">
        <f t="shared" si="36"/>
        <v>497.04866930593926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20.036591556464757</v>
      </c>
      <c r="AV49" s="21">
        <f>EXP(-LN(2)/25)*AV48+(1-EXP(-LN(2)/25))/(LN(2)/25)*Calculateur!AQ49*Calculateur!AS49*VLOOKUP('Données projet'!$B$10,Paramètres!$A$1:$I$89,3,0)*0.475*44/12</f>
        <v>51.372832533327561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71.40942408979231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284.78505691662588</v>
      </c>
      <c r="BJ49" s="59">
        <f t="shared" si="38"/>
        <v>664.42623058686308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380.64318988568527</v>
      </c>
      <c r="CE49" s="59">
        <f t="shared" si="40"/>
        <v>885.24651320439159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115.99147452294972</v>
      </c>
      <c r="CL49" s="21">
        <f>EXP(-LN(2)/25)*CL48+(1-EXP(-LN(2)/25))/(LN(2)/25)*Calculateur!CG49*Calculateur!CI49*VLOOKUP('Données projet'!$B$12,Paramètres!$A$1:$I$89,3,0)*0.475*44/12</f>
        <v>26.295085503519207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142.28656002646892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21.939999999999998</v>
      </c>
      <c r="CT49" s="12">
        <f>IF('Données projet'!$A$140&gt;35,CT48+CS49-DB48,IF(A49&lt;'Données projet'!$A$140,$CQ$205^A49,IF(A49='Données projet'!$A$140,'Données projet'!$B$140,CT48+CS49-DB48)))</f>
        <v>438.00999999999993</v>
      </c>
      <c r="CU49" s="17">
        <f>CT49*VLOOKUP('Données projet'!$B$13,Paramètres!$A$1:$I$89,3,0)*VLOOKUP('Données projet'!$B$13,Paramètres!$A$1:$I$89,5,0)</f>
        <v>244.84758999999997</v>
      </c>
      <c r="CV49" s="13">
        <f t="shared" si="41"/>
        <v>59.481296135283444</v>
      </c>
      <c r="CW49" s="20">
        <f t="shared" si="13"/>
        <v>530.03947668561864</v>
      </c>
      <c r="CX49" s="59">
        <f t="shared" si="14"/>
        <v>787.71754787584337</v>
      </c>
      <c r="CY49" s="59">
        <f ca="1">AVERAGE(OFFSET($CX$3,0,0,'Données projet'!$E$13+1,1))-AVERAGE(OFFSET($H$3,0,0,'Données projet'!$E$13+1,1))</f>
        <v>404.10467005188889</v>
      </c>
      <c r="CZ49" s="59">
        <f t="shared" si="42"/>
        <v>372.70490129557845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23.367150303754855</v>
      </c>
      <c r="DG49" s="21">
        <f>EXP(-LN(2)/25)*DG48+(1-EXP(-LN(2)/25))/(LN(2)/25)*Calculateur!DB49*Calculateur!DD49*VLOOKUP('Données projet'!$B$13,Paramètres!$A$1:$I$89,3,0)*0.475*44/12</f>
        <v>54.988860437566181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78.356010741321029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3.1761666666666666</v>
      </c>
      <c r="DO49" s="12">
        <f>IF('Données projet'!$A$166&gt;35,DO48+DN49-DW48,IF(A49&lt;'Données projet'!$A$166,$DL$205^A49,IF(A49='Données projet'!$A$166,'Données projet'!$B$166,DO48+DN49-DW48)))</f>
        <v>146.1036666666665</v>
      </c>
      <c r="DP49" s="17">
        <f>DO49*VLOOKUP('Données projet'!$B$14,Paramètres!$A$1:$I$89,3,0)*VLOOKUP('Données projet'!$B$14,Paramètres!$A$1:$I$89,5,0)</f>
        <v>132.19459759999984</v>
      </c>
      <c r="DQ49" s="13">
        <f t="shared" si="43"/>
        <v>34.502971270111502</v>
      </c>
      <c r="DR49" s="20">
        <f t="shared" si="16"/>
        <v>290.33159911544391</v>
      </c>
      <c r="DS49" s="59">
        <f t="shared" si="17"/>
        <v>548.00967030566858</v>
      </c>
      <c r="DT49" s="59">
        <f ca="1">AVERAGE(OFFSET($DS$3,0,0,'Données projet'!$E$14+1,1))-AVERAGE(OFFSET($H$3,0,0,'Données projet'!$E$14+1,1))</f>
        <v>479.53113328461268</v>
      </c>
      <c r="DU49" s="59">
        <f t="shared" si="44"/>
        <v>244.6360664588118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27.068333333333328</v>
      </c>
      <c r="EJ49" s="12">
        <f>IF('Données projet'!$A$192&gt;35,EJ48+EI49-ER48,IF(A49&lt;'Données projet'!$A$192,$EG$205^A49,IF(A49='Données projet'!$A$192,'Données projet'!$B$192,EJ48+EI49-ER48)))</f>
        <v>600.91333333333318</v>
      </c>
      <c r="EK49" s="17">
        <f>EJ49*VLOOKUP('Données projet'!$B$15,Paramètres!$A$1:$I$89,3,0)*VLOOKUP('Données projet'!$B$15,Paramètres!$A$1:$I$89,5,0)</f>
        <v>265.6036933333333</v>
      </c>
      <c r="EL49" s="13">
        <f t="shared" si="45"/>
        <v>63.915372491057781</v>
      </c>
      <c r="EM49" s="20">
        <f t="shared" si="19"/>
        <v>573.91237297748114</v>
      </c>
      <c r="EN49" s="59">
        <f t="shared" si="20"/>
        <v>831.59044416770575</v>
      </c>
      <c r="EO49" s="59">
        <f ca="1">AVERAGE(OFFSET($EN$3,0,0,'Données projet'!$E$15+1,1))-AVERAGE(OFFSET($H$3,0,0,'Données projet'!$E$15+1,1))</f>
        <v>339.23049610652492</v>
      </c>
      <c r="EP49" s="59">
        <f t="shared" si="46"/>
        <v>448.85057640789785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13.592920117921972</v>
      </c>
      <c r="EW49" s="21">
        <f>EXP(-LN(2)/25)*EW48+(1-EXP(-LN(2)/25))/(LN(2)/25)*Calculateur!ER49*Calculateur!ET49*VLOOKUP('Données projet'!$B$15,Paramètres!$A$1:$I$89,3,0)*0.475*44/12</f>
        <v>70.74113355396149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84.334053671883467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7.6601960784313725</v>
      </c>
      <c r="FE49" s="12">
        <f>IF('Données projet'!$A$218&gt;35,FE48+FD49-FM48,IF(A49&lt;'Données projet'!$A$218,$FB$205^A49,IF(A49='Données projet'!$A$218,'Données projet'!$B$218,FE48+FD49-FM48)))</f>
        <v>352.36901960784337</v>
      </c>
      <c r="FF49" s="17">
        <f>FE49*VLOOKUP('Données projet'!$B$16,Paramètres!$A$1:$I$89,3,0)*VLOOKUP('Données projet'!$B$16,Paramètres!$A$1:$I$89,5,0)</f>
        <v>164.90870117647071</v>
      </c>
      <c r="FG49" s="13">
        <f t="shared" si="47"/>
        <v>41.947731970648171</v>
      </c>
      <c r="FH49" s="20">
        <f t="shared" si="22"/>
        <v>360.27495439789868</v>
      </c>
      <c r="FI49" s="59">
        <f t="shared" si="23"/>
        <v>617.95302558812341</v>
      </c>
      <c r="FJ49" s="59">
        <f ca="1">AVERAGE(OFFSET($FI$3,0,0,'Données projet'!$E$16+1,1))-AVERAGE(OFFSET($H$3,0,0,'Données projet'!$E$16+1,1))</f>
        <v>365.63278362856033</v>
      </c>
      <c r="FK49" s="59">
        <f t="shared" si="48"/>
        <v>290.68267842697452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5.0742105263157899</v>
      </c>
      <c r="FZ49" s="12">
        <f>IF('Données projet'!$A$244&gt;35,FZ48+FY49-GH48,IF(A49&lt;'Données projet'!$A$244,$FW$205^A49,IF(A49='Données projet'!$A$244,'Données projet'!$B$244,FZ48+FY49-GH48)))</f>
        <v>233.4136842105265</v>
      </c>
      <c r="GA49" s="17">
        <f>FZ49*VLOOKUP('Données projet'!$B$17,Paramètres!$A$1:$I$89,3,0)*VLOOKUP('Données projet'!$B$17,Paramètres!$A$1:$I$89,5,0)</f>
        <v>200.26894105263179</v>
      </c>
      <c r="GB49" s="13">
        <f t="shared" si="49"/>
        <v>49.803268205354236</v>
      </c>
      <c r="GC49" s="20">
        <f t="shared" si="25"/>
        <v>435.54243112432567</v>
      </c>
      <c r="GD49" s="59">
        <f t="shared" si="26"/>
        <v>693.22050231455034</v>
      </c>
      <c r="GE49" s="59">
        <f ca="1">AVERAGE(OFFSET($GD$3,0,0,'Données projet'!$E$17+1,1))-AVERAGE(OFFSET($H$3,0,0,'Données projet'!$E$17+1,1))</f>
        <v>460.46300302025099</v>
      </c>
      <c r="GF49" s="59">
        <f t="shared" si="50"/>
        <v>340.22534554615879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60.275837597333997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19.525000000000006</v>
      </c>
      <c r="GU49" s="12">
        <f>IF('Données projet'!$A$270&gt;35,GU48+GT49-HC48,IF(A49&lt;'Données projet'!$A$270,$GR$205^A49,IF(A49='Données projet'!$A$270,'Données projet'!$B$270,GU48+GT49-HC48)))</f>
        <v>499.05000000000018</v>
      </c>
      <c r="GV49" s="17">
        <f>GU49*VLOOKUP('Données projet'!$B$18,Paramètres!$A$1:$I$89,3,0)*VLOOKUP('Données projet'!$B$18,Paramètres!$A$1:$I$89,5,0)</f>
        <v>298.43190000000016</v>
      </c>
      <c r="GW49" s="13">
        <f t="shared" si="51"/>
        <v>70.847629284612296</v>
      </c>
      <c r="GX49" s="20">
        <f t="shared" si="28"/>
        <v>643.16184683736662</v>
      </c>
      <c r="GY49" s="59">
        <f t="shared" si="29"/>
        <v>900.83991802759124</v>
      </c>
      <c r="GZ49" s="59">
        <f ca="1">AVERAGE(OFFSET($GY$3,0,0,'Données projet'!$E$18+1,1))-AVERAGE(OFFSET($H$3,0,0,'Données projet'!$E$18+1,1))</f>
        <v>-15.950000000000017</v>
      </c>
      <c r="HA49" s="59">
        <f t="shared" si="52"/>
        <v>-15.950000000000017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20.036591556464757</v>
      </c>
      <c r="HH49" s="21">
        <f>EXP(-LN(2)/25)*HH48+(1-EXP(-LN(2)/25))/(LN(2)/25)*Calculateur!HC49*Calculateur!HE49*VLOOKUP('Données projet'!$B$18,Paramètres!$A$1:$I$89,3,0)*0.475*44/12</f>
        <v>51.372832533327561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71.40942408979231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4.3499999999999996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15.949999999999998</v>
      </c>
      <c r="H50" s="67">
        <f t="shared" si="1"/>
        <v>192.86666666666667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13.587499999999999</v>
      </c>
      <c r="N50" s="13">
        <f>IF('Données projet'!$A$36&gt;35,N49+M50-V49,IF(A50&lt;'Données projet'!$A$36,$K$205^A50,IF(A50='Données projet'!$A$36,'Données projet'!$B$36,N49+M50-V49)))</f>
        <v>256.93750000000011</v>
      </c>
      <c r="O50" s="13">
        <f>N50*VLOOKUP('Données projet'!$B$9,Paramètres!$A$1:$I$89,3,0)*VLOOKUP('Données projet'!$B$9,Paramètres!$A$1:$I$89,5,0)</f>
        <v>224.46060000000011</v>
      </c>
      <c r="P50" s="13">
        <f t="shared" si="33"/>
        <v>55.083239604126604</v>
      </c>
      <c r="Q50" s="20">
        <f t="shared" si="53"/>
        <v>486.87218731052076</v>
      </c>
      <c r="R50" s="59">
        <f t="shared" si="0"/>
        <v>745.16879758570417</v>
      </c>
      <c r="S50" s="59">
        <f ca="1">AVERAGE(OFFSET($R$3,0,0,'Données projet'!$E$9+1,1))-AVERAGE(OFFSET($H$3,0,0,'Données projet'!$E$9+1,1))</f>
        <v>433.46721010558042</v>
      </c>
      <c r="T50" s="59">
        <f t="shared" si="34"/>
        <v>306.18862295347509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15.100839678863727</v>
      </c>
      <c r="AA50" s="21">
        <f>EXP(-LN(2)/25)*AA49+(1-EXP(-LN(2)/25))/(LN(2)/25)*Calculateur!V50*Calculateur!X50*VLOOKUP('Données projet'!$B$9,Paramètres!$A$1:$I$89,3,0)*0.475*44/12</f>
        <v>9.7587921288857249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24.859631807749452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19.525000000000006</v>
      </c>
      <c r="AI50" s="13">
        <f>IF('Données projet'!$A$62&gt;35,AI49+AH50-AQ49,IF(A50&lt;'Données projet'!$A$62,$AF$205^A50,IF(A50='Données projet'!$A$62,'Données projet'!$B$62,AI49+AH50-AQ49)))</f>
        <v>518.57500000000016</v>
      </c>
      <c r="AJ50" s="13">
        <f>AI50*VLOOKUP('Données projet'!$B$10,Paramètres!$A$1:$I$89,3,0)*VLOOKUP('Données projet'!$B$10,Paramètres!$A$1:$I$89,5,0)</f>
        <v>310.1078500000001</v>
      </c>
      <c r="AK50" s="13">
        <f t="shared" si="35"/>
        <v>73.291353088335526</v>
      </c>
      <c r="AL50" s="20">
        <f t="shared" si="4"/>
        <v>667.75361204551791</v>
      </c>
      <c r="AM50" s="59">
        <f t="shared" si="5"/>
        <v>926.05022232070132</v>
      </c>
      <c r="AN50" s="59">
        <f ca="1">AVERAGE(OFFSET($AM$3,0,0,'Données projet'!$E$10+1,1))-AVERAGE(OFFSET($H$3,0,0,'Données projet'!$E$10+1,1))</f>
        <v>400.1942260113168</v>
      </c>
      <c r="AO50" s="59">
        <f t="shared" si="36"/>
        <v>497.04866930593926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19.643686217156596</v>
      </c>
      <c r="AV50" s="21">
        <f>EXP(-LN(2)/25)*AV49+(1-EXP(-LN(2)/25))/(LN(2)/25)*Calculateur!AQ50*Calculateur!AS50*VLOOKUP('Données projet'!$B$10,Paramètres!$A$1:$I$89,3,0)*0.475*44/12</f>
        <v>49.96803972612387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69.611725943280462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284.78505691662588</v>
      </c>
      <c r="BJ50" s="59">
        <f t="shared" si="38"/>
        <v>664.42623058686308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380.64318988568527</v>
      </c>
      <c r="CE50" s="59">
        <f t="shared" si="40"/>
        <v>885.24651320439159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113.71695245536837</v>
      </c>
      <c r="CL50" s="21">
        <f>EXP(-LN(2)/25)*CL49+(1-EXP(-LN(2)/25))/(LN(2)/25)*Calculateur!CG50*Calculateur!CI50*VLOOKUP('Données projet'!$B$12,Paramètres!$A$1:$I$89,3,0)*0.475*44/12</f>
        <v>25.576045007627027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139.2929974629954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21.939999999999998</v>
      </c>
      <c r="CT50" s="12">
        <f>IF('Données projet'!$A$140&gt;35,CT49+CS50-DB49,IF(A50&lt;'Données projet'!$A$140,$CQ$205^A50,IF(A50='Données projet'!$A$140,'Données projet'!$B$140,CT49+CS50-DB49)))</f>
        <v>459.94999999999993</v>
      </c>
      <c r="CU50" s="17">
        <f>CT50*VLOOKUP('Données projet'!$B$13,Paramètres!$A$1:$I$89,3,0)*VLOOKUP('Données projet'!$B$13,Paramètres!$A$1:$I$89,5,0)</f>
        <v>257.11205000000001</v>
      </c>
      <c r="CV50" s="13">
        <f t="shared" si="41"/>
        <v>62.106384111300585</v>
      </c>
      <c r="CW50" s="20">
        <f t="shared" si="13"/>
        <v>555.97210607718182</v>
      </c>
      <c r="CX50" s="59">
        <f t="shared" si="14"/>
        <v>814.26871635236512</v>
      </c>
      <c r="CY50" s="59">
        <f ca="1">AVERAGE(OFFSET($CX$3,0,0,'Données projet'!$E$13+1,1))-AVERAGE(OFFSET($H$3,0,0,'Données projet'!$E$13+1,1))</f>
        <v>404.10467005188889</v>
      </c>
      <c r="CZ50" s="59">
        <f t="shared" si="42"/>
        <v>372.70490129557845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22.908934738852583</v>
      </c>
      <c r="DG50" s="21">
        <f>EXP(-LN(2)/25)*DG49+(1-EXP(-LN(2)/25))/(LN(2)/25)*Calculateur!DB50*Calculateur!DD50*VLOOKUP('Données projet'!$B$13,Paramètres!$A$1:$I$89,3,0)*0.475*44/12</f>
        <v>53.485187157162443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76.394121896015022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3.1761666666666666</v>
      </c>
      <c r="DO50" s="12">
        <f>IF('Données projet'!$A$166&gt;35,DO49+DN50-DW49,IF(A50&lt;'Données projet'!$A$166,$DL$205^A50,IF(A50='Données projet'!$A$166,'Données projet'!$B$166,DO49+DN50-DW49)))</f>
        <v>149.27983333333316</v>
      </c>
      <c r="DP50" s="17">
        <f>DO50*VLOOKUP('Données projet'!$B$14,Paramètres!$A$1:$I$89,3,0)*VLOOKUP('Données projet'!$B$14,Paramètres!$A$1:$I$89,5,0)</f>
        <v>135.06839319999983</v>
      </c>
      <c r="DQ50" s="13">
        <f t="shared" si="43"/>
        <v>35.164896519174341</v>
      </c>
      <c r="DR50" s="20">
        <f t="shared" si="16"/>
        <v>296.48964626089503</v>
      </c>
      <c r="DS50" s="59">
        <f t="shared" si="17"/>
        <v>554.78625653607833</v>
      </c>
      <c r="DT50" s="59">
        <f ca="1">AVERAGE(OFFSET($DS$3,0,0,'Données projet'!$E$14+1,1))-AVERAGE(OFFSET($H$3,0,0,'Données projet'!$E$14+1,1))</f>
        <v>479.53113328461268</v>
      </c>
      <c r="DU50" s="59">
        <f t="shared" si="44"/>
        <v>244.6360664588118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27.068333333333328</v>
      </c>
      <c r="EJ50" s="12">
        <f>IF('Données projet'!$A$192&gt;35,EJ49+EI50-ER49,IF(A50&lt;'Données projet'!$A$192,$EG$205^A50,IF(A50='Données projet'!$A$192,'Données projet'!$B$192,EJ49+EI50-ER49)))</f>
        <v>627.98166666666657</v>
      </c>
      <c r="EK50" s="17">
        <f>EJ50*VLOOKUP('Données projet'!$B$15,Paramètres!$A$1:$I$89,3,0)*VLOOKUP('Données projet'!$B$15,Paramètres!$A$1:$I$89,5,0)</f>
        <v>277.56789666666663</v>
      </c>
      <c r="EL50" s="13">
        <f t="shared" si="45"/>
        <v>66.452774859358669</v>
      </c>
      <c r="EM50" s="20">
        <f t="shared" si="19"/>
        <v>599.16933624116075</v>
      </c>
      <c r="EN50" s="59">
        <f t="shared" si="20"/>
        <v>857.46594651634405</v>
      </c>
      <c r="EO50" s="59">
        <f ca="1">AVERAGE(OFFSET($EN$3,0,0,'Données projet'!$E$15+1,1))-AVERAGE(OFFSET($H$3,0,0,'Données projet'!$E$15+1,1))</f>
        <v>339.23049610652492</v>
      </c>
      <c r="EP50" s="59">
        <f t="shared" si="46"/>
        <v>448.85057640789785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13.326371245272139</v>
      </c>
      <c r="EW50" s="21">
        <f>EXP(-LN(2)/25)*EW49+(1-EXP(-LN(2)/25))/(LN(2)/25)*Calculateur!ER50*Calculateur!ET50*VLOOKUP('Données projet'!$B$15,Paramètres!$A$1:$I$89,3,0)*0.475*44/12</f>
        <v>68.806713536813874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82.133084782086016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7.6601960784313725</v>
      </c>
      <c r="FE50" s="12">
        <f>IF('Données projet'!$A$218&gt;35,FE49+FD50-FM49,IF(A50&lt;'Données projet'!$A$218,$FB$205^A50,IF(A50='Données projet'!$A$218,'Données projet'!$B$218,FE49+FD50-FM49)))</f>
        <v>360.02921568627477</v>
      </c>
      <c r="FF50" s="17">
        <f>FE50*VLOOKUP('Données projet'!$B$16,Paramètres!$A$1:$I$89,3,0)*VLOOKUP('Données projet'!$B$16,Paramètres!$A$1:$I$89,5,0)</f>
        <v>168.49367294117658</v>
      </c>
      <c r="FG50" s="13">
        <f t="shared" si="47"/>
        <v>42.752481877979932</v>
      </c>
      <c r="FH50" s="20">
        <f t="shared" si="22"/>
        <v>367.92038631003089</v>
      </c>
      <c r="FI50" s="59">
        <f t="shared" si="23"/>
        <v>626.21699658521425</v>
      </c>
      <c r="FJ50" s="59">
        <f ca="1">AVERAGE(OFFSET($FI$3,0,0,'Données projet'!$E$16+1,1))-AVERAGE(OFFSET($H$3,0,0,'Données projet'!$E$16+1,1))</f>
        <v>365.63278362856033</v>
      </c>
      <c r="FK50" s="59">
        <f t="shared" si="48"/>
        <v>290.68267842697452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5.0742105263157899</v>
      </c>
      <c r="FZ50" s="12">
        <f>IF('Données projet'!$A$244&gt;35,FZ49+FY50-GH49,IF(A50&lt;'Données projet'!$A$244,$FW$205^A50,IF(A50='Données projet'!$A$244,'Données projet'!$B$244,FZ49+FY50-GH49)))</f>
        <v>238.48789473684229</v>
      </c>
      <c r="GA50" s="17">
        <f>FZ50*VLOOKUP('Données projet'!$B$17,Paramètres!$A$1:$I$89,3,0)*VLOOKUP('Données projet'!$B$17,Paramètres!$A$1:$I$89,5,0)</f>
        <v>204.62261368421071</v>
      </c>
      <c r="GB50" s="13">
        <f t="shared" si="49"/>
        <v>50.758723329867813</v>
      </c>
      <c r="GC50" s="20">
        <f t="shared" si="25"/>
        <v>444.78916196618667</v>
      </c>
      <c r="GD50" s="59">
        <f t="shared" si="26"/>
        <v>703.08577224137002</v>
      </c>
      <c r="GE50" s="59">
        <f ca="1">AVERAGE(OFFSET($GD$3,0,0,'Données projet'!$E$17+1,1))-AVERAGE(OFFSET($H$3,0,0,'Données projet'!$E$17+1,1))</f>
        <v>460.46300302025099</v>
      </c>
      <c r="GF50" s="59">
        <f t="shared" si="50"/>
        <v>340.22534554615879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60.444530075050004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19.525000000000006</v>
      </c>
      <c r="GU50" s="12">
        <f>IF('Données projet'!$A$270&gt;35,GU49+GT50-HC49,IF(A50&lt;'Données projet'!$A$270,$GR$205^A50,IF(A50='Données projet'!$A$270,'Données projet'!$B$270,GU49+GT50-HC49)))</f>
        <v>518.57500000000016</v>
      </c>
      <c r="GV50" s="17">
        <f>GU50*VLOOKUP('Données projet'!$B$18,Paramètres!$A$1:$I$89,3,0)*VLOOKUP('Données projet'!$B$18,Paramètres!$A$1:$I$89,5,0)</f>
        <v>310.1078500000001</v>
      </c>
      <c r="GW50" s="13">
        <f t="shared" si="51"/>
        <v>73.291353088335526</v>
      </c>
      <c r="GX50" s="20">
        <f t="shared" si="28"/>
        <v>667.75361204551791</v>
      </c>
      <c r="GY50" s="59">
        <f t="shared" si="29"/>
        <v>926.05022232070132</v>
      </c>
      <c r="GZ50" s="59">
        <f ca="1">AVERAGE(OFFSET($GY$3,0,0,'Données projet'!$E$18+1,1))-AVERAGE(OFFSET($H$3,0,0,'Données projet'!$E$18+1,1))</f>
        <v>-15.950000000000017</v>
      </c>
      <c r="HA50" s="59">
        <f t="shared" si="52"/>
        <v>-15.950000000000017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19.643686217156596</v>
      </c>
      <c r="HH50" s="21">
        <f>EXP(-LN(2)/25)*HH49+(1-EXP(-LN(2)/25))/(LN(2)/25)*Calculateur!HC50*Calculateur!HE50*VLOOKUP('Données projet'!$B$18,Paramètres!$A$1:$I$89,3,0)*0.475*44/12</f>
        <v>49.96803972612387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69.611725943280462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4.3499999999999996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15.949999999999998</v>
      </c>
      <c r="H51" s="67">
        <f t="shared" si="1"/>
        <v>192.86666666666667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13.587499999999999</v>
      </c>
      <c r="N51" s="13">
        <f>IF('Données projet'!$A$36&gt;35,N50+M51-V50,IF(A51&lt;'Données projet'!$A$36,$K$205^A51,IF(A51='Données projet'!$A$36,'Données projet'!$B$36,N50+M51-V50)))</f>
        <v>270.52500000000009</v>
      </c>
      <c r="O51" s="13">
        <f>N51*VLOOKUP('Données projet'!$B$9,Paramètres!$A$1:$I$89,3,0)*VLOOKUP('Données projet'!$B$9,Paramètres!$A$1:$I$89,5,0)</f>
        <v>236.3306400000001</v>
      </c>
      <c r="P51" s="13">
        <f t="shared" si="33"/>
        <v>57.649343278258847</v>
      </c>
      <c r="Q51" s="20">
        <f t="shared" si="53"/>
        <v>512.01513754296764</v>
      </c>
      <c r="R51" s="59">
        <f t="shared" si="0"/>
        <v>770.91955663283193</v>
      </c>
      <c r="S51" s="59">
        <f ca="1">AVERAGE(OFFSET($R$3,0,0,'Données projet'!$E$9+1,1))-AVERAGE(OFFSET($H$3,0,0,'Données projet'!$E$9+1,1))</f>
        <v>433.46721010558042</v>
      </c>
      <c r="T51" s="59">
        <f t="shared" si="34"/>
        <v>306.18862295347509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14.804721423363942</v>
      </c>
      <c r="AA51" s="21">
        <f>EXP(-LN(2)/25)*AA50+(1-EXP(-LN(2)/25))/(LN(2)/25)*Calculateur!V51*Calculateur!X51*VLOOKUP('Données projet'!$B$9,Paramètres!$A$1:$I$89,3,0)*0.475*44/12</f>
        <v>9.4919374449287712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24.296658868292713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538.1</v>
      </c>
      <c r="AG51" s="12">
        <f>VLOOKUP(A51,'Données projet'!$A$61:$I$81,9,0)</f>
        <v>19.525000000000006</v>
      </c>
      <c r="AH51" s="12">
        <f t="array" ref="AH51">INDEX(AG:AG,MIN(IF(ISNUMBER(AG51:AG247),ROW(AG51:AG247),"")))</f>
        <v>19.525000000000006</v>
      </c>
      <c r="AI51" s="13">
        <f>IF('Données projet'!$A$62&gt;35,AI50+AH51-AQ50,IF(A51&lt;'Données projet'!$A$62,$AF$205^A51,IF(A51='Données projet'!$A$62,'Données projet'!$B$62,AI50+AH51-AQ50)))</f>
        <v>538.10000000000014</v>
      </c>
      <c r="AJ51" s="13">
        <f>AI51*VLOOKUP('Données projet'!$B$10,Paramètres!$A$1:$I$89,3,0)*VLOOKUP('Données projet'!$B$10,Paramètres!$A$1:$I$89,5,0)</f>
        <v>321.7838000000001</v>
      </c>
      <c r="AK51" s="13">
        <f t="shared" si="35"/>
        <v>75.724387779796416</v>
      </c>
      <c r="AL51" s="20">
        <f t="shared" si="4"/>
        <v>692.32676038314548</v>
      </c>
      <c r="AM51" s="59">
        <f t="shared" si="5"/>
        <v>951.23117947300966</v>
      </c>
      <c r="AN51" s="59">
        <f ca="1">AVERAGE(OFFSET($AM$3,0,0,'Données projet'!$E$10+1,1))-AVERAGE(OFFSET($H$3,0,0,'Données projet'!$E$10+1,1))</f>
        <v>400.1942260113168</v>
      </c>
      <c r="AO51" s="59">
        <f t="shared" si="36"/>
        <v>497.04866930593926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106.15</v>
      </c>
      <c r="AR51" s="16">
        <f>IF(ISNA(VLOOKUP(A51,'Données projet'!$A$61:$I$81,5,0)),0%,VLOOKUP(A51,'Données projet'!$A$61:$I$81,5,0)*VLOOKUP('Données projet'!$B$10,Paramètres!$A$1:$I$89,7,0))</f>
        <v>0.13500000000000001</v>
      </c>
      <c r="AS51" s="16">
        <f>IF(ISNA(VLOOKUP(A51,'Données projet'!$A$61:$I$81,6,0)),0%,VLOOKUP(A51,'Données projet'!$A$61:$I$81,6,0)*VLOOKUP('Données projet'!$B$10,Paramètres!$A$1:$I$89,7,0))</f>
        <v>0.22500000000000001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30.626465683866037</v>
      </c>
      <c r="AV51" s="21">
        <f>EXP(-LN(2)/25)*AV50+(1-EXP(-LN(2)/25))/(LN(2)/25)*Calculateur!AQ51*Calculateur!AS51*VLOOKUP('Données projet'!$B$10,Paramètres!$A$1:$I$89,3,0)*0.475*44/12</f>
        <v>67.473694556250194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98.100160240116224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284.78505691662588</v>
      </c>
      <c r="BJ51" s="59">
        <f t="shared" si="38"/>
        <v>664.42623058686308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380.64318988568527</v>
      </c>
      <c r="CE51" s="59">
        <f t="shared" si="40"/>
        <v>885.24651320439159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111.48703237821081</v>
      </c>
      <c r="CL51" s="21">
        <f>EXP(-LN(2)/25)*CL50+(1-EXP(-LN(2)/25))/(LN(2)/25)*Calculateur!CG51*Calculateur!CI51*VLOOKUP('Données projet'!$B$12,Paramètres!$A$1:$I$89,3,0)*0.475*44/12</f>
        <v>24.876666711907713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136.36369909011853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21.939999999999998</v>
      </c>
      <c r="CT51" s="12">
        <f>IF('Données projet'!$A$140&gt;35,CT50+CS51-DB50,IF(A51&lt;'Données projet'!$A$140,$CQ$205^A51,IF(A51='Données projet'!$A$140,'Données projet'!$B$140,CT50+CS51-DB50)))</f>
        <v>481.88999999999993</v>
      </c>
      <c r="CU51" s="17">
        <f>CT51*VLOOKUP('Données projet'!$B$13,Paramètres!$A$1:$I$89,3,0)*VLOOKUP('Données projet'!$B$13,Paramètres!$A$1:$I$89,5,0)</f>
        <v>269.37650999999994</v>
      </c>
      <c r="CV51" s="13">
        <f t="shared" si="41"/>
        <v>64.716931175288423</v>
      </c>
      <c r="CW51" s="20">
        <f t="shared" si="13"/>
        <v>581.87941004696052</v>
      </c>
      <c r="CX51" s="59">
        <f t="shared" si="14"/>
        <v>840.78382913682481</v>
      </c>
      <c r="CY51" s="59">
        <f ca="1">AVERAGE(OFFSET($CX$3,0,0,'Données projet'!$E$13+1,1))-AVERAGE(OFFSET($H$3,0,0,'Données projet'!$E$13+1,1))</f>
        <v>404.10467005188889</v>
      </c>
      <c r="CZ51" s="59">
        <f t="shared" si="42"/>
        <v>372.70490129557845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22.459704501694148</v>
      </c>
      <c r="DG51" s="21">
        <f>EXP(-LN(2)/25)*DG50+(1-EXP(-LN(2)/25))/(LN(2)/25)*Calculateur!DB51*Calculateur!DD51*VLOOKUP('Données projet'!$B$13,Paramètres!$A$1:$I$89,3,0)*0.475*44/12</f>
        <v>52.022631901686083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74.482336403380231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3.1761666666666666</v>
      </c>
      <c r="DO51" s="12">
        <f>IF('Données projet'!$A$166&gt;35,DO50+DN51-DW50,IF(A51&lt;'Données projet'!$A$166,$DL$205^A51,IF(A51='Données projet'!$A$166,'Données projet'!$B$166,DO50+DN51-DW50)))</f>
        <v>152.45599999999982</v>
      </c>
      <c r="DP51" s="17">
        <f>DO51*VLOOKUP('Données projet'!$B$14,Paramètres!$A$1:$I$89,3,0)*VLOOKUP('Données projet'!$B$14,Paramètres!$A$1:$I$89,5,0)</f>
        <v>137.94218879999983</v>
      </c>
      <c r="DQ51" s="13">
        <f t="shared" si="43"/>
        <v>35.825184344690818</v>
      </c>
      <c r="DR51" s="20">
        <f t="shared" si="16"/>
        <v>302.6448415603362</v>
      </c>
      <c r="DS51" s="59">
        <f t="shared" si="17"/>
        <v>561.54926065020049</v>
      </c>
      <c r="DT51" s="59">
        <f ca="1">AVERAGE(OFFSET($DS$3,0,0,'Données projet'!$E$14+1,1))-AVERAGE(OFFSET($H$3,0,0,'Données projet'!$E$14+1,1))</f>
        <v>479.53113328461268</v>
      </c>
      <c r="DU51" s="59">
        <f t="shared" si="44"/>
        <v>244.6360664588118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655.04999999999995</v>
      </c>
      <c r="EH51" s="12">
        <f>VLOOKUP(A51,'Données projet'!$A$191:$I$211,9,0)</f>
        <v>27.068333333333328</v>
      </c>
      <c r="EI51" s="12">
        <f t="array" ref="EI51">INDEX(EH:EH,MIN(IF(ISNUMBER(EH51:EH247),ROW(EH51:EH247),"")))</f>
        <v>27.068333333333328</v>
      </c>
      <c r="EJ51" s="12">
        <f>IF('Données projet'!$A$192&gt;35,EJ50+EI51-ER50,IF(A51&lt;'Données projet'!$A$192,$EG$205^A51,IF(A51='Données projet'!$A$192,'Données projet'!$B$192,EJ50+EI51-ER50)))</f>
        <v>655.04999999999995</v>
      </c>
      <c r="EK51" s="17">
        <f>EJ51*VLOOKUP('Données projet'!$B$15,Paramètres!$A$1:$I$89,3,0)*VLOOKUP('Données projet'!$B$15,Paramètres!$A$1:$I$89,5,0)</f>
        <v>289.53210000000001</v>
      </c>
      <c r="EL51" s="13">
        <f t="shared" si="45"/>
        <v>68.977474122894989</v>
      </c>
      <c r="EM51" s="20">
        <f t="shared" si="19"/>
        <v>624.40417493070879</v>
      </c>
      <c r="EN51" s="59">
        <f t="shared" si="20"/>
        <v>883.30859402057308</v>
      </c>
      <c r="EO51" s="59">
        <f ca="1">AVERAGE(OFFSET($EN$3,0,0,'Données projet'!$E$15+1,1))-AVERAGE(OFFSET($H$3,0,0,'Données projet'!$E$15+1,1))</f>
        <v>339.23049610652492</v>
      </c>
      <c r="EP51" s="59">
        <f t="shared" si="46"/>
        <v>448.85057640789785</v>
      </c>
      <c r="EQ51" s="15">
        <f>IF(ISNA(VLOOKUP(A51,'Données projet'!$A$191:$I$211,3,0)),0,VLOOKUP(A51,'Données projet'!$A$191:$I$211,3,0))</f>
        <v>6</v>
      </c>
      <c r="ER51" s="15">
        <f>IF(ISNA(VLOOKUP(A51,'Données projet'!$A$191:$I$211,4,0)),0,VLOOKUP(A51,'Données projet'!$A$191:$I$211,4,0))</f>
        <v>101.34</v>
      </c>
      <c r="ES51" s="16">
        <f>IF(ISNA(VLOOKUP(A51,'Données projet'!$A$191:$I$211,5,0)),0%,VLOOKUP(A51,'Données projet'!$A$191:$I$211,5,0)*VLOOKUP('Données projet'!$B$15,Paramètres!$A$1:$I$89,7,0))</f>
        <v>0.27500000000000002</v>
      </c>
      <c r="ET51" s="16">
        <f>IF(ISNA(VLOOKUP(A51,'Données projet'!$A$191:$I$211,6,0)),0%,VLOOKUP(A51,'Données projet'!$A$191:$I$211,6,0)*VLOOKUP('Données projet'!$B$15,Paramètres!$A$1:$I$89,7,0))</f>
        <v>0.27500000000000002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29.405507028112446</v>
      </c>
      <c r="EW51" s="21">
        <f>EXP(-LN(2)/25)*EW50+(1-EXP(-LN(2)/25))/(LN(2)/25)*Calculateur!ER51*Calculateur!ET51*VLOOKUP('Données projet'!$B$15,Paramètres!$A$1:$I$89,3,0)*0.475*44/12</f>
        <v>83.201309522897944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112.60681655101038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7.6601960784313725</v>
      </c>
      <c r="FE51" s="12">
        <f>IF('Données projet'!$A$218&gt;35,FE50+FD51-FM50,IF(A51&lt;'Données projet'!$A$218,$FB$205^A51,IF(A51='Données projet'!$A$218,'Données projet'!$B$218,FE50+FD51-FM50)))</f>
        <v>367.68941176470616</v>
      </c>
      <c r="FF51" s="17">
        <f>FE51*VLOOKUP('Données projet'!$B$16,Paramètres!$A$1:$I$89,3,0)*VLOOKUP('Données projet'!$B$16,Paramètres!$A$1:$I$89,5,0)</f>
        <v>172.07864470588248</v>
      </c>
      <c r="FG51" s="13">
        <f t="shared" si="47"/>
        <v>43.555241052296047</v>
      </c>
      <c r="FH51" s="20">
        <f t="shared" si="22"/>
        <v>375.56235102882761</v>
      </c>
      <c r="FI51" s="59">
        <f t="shared" si="23"/>
        <v>634.46677011869178</v>
      </c>
      <c r="FJ51" s="59">
        <f ca="1">AVERAGE(OFFSET($FI$3,0,0,'Données projet'!$E$16+1,1))-AVERAGE(OFFSET($H$3,0,0,'Données projet'!$E$16+1,1))</f>
        <v>365.63278362856033</v>
      </c>
      <c r="FK51" s="59">
        <f t="shared" si="48"/>
        <v>290.68267842697452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5.0742105263157899</v>
      </c>
      <c r="FZ51" s="12">
        <f>IF('Données projet'!$A$244&gt;35,FZ50+FY51-GH50,IF(A51&lt;'Données projet'!$A$244,$FW$205^A51,IF(A51='Données projet'!$A$244,'Données projet'!$B$244,FZ50+FY51-GH50)))</f>
        <v>243.56210526315809</v>
      </c>
      <c r="GA51" s="17">
        <f>FZ51*VLOOKUP('Données projet'!$B$17,Paramètres!$A$1:$I$89,3,0)*VLOOKUP('Données projet'!$B$17,Paramètres!$A$1:$I$89,5,0)</f>
        <v>208.97628631578968</v>
      </c>
      <c r="GB51" s="13">
        <f t="shared" si="49"/>
        <v>51.711814917531029</v>
      </c>
      <c r="GC51" s="20">
        <f t="shared" si="25"/>
        <v>454.03177631470021</v>
      </c>
      <c r="GD51" s="59">
        <f t="shared" si="26"/>
        <v>712.93619540456439</v>
      </c>
      <c r="GE51" s="59">
        <f ca="1">AVERAGE(OFFSET($GD$3,0,0,'Données projet'!$E$17+1,1))-AVERAGE(OFFSET($H$3,0,0,'Données projet'!$E$17+1,1))</f>
        <v>460.46300302025099</v>
      </c>
      <c r="GF51" s="59">
        <f t="shared" si="50"/>
        <v>340.22534554615879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60.610296115417519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>
        <f>VLOOKUP(A51,'Données projet'!$A$269:$I$289,2,0)</f>
        <v>538.1</v>
      </c>
      <c r="GS51" s="12">
        <f>VLOOKUP(A51,'Données projet'!$A$269:$I$289,9,0)</f>
        <v>19.525000000000006</v>
      </c>
      <c r="GT51" s="12">
        <f t="array" ref="GT51">INDEX(GS:GS,MIN(IF(ISNUMBER(GS51:GS247),ROW(GS51:GS247),"")))</f>
        <v>19.525000000000006</v>
      </c>
      <c r="GU51" s="12">
        <f>IF('Données projet'!$A$270&gt;35,GU50+GT51-HC50,IF(A51&lt;'Données projet'!$A$270,$GR$205^A51,IF(A51='Données projet'!$A$270,'Données projet'!$B$270,GU50+GT51-HC50)))</f>
        <v>538.10000000000014</v>
      </c>
      <c r="GV51" s="17">
        <f>GU51*VLOOKUP('Données projet'!$B$18,Paramètres!$A$1:$I$89,3,0)*VLOOKUP('Données projet'!$B$18,Paramètres!$A$1:$I$89,5,0)</f>
        <v>321.7838000000001</v>
      </c>
      <c r="GW51" s="13">
        <f t="shared" si="51"/>
        <v>75.724387779796416</v>
      </c>
      <c r="GX51" s="20">
        <f t="shared" si="28"/>
        <v>692.32676038314548</v>
      </c>
      <c r="GY51" s="59">
        <f t="shared" si="29"/>
        <v>951.23117947300966</v>
      </c>
      <c r="GZ51" s="59">
        <f ca="1">AVERAGE(OFFSET($GY$3,0,0,'Données projet'!$E$18+1,1))-AVERAGE(OFFSET($H$3,0,0,'Données projet'!$E$18+1,1))</f>
        <v>-15.950000000000017</v>
      </c>
      <c r="HA51" s="59">
        <f t="shared" si="52"/>
        <v>-15.950000000000017</v>
      </c>
      <c r="HB51" s="15">
        <f>IF(ISNA(VLOOKUP(A51,'Données projet'!$A$269:$I$289,3,0)),0,VLOOKUP(A51,'Données projet'!$A$269:$I$289,3,0))</f>
        <v>6</v>
      </c>
      <c r="HC51" s="15">
        <f>IF(ISNA(VLOOKUP(A51,'Données projet'!$A$269:$I$289,4,0)),0,VLOOKUP(A51,'Données projet'!$A$269:$I$289,4,0))</f>
        <v>106.15</v>
      </c>
      <c r="HD51" s="16">
        <f>IF(ISNA(VLOOKUP(A51,'Données projet'!$A$269:$I$289,5,0)),0%,VLOOKUP(A51,'Données projet'!$A$269:$I$289,5,0)*VLOOKUP('Données projet'!$B$18,Paramètres!$A$1:$I$89,7,0))</f>
        <v>0.13500000000000001</v>
      </c>
      <c r="HE51" s="16">
        <f>IF(ISNA(VLOOKUP(A51,'Données projet'!$A$269:$I$289,6,0)),0%,VLOOKUP(A51,'Données projet'!$A$269:$I$289,6,0)*VLOOKUP('Données projet'!$B$18,Paramètres!$A$1:$I$89,7,0))</f>
        <v>0.22500000000000001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30.626465683866037</v>
      </c>
      <c r="HH51" s="21">
        <f>EXP(-LN(2)/25)*HH50+(1-EXP(-LN(2)/25))/(LN(2)/25)*Calculateur!HC51*Calculateur!HE51*VLOOKUP('Données projet'!$B$18,Paramètres!$A$1:$I$89,3,0)*0.475*44/12</f>
        <v>67.473694556250194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98.100160240116224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4.3499999999999996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15.949999999999998</v>
      </c>
      <c r="H52" s="67">
        <f t="shared" si="1"/>
        <v>192.86666666666667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13.587499999999999</v>
      </c>
      <c r="N52" s="13">
        <f>IF('Données projet'!$A$36&gt;35,N51+M52-V51,IF(A52&lt;'Données projet'!$A$36,$K$205^A52,IF(A52='Données projet'!$A$36,'Données projet'!$B$36,N51+M52-V51)))</f>
        <v>284.11250000000007</v>
      </c>
      <c r="O52" s="13">
        <f>N52*VLOOKUP('Données projet'!$B$9,Paramètres!$A$1:$I$89,3,0)*VLOOKUP('Données projet'!$B$9,Paramètres!$A$1:$I$89,5,0)</f>
        <v>248.20068000000012</v>
      </c>
      <c r="P52" s="13">
        <f t="shared" si="33"/>
        <v>60.200481727374978</v>
      </c>
      <c r="Q52" s="20">
        <f t="shared" si="53"/>
        <v>537.13202334184496</v>
      </c>
      <c r="R52" s="59">
        <f t="shared" si="0"/>
        <v>796.63370712231222</v>
      </c>
      <c r="S52" s="59">
        <f ca="1">AVERAGE(OFFSET($R$3,0,0,'Données projet'!$E$9+1,1))-AVERAGE(OFFSET($H$3,0,0,'Données projet'!$E$9+1,1))</f>
        <v>433.46721010558042</v>
      </c>
      <c r="T52" s="59">
        <f t="shared" si="34"/>
        <v>306.18862295347509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14.514409866240205</v>
      </c>
      <c r="AA52" s="21">
        <f>EXP(-LN(2)/25)*AA51+(1-EXP(-LN(2)/25))/(LN(2)/25)*Calculateur!V52*Calculateur!X52*VLOOKUP('Données projet'!$B$9,Paramètres!$A$1:$I$89,3,0)*0.475*44/12</f>
        <v>9.2323799163378979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23.746789782578105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16.348749999999995</v>
      </c>
      <c r="AI52" s="13">
        <f>IF('Données projet'!$A$62&gt;35,AI51+AH52-AQ51,IF(A52&lt;'Données projet'!$A$62,$AF$205^A52,IF(A52='Données projet'!$A$62,'Données projet'!$B$62,AI51+AH52-AQ51)))</f>
        <v>448.29875000000015</v>
      </c>
      <c r="AJ52" s="13">
        <f>AI52*VLOOKUP('Données projet'!$B$10,Paramètres!$A$1:$I$89,3,0)*VLOOKUP('Données projet'!$B$10,Paramètres!$A$1:$I$89,5,0)</f>
        <v>268.08265250000011</v>
      </c>
      <c r="AK52" s="13">
        <f t="shared" si="35"/>
        <v>64.442191138001959</v>
      </c>
      <c r="AL52" s="20">
        <f t="shared" si="4"/>
        <v>579.14743600285351</v>
      </c>
      <c r="AM52" s="59">
        <f t="shared" si="5"/>
        <v>838.64911978332088</v>
      </c>
      <c r="AN52" s="59">
        <f ca="1">AVERAGE(OFFSET($AM$3,0,0,'Données projet'!$E$10+1,1))-AVERAGE(OFFSET($H$3,0,0,'Données projet'!$E$10+1,1))</f>
        <v>400.1942260113168</v>
      </c>
      <c r="AO52" s="59">
        <f t="shared" si="36"/>
        <v>497.04866930593926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30.025899372104966</v>
      </c>
      <c r="AV52" s="21">
        <f>EXP(-LN(2)/25)*AV51+(1-EXP(-LN(2)/25))/(LN(2)/25)*Calculateur!AQ52*Calculateur!AS52*VLOOKUP('Données projet'!$B$10,Paramètres!$A$1:$I$89,3,0)*0.475*44/12</f>
        <v>65.628622830322143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95.654522202427103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284.78505691662588</v>
      </c>
      <c r="BJ52" s="59">
        <f t="shared" si="38"/>
        <v>664.42623058686308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380.64318988568527</v>
      </c>
      <c r="CE52" s="59">
        <f t="shared" si="40"/>
        <v>885.24651320439159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109.30083967364936</v>
      </c>
      <c r="CL52" s="21">
        <f>EXP(-LN(2)/25)*CL51+(1-EXP(-LN(2)/25))/(LN(2)/25)*Calculateur!CG52*Calculateur!CI52*VLOOKUP('Données projet'!$B$12,Paramètres!$A$1:$I$89,3,0)*0.475*44/12</f>
        <v>24.19641295246355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133.49725262611292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>
        <f>VLOOKUP(A52,'Données projet'!$A$139:$I$159,2,0)</f>
        <v>503.83</v>
      </c>
      <c r="CR52" s="12">
        <f>VLOOKUP(A52,'Données projet'!$A$139:$I$159,9,0)</f>
        <v>21.939999999999998</v>
      </c>
      <c r="CS52" s="12">
        <f t="array" ref="CS52">INDEX(CR:CR,MIN(IF(ISNUMBER(CR52:CR248),ROW(CR52:CR248),"")))</f>
        <v>21.939999999999998</v>
      </c>
      <c r="CT52" s="12">
        <f>IF('Données projet'!$A$140&gt;35,CT51+CS52-DB51,IF(A52&lt;'Données projet'!$A$140,$CQ$205^A52,IF(A52='Données projet'!$A$140,'Données projet'!$B$140,CT51+CS52-DB51)))</f>
        <v>503.82999999999993</v>
      </c>
      <c r="CU52" s="17">
        <f>CT52*VLOOKUP('Données projet'!$B$13,Paramètres!$A$1:$I$89,3,0)*VLOOKUP('Données projet'!$B$13,Paramètres!$A$1:$I$89,5,0)</f>
        <v>281.64096999999998</v>
      </c>
      <c r="CV52" s="13">
        <f t="shared" si="41"/>
        <v>67.313674987907362</v>
      </c>
      <c r="CW52" s="20">
        <f t="shared" si="13"/>
        <v>607.76267335393857</v>
      </c>
      <c r="CX52" s="59">
        <f t="shared" si="14"/>
        <v>867.26435713440583</v>
      </c>
      <c r="CY52" s="59">
        <f ca="1">AVERAGE(OFFSET($CX$3,0,0,'Données projet'!$E$13+1,1))-AVERAGE(OFFSET($H$3,0,0,'Données projet'!$E$13+1,1))</f>
        <v>404.10467005188889</v>
      </c>
      <c r="CZ52" s="59">
        <f t="shared" si="42"/>
        <v>372.70490129557845</v>
      </c>
      <c r="DA52" s="15">
        <f>IF(ISNA(VLOOKUP(A52,'Données projet'!$A$139:$I$159,3,0)),0,VLOOKUP(A52,'Données projet'!$A$139:$I$159,3,0))</f>
        <v>5</v>
      </c>
      <c r="DB52" s="15">
        <f>IF(ISNA(VLOOKUP(A52,'Données projet'!$A$139:$I$159,4,0)),0,VLOOKUP(A52,'Données projet'!$A$139:$I$159,4,0))</f>
        <v>112.61</v>
      </c>
      <c r="DC52" s="16">
        <f>IF(ISNA(VLOOKUP(A52,'Données projet'!$A$139:$I$159,5,0)),0%,VLOOKUP(A52,'Données projet'!$A$139:$I$159,5,0)*VLOOKUP('Données projet'!$B$13,Paramètres!$A$1:$I$89,7,0))</f>
        <v>0.16500000000000001</v>
      </c>
      <c r="DD52" s="16">
        <f>IF(ISNA(VLOOKUP(A52,'Données projet'!$A$139:$I$159,6,0)),0%,VLOOKUP(A52,'Données projet'!$A$139:$I$159,6,0)*VLOOKUP('Données projet'!$B$13,Paramètres!$A$1:$I$89,7,0))</f>
        <v>0.27500000000000002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35.797755681053147</v>
      </c>
      <c r="DG52" s="21">
        <f>EXP(-LN(2)/25)*DG51+(1-EXP(-LN(2)/25))/(LN(2)/25)*Calculateur!DB52*Calculateur!DD52*VLOOKUP('Données projet'!$B$13,Paramètres!$A$1:$I$89,3,0)*0.475*44/12</f>
        <v>73.47377228020369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109.27152796125684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3.1761666666666666</v>
      </c>
      <c r="DO52" s="12">
        <f>IF('Données projet'!$A$166&gt;35,DO51+DN52-DW51,IF(A52&lt;'Données projet'!$A$166,$DL$205^A52,IF(A52='Données projet'!$A$166,'Données projet'!$B$166,DO51+DN52-DW51)))</f>
        <v>155.63216666666648</v>
      </c>
      <c r="DP52" s="17">
        <f>DO52*VLOOKUP('Données projet'!$B$14,Paramètres!$A$1:$I$89,3,0)*VLOOKUP('Données projet'!$B$14,Paramètres!$A$1:$I$89,5,0)</f>
        <v>140.81598439999982</v>
      </c>
      <c r="DQ52" s="13">
        <f t="shared" si="43"/>
        <v>36.483872789820673</v>
      </c>
      <c r="DR52" s="20">
        <f t="shared" si="16"/>
        <v>308.79725127227067</v>
      </c>
      <c r="DS52" s="59">
        <f t="shared" si="17"/>
        <v>568.29893505273799</v>
      </c>
      <c r="DT52" s="59">
        <f ca="1">AVERAGE(OFFSET($DS$3,0,0,'Données projet'!$E$14+1,1))-AVERAGE(OFFSET($H$3,0,0,'Données projet'!$E$14+1,1))</f>
        <v>479.53113328461268</v>
      </c>
      <c r="DU52" s="59">
        <f t="shared" si="44"/>
        <v>244.6360664588118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25.673333333333346</v>
      </c>
      <c r="EJ52" s="12">
        <f>IF('Données projet'!$A$192&gt;35,EJ51+EI52-ER51,IF(A52&lt;'Données projet'!$A$192,$EG$205^A52,IF(A52='Données projet'!$A$192,'Données projet'!$B$192,EJ51+EI52-ER51)))</f>
        <v>579.38333333333333</v>
      </c>
      <c r="EK52" s="17">
        <f>EJ52*VLOOKUP('Données projet'!$B$15,Paramètres!$A$1:$I$89,3,0)*VLOOKUP('Données projet'!$B$15,Paramètres!$A$1:$I$89,5,0)</f>
        <v>256.08743333333337</v>
      </c>
      <c r="EL52" s="13">
        <f t="shared" si="45"/>
        <v>61.887642300951732</v>
      </c>
      <c r="EM52" s="20">
        <f t="shared" si="19"/>
        <v>553.80659006304643</v>
      </c>
      <c r="EN52" s="59">
        <f t="shared" si="20"/>
        <v>813.30827384351369</v>
      </c>
      <c r="EO52" s="59">
        <f ca="1">AVERAGE(OFFSET($EN$3,0,0,'Données projet'!$E$15+1,1))-AVERAGE(OFFSET($H$3,0,0,'Données projet'!$E$15+1,1))</f>
        <v>339.23049610652492</v>
      </c>
      <c r="EP52" s="59">
        <f t="shared" si="46"/>
        <v>448.85057640789785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28.828882970879455</v>
      </c>
      <c r="EW52" s="21">
        <f>EXP(-LN(2)/25)*EW51+(1-EXP(-LN(2)/25))/(LN(2)/25)*Calculateur!ER52*Calculateur!ET52*VLOOKUP('Données projet'!$B$15,Paramètres!$A$1:$I$89,3,0)*0.475*44/12</f>
        <v>80.926165338627584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109.75504830950703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7.6601960784313725</v>
      </c>
      <c r="FE52" s="12">
        <f>IF('Données projet'!$A$218&gt;35,FE51+FD52-FM51,IF(A52&lt;'Données projet'!$A$218,$FB$205^A52,IF(A52='Données projet'!$A$218,'Données projet'!$B$218,FE51+FD52-FM51)))</f>
        <v>375.34960784313756</v>
      </c>
      <c r="FF52" s="17">
        <f>FE52*VLOOKUP('Données projet'!$B$16,Paramètres!$A$1:$I$89,3,0)*VLOOKUP('Données projet'!$B$16,Paramètres!$A$1:$I$89,5,0)</f>
        <v>175.66361647058838</v>
      </c>
      <c r="FG52" s="13">
        <f t="shared" si="47"/>
        <v>44.356055745389057</v>
      </c>
      <c r="FH52" s="20">
        <f t="shared" si="22"/>
        <v>383.20092910949398</v>
      </c>
      <c r="FI52" s="59">
        <f t="shared" si="23"/>
        <v>642.7026128899613</v>
      </c>
      <c r="FJ52" s="59">
        <f ca="1">AVERAGE(OFFSET($FI$3,0,0,'Données projet'!$E$16+1,1))-AVERAGE(OFFSET($H$3,0,0,'Données projet'!$E$16+1,1))</f>
        <v>365.63278362856033</v>
      </c>
      <c r="FK52" s="59">
        <f t="shared" si="48"/>
        <v>290.68267842697452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5.0742105263157899</v>
      </c>
      <c r="FZ52" s="12">
        <f>IF('Données projet'!$A$244&gt;35,FZ51+FY52-GH51,IF(A52&lt;'Données projet'!$A$244,$FW$205^A52,IF(A52='Données projet'!$A$244,'Données projet'!$B$244,FZ51+FY52-GH51)))</f>
        <v>248.63631578947388</v>
      </c>
      <c r="GA52" s="17">
        <f>FZ52*VLOOKUP('Données projet'!$B$17,Paramètres!$A$1:$I$89,3,0)*VLOOKUP('Données projet'!$B$17,Paramètres!$A$1:$I$89,5,0)</f>
        <v>213.32995894736862</v>
      </c>
      <c r="GB52" s="13">
        <f t="shared" si="49"/>
        <v>52.662597881692406</v>
      </c>
      <c r="GC52" s="20">
        <f t="shared" si="25"/>
        <v>463.27036981061457</v>
      </c>
      <c r="GD52" s="59">
        <f t="shared" si="26"/>
        <v>722.77205359108189</v>
      </c>
      <c r="GE52" s="59">
        <f ca="1">AVERAGE(OFFSET($GD$3,0,0,'Données projet'!$E$17+1,1))-AVERAGE(OFFSET($H$3,0,0,'Données projet'!$E$17+1,1))</f>
        <v>460.46300302025099</v>
      </c>
      <c r="GF52" s="59">
        <f t="shared" si="50"/>
        <v>340.22534554615879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60.773186485582002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16.348749999999995</v>
      </c>
      <c r="GU52" s="12">
        <f>IF('Données projet'!$A$270&gt;35,GU51+GT52-HC51,IF(A52&lt;'Données projet'!$A$270,$GR$205^A52,IF(A52='Données projet'!$A$270,'Données projet'!$B$270,GU51+GT52-HC51)))</f>
        <v>448.29875000000015</v>
      </c>
      <c r="GV52" s="17">
        <f>GU52*VLOOKUP('Données projet'!$B$18,Paramètres!$A$1:$I$89,3,0)*VLOOKUP('Données projet'!$B$18,Paramètres!$A$1:$I$89,5,0)</f>
        <v>268.08265250000011</v>
      </c>
      <c r="GW52" s="13">
        <f t="shared" si="51"/>
        <v>64.442191138001959</v>
      </c>
      <c r="GX52" s="20">
        <f t="shared" si="28"/>
        <v>579.14743600285351</v>
      </c>
      <c r="GY52" s="59">
        <f t="shared" si="29"/>
        <v>838.64911978332088</v>
      </c>
      <c r="GZ52" s="59">
        <f ca="1">AVERAGE(OFFSET($GY$3,0,0,'Données projet'!$E$18+1,1))-AVERAGE(OFFSET($H$3,0,0,'Données projet'!$E$18+1,1))</f>
        <v>-15.950000000000017</v>
      </c>
      <c r="HA52" s="59">
        <f t="shared" si="52"/>
        <v>-15.950000000000017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30.025899372104966</v>
      </c>
      <c r="HH52" s="21">
        <f>EXP(-LN(2)/25)*HH51+(1-EXP(-LN(2)/25))/(LN(2)/25)*Calculateur!HC52*Calculateur!HE52*VLOOKUP('Données projet'!$B$18,Paramètres!$A$1:$I$89,3,0)*0.475*44/12</f>
        <v>65.628622830322143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95.654522202427103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4.3499999999999996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15.949999999999998</v>
      </c>
      <c r="H53" s="67">
        <f t="shared" si="1"/>
        <v>192.86666666666667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297.7</v>
      </c>
      <c r="L53" s="12">
        <f>VLOOKUP(A53,'Données projet'!$A$35:$I$55,9,0)</f>
        <v>13.587499999999999</v>
      </c>
      <c r="M53" s="12">
        <f t="array" ref="M53">INDEX(L:L,MIN(IF(ISNUMBER(L53:L249),ROW(L53:L249),"")))</f>
        <v>13.587499999999999</v>
      </c>
      <c r="N53" s="13">
        <f>IF('Données projet'!$A$36&gt;35,N52+M53-V52,IF(A53&lt;'Données projet'!$A$36,$K$205^A53,IF(A53='Données projet'!$A$36,'Données projet'!$B$36,N52+M53-V52)))</f>
        <v>297.70000000000005</v>
      </c>
      <c r="O53" s="13">
        <f>N53*VLOOKUP('Données projet'!$B$9,Paramètres!$A$1:$I$89,3,0)*VLOOKUP('Données projet'!$B$9,Paramètres!$A$1:$I$89,5,0)</f>
        <v>260.07072000000011</v>
      </c>
      <c r="P53" s="13">
        <f t="shared" si="33"/>
        <v>62.737452363689243</v>
      </c>
      <c r="Q53" s="20">
        <f t="shared" si="53"/>
        <v>562.22423353342549</v>
      </c>
      <c r="R53" s="59">
        <f t="shared" si="0"/>
        <v>822.31282079739776</v>
      </c>
      <c r="S53" s="59">
        <f ca="1">AVERAGE(OFFSET($R$3,0,0,'Données projet'!$E$9+1,1))-AVERAGE(OFFSET($H$3,0,0,'Données projet'!$E$9+1,1))</f>
        <v>433.46721010558042</v>
      </c>
      <c r="T53" s="59">
        <f t="shared" si="34"/>
        <v>306.18862295347509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79.7</v>
      </c>
      <c r="W53" s="16">
        <f>IF(ISNA(VLOOKUP(A53,'Données projet'!$A$35:$I$55,5,0)),0%,VLOOKUP(A53,'Données projet'!$A$35:$I$55,5,0)*VLOOKUP('Données projet'!$B$9,Paramètres!$A$1:$I$89,7,0))</f>
        <v>0.25800000000000001</v>
      </c>
      <c r="X53" s="16">
        <f>IF(ISNA(VLOOKUP(A53,'Données projet'!$A$35:$I$55,6,0)),0%,VLOOKUP(A53,'Données projet'!$A$35:$I$55,6,0)*VLOOKUP('Données projet'!$B$9,Paramètres!$A$1:$I$89,7,0))</f>
        <v>0.129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34.08789433127366</v>
      </c>
      <c r="AA53" s="21">
        <f>EXP(-LN(2)/25)*AA52+(1-EXP(-LN(2)/25))/(LN(2)/25)*Calculateur!V53*Calculateur!X53*VLOOKUP('Données projet'!$B$9,Paramètres!$A$1:$I$89,3,0)*0.475*44/12</f>
        <v>18.869877137419181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52.95777146869284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16.348749999999995</v>
      </c>
      <c r="AI53" s="13">
        <f>IF('Données projet'!$A$62&gt;35,AI52+AH53-AQ52,IF(A53&lt;'Données projet'!$A$62,$AF$205^A53,IF(A53='Données projet'!$A$62,'Données projet'!$B$62,AI52+AH53-AQ52)))</f>
        <v>464.64750000000015</v>
      </c>
      <c r="AJ53" s="13">
        <f>AI53*VLOOKUP('Données projet'!$B$10,Paramètres!$A$1:$I$89,3,0)*VLOOKUP('Données projet'!$B$10,Paramètres!$A$1:$I$89,5,0)</f>
        <v>277.85920500000009</v>
      </c>
      <c r="AK53" s="13">
        <f t="shared" si="35"/>
        <v>66.514395468056989</v>
      </c>
      <c r="AL53" s="20">
        <f t="shared" si="4"/>
        <v>599.78402081519937</v>
      </c>
      <c r="AM53" s="59">
        <f t="shared" si="5"/>
        <v>859.87260807917164</v>
      </c>
      <c r="AN53" s="59">
        <f ca="1">AVERAGE(OFFSET($AM$3,0,0,'Données projet'!$E$10+1,1))-AVERAGE(OFFSET($H$3,0,0,'Données projet'!$E$10+1,1))</f>
        <v>400.1942260113168</v>
      </c>
      <c r="AO53" s="59">
        <f t="shared" si="36"/>
        <v>497.04866930593926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29.437109799408248</v>
      </c>
      <c r="AV53" s="21">
        <f>EXP(-LN(2)/25)*AV52+(1-EXP(-LN(2)/25))/(LN(2)/25)*Calculateur!AQ53*Calculateur!AS53*VLOOKUP('Données projet'!$B$10,Paramètres!$A$1:$I$89,3,0)*0.475*44/12</f>
        <v>63.83400468776771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93.271114487175964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284.78505691662588</v>
      </c>
      <c r="BJ53" s="59">
        <f t="shared" si="38"/>
        <v>664.42623058686308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380.64318988568527</v>
      </c>
      <c r="CE53" s="59">
        <f t="shared" si="40"/>
        <v>885.24651320439159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107.15751687457849</v>
      </c>
      <c r="CL53" s="21">
        <f>EXP(-LN(2)/25)*CL52+(1-EXP(-LN(2)/25))/(LN(2)/25)*Calculateur!CG53*Calculateur!CI53*VLOOKUP('Données projet'!$B$12,Paramètres!$A$1:$I$89,3,0)*0.475*44/12</f>
        <v>23.534760767844379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130.69227764242288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20.324285714285718</v>
      </c>
      <c r="CT53" s="12">
        <f>IF('Données projet'!$A$140&gt;35,CT52+CS53-DB52,IF(A53&lt;'Données projet'!$A$140,$CQ$205^A53,IF(A53='Données projet'!$A$140,'Données projet'!$B$140,CT52+CS53-DB52)))</f>
        <v>411.54428571428559</v>
      </c>
      <c r="CU53" s="17">
        <f>CT53*VLOOKUP('Données projet'!$B$13,Paramètres!$A$1:$I$89,3,0)*VLOOKUP('Données projet'!$B$13,Paramètres!$A$1:$I$89,5,0)</f>
        <v>230.05325571428565</v>
      </c>
      <c r="CV53" s="13">
        <f t="shared" si="41"/>
        <v>56.294196506523697</v>
      </c>
      <c r="CW53" s="20">
        <f t="shared" si="13"/>
        <v>498.72181261790962</v>
      </c>
      <c r="CX53" s="59">
        <f t="shared" si="14"/>
        <v>758.81039988188195</v>
      </c>
      <c r="CY53" s="59">
        <f ca="1">AVERAGE(OFFSET($CX$3,0,0,'Données projet'!$E$13+1,1))-AVERAGE(OFFSET($H$3,0,0,'Données projet'!$E$13+1,1))</f>
        <v>404.10467005188889</v>
      </c>
      <c r="CZ53" s="59">
        <f t="shared" si="42"/>
        <v>372.70490129557845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35.095783526622682</v>
      </c>
      <c r="DG53" s="21">
        <f>EXP(-LN(2)/25)*DG52+(1-EXP(-LN(2)/25))/(LN(2)/25)*Calculateur!DB53*Calculateur!DD53*VLOOKUP('Données projet'!$B$13,Paramètres!$A$1:$I$89,3,0)*0.475*44/12</f>
        <v>71.464628113383768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106.56041164000645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3.1761666666666666</v>
      </c>
      <c r="DO53" s="12">
        <f>IF('Données projet'!$A$166&gt;35,DO52+DN53-DW52,IF(A53&lt;'Données projet'!$A$166,$DL$205^A53,IF(A53='Données projet'!$A$166,'Données projet'!$B$166,DO52+DN53-DW52)))</f>
        <v>158.80833333333314</v>
      </c>
      <c r="DP53" s="17">
        <f>DO53*VLOOKUP('Données projet'!$B$14,Paramètres!$A$1:$I$89,3,0)*VLOOKUP('Données projet'!$B$14,Paramètres!$A$1:$I$89,5,0)</f>
        <v>143.68977999999981</v>
      </c>
      <c r="DQ53" s="13">
        <f t="shared" si="43"/>
        <v>37.140998256177909</v>
      </c>
      <c r="DR53" s="20">
        <f t="shared" si="16"/>
        <v>314.9469387961762</v>
      </c>
      <c r="DS53" s="59">
        <f t="shared" si="17"/>
        <v>575.03552606014853</v>
      </c>
      <c r="DT53" s="59">
        <f ca="1">AVERAGE(OFFSET($DS$3,0,0,'Données projet'!$E$14+1,1))-AVERAGE(OFFSET($H$3,0,0,'Données projet'!$E$14+1,1))</f>
        <v>479.53113328461268</v>
      </c>
      <c r="DU53" s="59">
        <f t="shared" si="44"/>
        <v>244.6360664588118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25.673333333333346</v>
      </c>
      <c r="EJ53" s="12">
        <f>IF('Données projet'!$A$192&gt;35,EJ52+EI53-ER52,IF(A53&lt;'Données projet'!$A$192,$EG$205^A53,IF(A53='Données projet'!$A$192,'Données projet'!$B$192,EJ52+EI53-ER52)))</f>
        <v>605.05666666666662</v>
      </c>
      <c r="EK53" s="17">
        <f>EJ53*VLOOKUP('Données projet'!$B$15,Paramètres!$A$1:$I$89,3,0)*VLOOKUP('Données projet'!$B$15,Paramètres!$A$1:$I$89,5,0)</f>
        <v>267.43504666666666</v>
      </c>
      <c r="EL53" s="13">
        <f t="shared" si="45"/>
        <v>64.304619421636403</v>
      </c>
      <c r="EM53" s="20">
        <f t="shared" si="19"/>
        <v>577.77991843712778</v>
      </c>
      <c r="EN53" s="59">
        <f t="shared" si="20"/>
        <v>837.86850570110005</v>
      </c>
      <c r="EO53" s="59">
        <f ca="1">AVERAGE(OFFSET($EN$3,0,0,'Données projet'!$E$15+1,1))-AVERAGE(OFFSET($H$3,0,0,'Données projet'!$E$15+1,1))</f>
        <v>339.23049610652492</v>
      </c>
      <c r="EP53" s="59">
        <f t="shared" si="46"/>
        <v>448.85057640789785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28.263566159702858</v>
      </c>
      <c r="EW53" s="21">
        <f>EXP(-LN(2)/25)*EW52+(1-EXP(-LN(2)/25))/(LN(2)/25)*Calculateur!ER53*Calculateur!ET53*VLOOKUP('Données projet'!$B$15,Paramètres!$A$1:$I$89,3,0)*0.475*44/12</f>
        <v>78.713235091720733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106.97680125142359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7.6601960784313725</v>
      </c>
      <c r="FE53" s="12">
        <f>IF('Données projet'!$A$218&gt;35,FE52+FD53-FM52,IF(A53&lt;'Données projet'!$A$218,$FB$205^A53,IF(A53='Données projet'!$A$218,'Données projet'!$B$218,FE52+FD53-FM52)))</f>
        <v>383.00980392156896</v>
      </c>
      <c r="FF53" s="17">
        <f>FE53*VLOOKUP('Données projet'!$B$16,Paramètres!$A$1:$I$89,3,0)*VLOOKUP('Données projet'!$B$16,Paramètres!$A$1:$I$89,5,0)</f>
        <v>179.24858823529425</v>
      </c>
      <c r="FG53" s="13">
        <f t="shared" si="47"/>
        <v>45.154970213306711</v>
      </c>
      <c r="FH53" s="20">
        <f t="shared" si="22"/>
        <v>390.83619763131333</v>
      </c>
      <c r="FI53" s="59">
        <f t="shared" si="23"/>
        <v>650.92478489528571</v>
      </c>
      <c r="FJ53" s="59">
        <f ca="1">AVERAGE(OFFSET($FI$3,0,0,'Données projet'!$E$16+1,1))-AVERAGE(OFFSET($H$3,0,0,'Données projet'!$E$16+1,1))</f>
        <v>365.63278362856033</v>
      </c>
      <c r="FK53" s="59">
        <f t="shared" si="48"/>
        <v>290.68267842697452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5.0742105263157899</v>
      </c>
      <c r="FZ53" s="12">
        <f>IF('Données projet'!$A$244&gt;35,FZ52+FY53-GH52,IF(A53&lt;'Données projet'!$A$244,$FW$205^A53,IF(A53='Données projet'!$A$244,'Données projet'!$B$244,FZ52+FY53-GH52)))</f>
        <v>253.71052631578968</v>
      </c>
      <c r="GA53" s="17">
        <f>FZ53*VLOOKUP('Données projet'!$B$17,Paramètres!$A$1:$I$89,3,0)*VLOOKUP('Données projet'!$B$17,Paramètres!$A$1:$I$89,5,0)</f>
        <v>217.68363157894757</v>
      </c>
      <c r="GB53" s="13">
        <f t="shared" si="49"/>
        <v>53.611124766213408</v>
      </c>
      <c r="GC53" s="20">
        <f t="shared" si="25"/>
        <v>472.50503396782204</v>
      </c>
      <c r="GD53" s="59">
        <f t="shared" si="26"/>
        <v>732.59362123179437</v>
      </c>
      <c r="GE53" s="59">
        <f ca="1">AVERAGE(OFFSET($GD$3,0,0,'Données projet'!$E$17+1,1))-AVERAGE(OFFSET($H$3,0,0,'Données projet'!$E$17+1,1))</f>
        <v>460.46300302025099</v>
      </c>
      <c r="GF53" s="59">
        <f t="shared" si="50"/>
        <v>340.22534554615879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60.933251071992444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16.348749999999995</v>
      </c>
      <c r="GU53" s="12">
        <f>IF('Données projet'!$A$270&gt;35,GU52+GT53-HC52,IF(A53&lt;'Données projet'!$A$270,$GR$205^A53,IF(A53='Données projet'!$A$270,'Données projet'!$B$270,GU52+GT53-HC52)))</f>
        <v>464.64750000000015</v>
      </c>
      <c r="GV53" s="17">
        <f>GU53*VLOOKUP('Données projet'!$B$18,Paramètres!$A$1:$I$89,3,0)*VLOOKUP('Données projet'!$B$18,Paramètres!$A$1:$I$89,5,0)</f>
        <v>277.85920500000009</v>
      </c>
      <c r="GW53" s="13">
        <f t="shared" si="51"/>
        <v>66.514395468056989</v>
      </c>
      <c r="GX53" s="20">
        <f t="shared" si="28"/>
        <v>599.78402081519937</v>
      </c>
      <c r="GY53" s="59">
        <f t="shared" si="29"/>
        <v>859.87260807917164</v>
      </c>
      <c r="GZ53" s="59">
        <f ca="1">AVERAGE(OFFSET($GY$3,0,0,'Données projet'!$E$18+1,1))-AVERAGE(OFFSET($H$3,0,0,'Données projet'!$E$18+1,1))</f>
        <v>-15.950000000000017</v>
      </c>
      <c r="HA53" s="59">
        <f t="shared" si="52"/>
        <v>-15.950000000000017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29.437109799408248</v>
      </c>
      <c r="HH53" s="21">
        <f>EXP(-LN(2)/25)*HH52+(1-EXP(-LN(2)/25))/(LN(2)/25)*Calculateur!HC53*Calculateur!HE53*VLOOKUP('Données projet'!$B$18,Paramètres!$A$1:$I$89,3,0)*0.475*44/12</f>
        <v>63.83400468776771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93.271114487175964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4.3499999999999996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15.949999999999998</v>
      </c>
      <c r="H54" s="67">
        <f t="shared" si="1"/>
        <v>192.86666666666667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12.324999999999998</v>
      </c>
      <c r="N54" s="13">
        <f>IF('Données projet'!$A$36&gt;35,N53+M54-V53,IF(A54&lt;'Données projet'!$A$36,$K$205^A54,IF(A54='Données projet'!$A$36,'Données projet'!$B$36,N53+M54-V53)))</f>
        <v>230.32500000000005</v>
      </c>
      <c r="O54" s="13">
        <f>N54*VLOOKUP('Données projet'!$B$9,Paramètres!$A$1:$I$89,3,0)*VLOOKUP('Données projet'!$B$9,Paramètres!$A$1:$I$89,5,0)</f>
        <v>201.21192000000005</v>
      </c>
      <c r="P54" s="13">
        <f t="shared" si="33"/>
        <v>50.010417340386411</v>
      </c>
      <c r="Q54" s="20">
        <f t="shared" si="53"/>
        <v>437.54557086783967</v>
      </c>
      <c r="R54" s="59">
        <f t="shared" si="0"/>
        <v>698.2108801519978</v>
      </c>
      <c r="S54" s="59">
        <f ca="1">AVERAGE(OFFSET($R$3,0,0,'Données projet'!$E$9+1,1))-AVERAGE(OFFSET($H$3,0,0,'Données projet'!$E$9+1,1))</f>
        <v>433.46721010558042</v>
      </c>
      <c r="T54" s="59">
        <f t="shared" si="34"/>
        <v>306.18862295347509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33.419451514999928</v>
      </c>
      <c r="AA54" s="21">
        <f>EXP(-LN(2)/25)*AA53+(1-EXP(-LN(2)/25))/(LN(2)/25)*Calculateur!V54*Calculateur!X54*VLOOKUP('Données projet'!$B$9,Paramètres!$A$1:$I$89,3,0)*0.475*44/12</f>
        <v>18.353879354772744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51.773330869772671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16.348749999999995</v>
      </c>
      <c r="AI54" s="13">
        <f>IF('Données projet'!$A$62&gt;35,AI53+AH54-AQ53,IF(A54&lt;'Données projet'!$A$62,$AF$205^A54,IF(A54='Données projet'!$A$62,'Données projet'!$B$62,AI53+AH54-AQ53)))</f>
        <v>480.99625000000015</v>
      </c>
      <c r="AJ54" s="13">
        <f>AI54*VLOOKUP('Données projet'!$B$10,Paramètres!$A$1:$I$89,3,0)*VLOOKUP('Données projet'!$B$10,Paramètres!$A$1:$I$89,5,0)</f>
        <v>287.63575750000012</v>
      </c>
      <c r="AK54" s="13">
        <f t="shared" si="35"/>
        <v>68.578128457627443</v>
      </c>
      <c r="AL54" s="20">
        <f t="shared" si="4"/>
        <v>620.40585137620121</v>
      </c>
      <c r="AM54" s="59">
        <f t="shared" si="5"/>
        <v>881.07116066035928</v>
      </c>
      <c r="AN54" s="59">
        <f ca="1">AVERAGE(OFFSET($AM$3,0,0,'Données projet'!$E$10+1,1))-AVERAGE(OFFSET($H$3,0,0,'Données projet'!$E$10+1,1))</f>
        <v>400.1942260113168</v>
      </c>
      <c r="AO54" s="59">
        <f t="shared" si="36"/>
        <v>497.04866930593926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28.859866031105934</v>
      </c>
      <c r="AV54" s="21">
        <f>EXP(-LN(2)/25)*AV53+(1-EXP(-LN(2)/25))/(LN(2)/25)*Calculateur!AQ54*Calculateur!AS54*VLOOKUP('Données projet'!$B$10,Paramètres!$A$1:$I$89,3,0)*0.475*44/12</f>
        <v>62.088460472696291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90.948326503802221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284.78505691662588</v>
      </c>
      <c r="BJ54" s="59">
        <f t="shared" si="38"/>
        <v>664.42623058686308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380.64318988568527</v>
      </c>
      <c r="CE54" s="59">
        <f t="shared" si="40"/>
        <v>885.24651320439159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105.05622332829957</v>
      </c>
      <c r="CL54" s="21">
        <f>EXP(-LN(2)/25)*CL53+(1-EXP(-LN(2)/25))/(LN(2)/25)*Calculateur!CG54*Calculateur!CI54*VLOOKUP('Données projet'!$B$12,Paramètres!$A$1:$I$89,3,0)*0.475*44/12</f>
        <v>22.891201497008396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127.94742482530796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20.324285714285718</v>
      </c>
      <c r="CT54" s="12">
        <f>IF('Données projet'!$A$140&gt;35,CT53+CS54-DB53,IF(A54&lt;'Données projet'!$A$140,$CQ$205^A54,IF(A54='Données projet'!$A$140,'Données projet'!$B$140,CT53+CS54-DB53)))</f>
        <v>431.86857142857133</v>
      </c>
      <c r="CU54" s="17">
        <f>CT54*VLOOKUP('Données projet'!$B$13,Paramètres!$A$1:$I$89,3,0)*VLOOKUP('Données projet'!$B$13,Paramètres!$A$1:$I$89,5,0)</f>
        <v>241.41453142857139</v>
      </c>
      <c r="CV54" s="13">
        <f t="shared" si="41"/>
        <v>58.743769641045859</v>
      </c>
      <c r="CW54" s="20">
        <f t="shared" si="13"/>
        <v>522.77570769625004</v>
      </c>
      <c r="CX54" s="59">
        <f t="shared" si="14"/>
        <v>783.44101698040811</v>
      </c>
      <c r="CY54" s="59">
        <f ca="1">AVERAGE(OFFSET($CX$3,0,0,'Données projet'!$E$13+1,1))-AVERAGE(OFFSET($H$3,0,0,'Données projet'!$E$13+1,1))</f>
        <v>404.10467005188889</v>
      </c>
      <c r="CZ54" s="59">
        <f t="shared" si="42"/>
        <v>372.70490129557845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34.407576617979863</v>
      </c>
      <c r="DG54" s="21">
        <f>EXP(-LN(2)/25)*DG53+(1-EXP(-LN(2)/25))/(LN(2)/25)*Calculateur!DB54*Calculateur!DD54*VLOOKUP('Données projet'!$B$13,Paramètres!$A$1:$I$89,3,0)*0.475*44/12</f>
        <v>69.510424099461829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103.91800071744169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3.1761666666666666</v>
      </c>
      <c r="DO54" s="12">
        <f>IF('Données projet'!$A$166&gt;35,DO53+DN54-DW53,IF(A54&lt;'Données projet'!$A$166,$DL$205^A54,IF(A54='Données projet'!$A$166,'Données projet'!$B$166,DO53+DN54-DW53)))</f>
        <v>161.9844999999998</v>
      </c>
      <c r="DP54" s="17">
        <f>DO54*VLOOKUP('Données projet'!$B$14,Paramètres!$A$1:$I$89,3,0)*VLOOKUP('Données projet'!$B$14,Paramètres!$A$1:$I$89,5,0)</f>
        <v>146.56357559999981</v>
      </c>
      <c r="DQ54" s="13">
        <f t="shared" si="43"/>
        <v>37.796595606053266</v>
      </c>
      <c r="DR54" s="20">
        <f t="shared" si="16"/>
        <v>321.09396485054248</v>
      </c>
      <c r="DS54" s="59">
        <f t="shared" si="17"/>
        <v>581.75927413470049</v>
      </c>
      <c r="DT54" s="59">
        <f ca="1">AVERAGE(OFFSET($DS$3,0,0,'Données projet'!$E$14+1,1))-AVERAGE(OFFSET($H$3,0,0,'Données projet'!$E$14+1,1))</f>
        <v>479.53113328461268</v>
      </c>
      <c r="DU54" s="59">
        <f t="shared" si="44"/>
        <v>244.6360664588118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25.673333333333346</v>
      </c>
      <c r="EJ54" s="12">
        <f>IF('Données projet'!$A$192&gt;35,EJ53+EI54-ER53,IF(A54&lt;'Données projet'!$A$192,$EG$205^A54,IF(A54='Données projet'!$A$192,'Données projet'!$B$192,EJ53+EI54-ER53)))</f>
        <v>630.73</v>
      </c>
      <c r="EK54" s="17">
        <f>EJ54*VLOOKUP('Données projet'!$B$15,Paramètres!$A$1:$I$89,3,0)*VLOOKUP('Données projet'!$B$15,Paramètres!$A$1:$I$89,5,0)</f>
        <v>278.78266000000002</v>
      </c>
      <c r="EL54" s="13">
        <f t="shared" si="45"/>
        <v>66.709684744211927</v>
      </c>
      <c r="EM54" s="20">
        <f t="shared" si="19"/>
        <v>601.73250042950247</v>
      </c>
      <c r="EN54" s="59">
        <f t="shared" si="20"/>
        <v>862.39780971366054</v>
      </c>
      <c r="EO54" s="59">
        <f ca="1">AVERAGE(OFFSET($EN$3,0,0,'Données projet'!$E$15+1,1))-AVERAGE(OFFSET($H$3,0,0,'Données projet'!$E$15+1,1))</f>
        <v>339.23049610652492</v>
      </c>
      <c r="EP54" s="59">
        <f t="shared" si="46"/>
        <v>448.85057640789785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27.709334866384225</v>
      </c>
      <c r="EW54" s="21">
        <f>EXP(-LN(2)/25)*EW53+(1-EXP(-LN(2)/25))/(LN(2)/25)*Calculateur!ER54*Calculateur!ET54*VLOOKUP('Données projet'!$B$15,Paramètres!$A$1:$I$89,3,0)*0.475*44/12</f>
        <v>76.560817538788498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104.27015240517272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>
        <f>VLOOKUP(A54,'Données projet'!$A$217:$I$237,2,0)</f>
        <v>390.67</v>
      </c>
      <c r="FC54" s="12">
        <f>VLOOKUP(A54,'Données projet'!$A$217:$I$237,9,0)</f>
        <v>7.6601960784313725</v>
      </c>
      <c r="FD54" s="12">
        <f t="array" ref="FD54">INDEX(FC:FC,MIN(IF(ISNUMBER(FC54:FC250),ROW(FC54:FC250),"")))</f>
        <v>7.6601960784313725</v>
      </c>
      <c r="FE54" s="12">
        <f>IF('Données projet'!$A$218&gt;35,FE53+FD54-FM53,IF(A54&lt;'Données projet'!$A$218,$FB$205^A54,IF(A54='Données projet'!$A$218,'Données projet'!$B$218,FE53+FD54-FM53)))</f>
        <v>390.67000000000036</v>
      </c>
      <c r="FF54" s="17">
        <f>FE54*VLOOKUP('Données projet'!$B$16,Paramètres!$A$1:$I$89,3,0)*VLOOKUP('Données projet'!$B$16,Paramètres!$A$1:$I$89,5,0)</f>
        <v>182.83356000000015</v>
      </c>
      <c r="FG54" s="13">
        <f t="shared" si="47"/>
        <v>45.95202684063149</v>
      </c>
      <c r="FH54" s="20">
        <f t="shared" si="22"/>
        <v>398.46823041410011</v>
      </c>
      <c r="FI54" s="59">
        <f t="shared" si="23"/>
        <v>659.13353969825812</v>
      </c>
      <c r="FJ54" s="59">
        <f ca="1">AVERAGE(OFFSET($FI$3,0,0,'Données projet'!$E$16+1,1))-AVERAGE(OFFSET($H$3,0,0,'Données projet'!$E$16+1,1))</f>
        <v>365.63278362856033</v>
      </c>
      <c r="FK54" s="59">
        <f t="shared" si="48"/>
        <v>290.68267842697452</v>
      </c>
      <c r="FL54" s="15">
        <f>IF(ISNA(VLOOKUP(A54,'Données projet'!$A$217:$I$237,3,0)),0,VLOOKUP(A54,'Données projet'!$A$217:$I$237,3,0))</f>
        <v>1</v>
      </c>
      <c r="FM54" s="15">
        <f>IF(ISNA(VLOOKUP(A54,'Données projet'!$A$217:$I$237,4,0)),0,VLOOKUP(A54,'Données projet'!$A$217:$I$237,4,0))</f>
        <v>171.3</v>
      </c>
      <c r="FN54" s="16">
        <f>IF(ISNA(VLOOKUP(A54,'Données projet'!$A$217:$I$237,5,0)),0%,VLOOKUP(A54,'Données projet'!$A$217:$I$237,5,0)*VLOOKUP('Données projet'!$B$16,Paramètres!$A$1:$I$89,7,0))</f>
        <v>0.38500000000000001</v>
      </c>
      <c r="FO54" s="16">
        <f>IF(ISNA(VLOOKUP(A54,'Données projet'!$A$217:$I$237,6,0)),0%,VLOOKUP(A54,'Données projet'!$A$217:$I$237,6,0)*VLOOKUP('Données projet'!$B$16,Paramètres!$A$1:$I$89,7,0))</f>
        <v>0.16500000000000001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40.944191707441796</v>
      </c>
      <c r="FR54" s="21">
        <f>EXP(-LN(2)/25)*FR53+(1-EXP(-LN(2)/25))/(LN(2)/25)*Calculateur!FM54*Calculateur!FO54*VLOOKUP('Données projet'!$B$16,Paramètres!$A$1:$I$89,3,0)*0.475*44/12</f>
        <v>17.478419495884058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58.422611203325857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5.0742105263157899</v>
      </c>
      <c r="FZ54" s="12">
        <f>IF('Données projet'!$A$244&gt;35,FZ53+FY54-GH53,IF(A54&lt;'Données projet'!$A$244,$FW$205^A54,IF(A54='Données projet'!$A$244,'Données projet'!$B$244,FZ53+FY54-GH53)))</f>
        <v>258.78473684210547</v>
      </c>
      <c r="GA54" s="17">
        <f>FZ54*VLOOKUP('Données projet'!$B$17,Paramètres!$A$1:$I$89,3,0)*VLOOKUP('Données projet'!$B$17,Paramètres!$A$1:$I$89,5,0)</f>
        <v>222.03730421052651</v>
      </c>
      <c r="GB54" s="13">
        <f t="shared" si="49"/>
        <v>54.557445893021573</v>
      </c>
      <c r="GC54" s="20">
        <f t="shared" si="25"/>
        <v>481.73585643034625</v>
      </c>
      <c r="GD54" s="59">
        <f t="shared" si="26"/>
        <v>742.40116571450426</v>
      </c>
      <c r="GE54" s="59">
        <f ca="1">AVERAGE(OFFSET($GD$3,0,0,'Données projet'!$E$17+1,1))-AVERAGE(OFFSET($H$3,0,0,'Données projet'!$E$17+1,1))</f>
        <v>460.46300302025099</v>
      </c>
      <c r="GF54" s="59">
        <f t="shared" si="50"/>
        <v>340.22534554615879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61.090538895679472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16.348749999999995</v>
      </c>
      <c r="GU54" s="12">
        <f>IF('Données projet'!$A$270&gt;35,GU53+GT54-HC53,IF(A54&lt;'Données projet'!$A$270,$GR$205^A54,IF(A54='Données projet'!$A$270,'Données projet'!$B$270,GU53+GT54-HC53)))</f>
        <v>480.99625000000015</v>
      </c>
      <c r="GV54" s="17">
        <f>GU54*VLOOKUP('Données projet'!$B$18,Paramètres!$A$1:$I$89,3,0)*VLOOKUP('Données projet'!$B$18,Paramètres!$A$1:$I$89,5,0)</f>
        <v>287.63575750000012</v>
      </c>
      <c r="GW54" s="13">
        <f t="shared" si="51"/>
        <v>68.578128457627443</v>
      </c>
      <c r="GX54" s="20">
        <f t="shared" si="28"/>
        <v>620.40585137620121</v>
      </c>
      <c r="GY54" s="59">
        <f t="shared" si="29"/>
        <v>881.07116066035928</v>
      </c>
      <c r="GZ54" s="59">
        <f ca="1">AVERAGE(OFFSET($GY$3,0,0,'Données projet'!$E$18+1,1))-AVERAGE(OFFSET($H$3,0,0,'Données projet'!$E$18+1,1))</f>
        <v>-15.950000000000017</v>
      </c>
      <c r="HA54" s="59">
        <f t="shared" si="52"/>
        <v>-15.950000000000017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28.859866031105934</v>
      </c>
      <c r="HH54" s="21">
        <f>EXP(-LN(2)/25)*HH53+(1-EXP(-LN(2)/25))/(LN(2)/25)*Calculateur!HC54*Calculateur!HE54*VLOOKUP('Données projet'!$B$18,Paramètres!$A$1:$I$89,3,0)*0.475*44/12</f>
        <v>62.088460472696291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90.948326503802221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4.3499999999999996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15.949999999999998</v>
      </c>
      <c r="H55" s="67">
        <f t="shared" si="1"/>
        <v>192.86666666666667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12.324999999999998</v>
      </c>
      <c r="N55" s="13">
        <f>IF('Données projet'!$A$36&gt;35,N54+M55-V54,IF(A55&lt;'Données projet'!$A$36,$K$205^A55,IF(A55='Données projet'!$A$36,'Données projet'!$B$36,N54+M55-V54)))</f>
        <v>242.65000000000003</v>
      </c>
      <c r="O55" s="13">
        <f>N55*VLOOKUP('Données projet'!$B$9,Paramètres!$A$1:$I$89,3,0)*VLOOKUP('Données projet'!$B$9,Paramètres!$A$1:$I$89,5,0)</f>
        <v>211.97904000000008</v>
      </c>
      <c r="P55" s="13">
        <f t="shared" si="33"/>
        <v>52.367819358175034</v>
      </c>
      <c r="Q55" s="20">
        <f t="shared" si="53"/>
        <v>460.40411338215495</v>
      </c>
      <c r="R55" s="59">
        <f t="shared" si="0"/>
        <v>721.6361398488059</v>
      </c>
      <c r="S55" s="59">
        <f ca="1">AVERAGE(OFFSET($R$3,0,0,'Données projet'!$E$9+1,1))-AVERAGE(OFFSET($H$3,0,0,'Données projet'!$E$9+1,1))</f>
        <v>433.46721010558042</v>
      </c>
      <c r="T55" s="59">
        <f t="shared" si="34"/>
        <v>306.18862295347509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32.764116454643464</v>
      </c>
      <c r="AA55" s="21">
        <f>EXP(-LN(2)/25)*AA54+(1-EXP(-LN(2)/25))/(LN(2)/25)*Calculateur!V55*Calculateur!X55*VLOOKUP('Données projet'!$B$9,Paramètres!$A$1:$I$89,3,0)*0.475*44/12</f>
        <v>17.851991558627915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50.616108013271379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16.348749999999995</v>
      </c>
      <c r="AI55" s="13">
        <f>IF('Données projet'!$A$62&gt;35,AI54+AH55-AQ54,IF(A55&lt;'Données projet'!$A$62,$AF$205^A55,IF(A55='Données projet'!$A$62,'Données projet'!$B$62,AI54+AH55-AQ54)))</f>
        <v>497.34500000000014</v>
      </c>
      <c r="AJ55" s="13">
        <f>AI55*VLOOKUP('Données projet'!$B$10,Paramètres!$A$1:$I$89,3,0)*VLOOKUP('Données projet'!$B$10,Paramètres!$A$1:$I$89,5,0)</f>
        <v>297.4123100000001</v>
      </c>
      <c r="AK55" s="13">
        <f t="shared" si="35"/>
        <v>70.633711048255108</v>
      </c>
      <c r="AL55" s="20">
        <f t="shared" si="4"/>
        <v>641.01348665904447</v>
      </c>
      <c r="AM55" s="59">
        <f t="shared" si="5"/>
        <v>902.24551312569542</v>
      </c>
      <c r="AN55" s="59">
        <f ca="1">AVERAGE(OFFSET($AM$3,0,0,'Données projet'!$E$10+1,1))-AVERAGE(OFFSET($H$3,0,0,'Données projet'!$E$10+1,1))</f>
        <v>400.1942260113168</v>
      </c>
      <c r="AO55" s="59">
        <f t="shared" si="36"/>
        <v>497.04866930593926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28.293941661016095</v>
      </c>
      <c r="AV55" s="21">
        <f>EXP(-LN(2)/25)*AV54+(1-EXP(-LN(2)/25))/(LN(2)/25)*Calculateur!AQ55*Calculateur!AS55*VLOOKUP('Données projet'!$B$10,Paramètres!$A$1:$I$89,3,0)*0.475*44/12</f>
        <v>60.390648255980182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88.684589916996273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284.78505691662588</v>
      </c>
      <c r="BJ55" s="59">
        <f t="shared" si="38"/>
        <v>664.42623058686308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380.64318988568527</v>
      </c>
      <c r="CE55" s="59">
        <f t="shared" si="40"/>
        <v>885.24651320439159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102.99613486680067</v>
      </c>
      <c r="CL55" s="21">
        <f>EXP(-LN(2)/25)*CL54+(1-EXP(-LN(2)/25))/(LN(2)/25)*Calculateur!CG55*Calculateur!CI55*VLOOKUP('Données projet'!$B$12,Paramètres!$A$1:$I$89,3,0)*0.475*44/12</f>
        <v>22.265240388276734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125.26137525507741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20.324285714285718</v>
      </c>
      <c r="CT55" s="12">
        <f>IF('Données projet'!$A$140&gt;35,CT54+CS55-DB54,IF(A55&lt;'Données projet'!$A$140,$CQ$205^A55,IF(A55='Données projet'!$A$140,'Données projet'!$B$140,CT54+CS55-DB54)))</f>
        <v>452.19285714285706</v>
      </c>
      <c r="CU55" s="17">
        <f>CT55*VLOOKUP('Données projet'!$B$13,Paramètres!$A$1:$I$89,3,0)*VLOOKUP('Données projet'!$B$13,Paramètres!$A$1:$I$89,5,0)</f>
        <v>252.7758071428571</v>
      </c>
      <c r="CV55" s="13">
        <f t="shared" si="41"/>
        <v>61.179955647848509</v>
      </c>
      <c r="CW55" s="20">
        <f t="shared" si="13"/>
        <v>546.80628686047885</v>
      </c>
      <c r="CX55" s="59">
        <f t="shared" si="14"/>
        <v>808.0383133271298</v>
      </c>
      <c r="CY55" s="59">
        <f ca="1">AVERAGE(OFFSET($CX$3,0,0,'Données projet'!$E$13+1,1))-AVERAGE(OFFSET($H$3,0,0,'Données projet'!$E$13+1,1))</f>
        <v>404.10467005188889</v>
      </c>
      <c r="CZ55" s="59">
        <f t="shared" si="42"/>
        <v>372.70490129557845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33.732865027050764</v>
      </c>
      <c r="DG55" s="21">
        <f>EXP(-LN(2)/25)*DG54+(1-EXP(-LN(2)/25))/(LN(2)/25)*Calculateur!DB55*Calculateur!DD55*VLOOKUP('Données projet'!$B$13,Paramètres!$A$1:$I$89,3,0)*0.475*44/12</f>
        <v>67.609657897067706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101.34252292411847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3.1761666666666666</v>
      </c>
      <c r="DO55" s="12">
        <f>IF('Données projet'!$A$166&gt;35,DO54+DN55-DW54,IF(A55&lt;'Données projet'!$A$166,$DL$205^A55,IF(A55='Données projet'!$A$166,'Données projet'!$B$166,DO54+DN55-DW54)))</f>
        <v>165.16066666666646</v>
      </c>
      <c r="DP55" s="17">
        <f>DO55*VLOOKUP('Données projet'!$B$14,Paramètres!$A$1:$I$89,3,0)*VLOOKUP('Données projet'!$B$14,Paramètres!$A$1:$I$89,5,0)</f>
        <v>149.4373711999998</v>
      </c>
      <c r="DQ55" s="13">
        <f t="shared" si="43"/>
        <v>38.450698256392798</v>
      </c>
      <c r="DR55" s="20">
        <f t="shared" si="16"/>
        <v>327.23838763655039</v>
      </c>
      <c r="DS55" s="59">
        <f t="shared" si="17"/>
        <v>588.47041410320128</v>
      </c>
      <c r="DT55" s="59">
        <f ca="1">AVERAGE(OFFSET($DS$3,0,0,'Données projet'!$E$14+1,1))-AVERAGE(OFFSET($H$3,0,0,'Données projet'!$E$14+1,1))</f>
        <v>479.53113328461268</v>
      </c>
      <c r="DU55" s="59">
        <f t="shared" si="44"/>
        <v>244.6360664588118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25.673333333333346</v>
      </c>
      <c r="EJ55" s="12">
        <f>IF('Données projet'!$A$192&gt;35,EJ54+EI55-ER54,IF(A55&lt;'Données projet'!$A$192,$EG$205^A55,IF(A55='Données projet'!$A$192,'Données projet'!$B$192,EJ54+EI55-ER54)))</f>
        <v>656.40333333333342</v>
      </c>
      <c r="EK55" s="17">
        <f>EJ55*VLOOKUP('Données projet'!$B$15,Paramètres!$A$1:$I$89,3,0)*VLOOKUP('Données projet'!$B$15,Paramètres!$A$1:$I$89,5,0)</f>
        <v>290.13027333333343</v>
      </c>
      <c r="EL55" s="13">
        <f t="shared" si="45"/>
        <v>69.103378589915536</v>
      </c>
      <c r="EM55" s="20">
        <f t="shared" si="19"/>
        <v>625.66527709965862</v>
      </c>
      <c r="EN55" s="59">
        <f t="shared" si="20"/>
        <v>886.89730356630957</v>
      </c>
      <c r="EO55" s="59">
        <f ca="1">AVERAGE(OFFSET($EN$3,0,0,'Données projet'!$E$15+1,1))-AVERAGE(OFFSET($H$3,0,0,'Données projet'!$E$15+1,1))</f>
        <v>339.23049610652492</v>
      </c>
      <c r="EP55" s="59">
        <f t="shared" si="46"/>
        <v>448.85057640789785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27.165971710679862</v>
      </c>
      <c r="EW55" s="21">
        <f>EXP(-LN(2)/25)*EW54+(1-EXP(-LN(2)/25))/(LN(2)/25)*Calculateur!ER55*Calculateur!ET55*VLOOKUP('Données projet'!$B$15,Paramètres!$A$1:$I$89,3,0)*0.475*44/12</f>
        <v>74.467257957031919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101.63322966771179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12.883999999999997</v>
      </c>
      <c r="FE55" s="12">
        <f>IF('Données projet'!$A$218&gt;35,FE54+FD55-FM54,IF(A55&lt;'Données projet'!$A$218,$FB$205^A55,IF(A55='Données projet'!$A$218,'Données projet'!$B$218,FE54+FD55-FM54)))</f>
        <v>232.25400000000036</v>
      </c>
      <c r="FF55" s="17">
        <f>FE55*VLOOKUP('Données projet'!$B$16,Paramètres!$A$1:$I$89,3,0)*VLOOKUP('Données projet'!$B$16,Paramètres!$A$1:$I$89,5,0)</f>
        <v>108.69487200000017</v>
      </c>
      <c r="FG55" s="13">
        <f t="shared" si="47"/>
        <v>29.023272955432798</v>
      </c>
      <c r="FH55" s="20">
        <f t="shared" si="22"/>
        <v>239.85910246404572</v>
      </c>
      <c r="FI55" s="59">
        <f t="shared" si="23"/>
        <v>501.09112893069664</v>
      </c>
      <c r="FJ55" s="59">
        <f ca="1">AVERAGE(OFFSET($FI$3,0,0,'Données projet'!$E$16+1,1))-AVERAGE(OFFSET($H$3,0,0,'Données projet'!$E$16+1,1))</f>
        <v>365.63278362856033</v>
      </c>
      <c r="FK55" s="59">
        <f t="shared" si="48"/>
        <v>290.68267842697452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40.141301081549877</v>
      </c>
      <c r="FR55" s="21">
        <f>EXP(-LN(2)/25)*FR54+(1-EXP(-LN(2)/25))/(LN(2)/25)*Calculateur!FM55*Calculateur!FO55*VLOOKUP('Données projet'!$B$16,Paramètres!$A$1:$I$89,3,0)*0.475*44/12</f>
        <v>17.000471195618974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57.141772277168855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5.0742105263157899</v>
      </c>
      <c r="FZ55" s="12">
        <f>IF('Données projet'!$A$244&gt;35,FZ54+FY55-GH54,IF(A55&lt;'Données projet'!$A$244,$FW$205^A55,IF(A55='Données projet'!$A$244,'Données projet'!$B$244,FZ54+FY55-GH54)))</f>
        <v>263.85894736842124</v>
      </c>
      <c r="GA55" s="17">
        <f>FZ55*VLOOKUP('Données projet'!$B$17,Paramètres!$A$1:$I$89,3,0)*VLOOKUP('Données projet'!$B$17,Paramètres!$A$1:$I$89,5,0)</f>
        <v>226.39097684210546</v>
      </c>
      <c r="GB55" s="13">
        <f t="shared" si="49"/>
        <v>55.501609497763418</v>
      </c>
      <c r="GC55" s="20">
        <f t="shared" si="25"/>
        <v>490.96292120860494</v>
      </c>
      <c r="GD55" s="59">
        <f t="shared" si="26"/>
        <v>752.19494767525589</v>
      </c>
      <c r="GE55" s="59">
        <f ca="1">AVERAGE(OFFSET($GD$3,0,0,'Données projet'!$E$17+1,1))-AVERAGE(OFFSET($H$3,0,0,'Données projet'!$E$17+1,1))</f>
        <v>460.46300302025099</v>
      </c>
      <c r="GF55" s="59">
        <f t="shared" si="50"/>
        <v>340.22534554615879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61.24509812726842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16.348749999999995</v>
      </c>
      <c r="GU55" s="12">
        <f>IF('Données projet'!$A$270&gt;35,GU54+GT55-HC54,IF(A55&lt;'Données projet'!$A$270,$GR$205^A55,IF(A55='Données projet'!$A$270,'Données projet'!$B$270,GU54+GT55-HC54)))</f>
        <v>497.34500000000014</v>
      </c>
      <c r="GV55" s="17">
        <f>GU55*VLOOKUP('Données projet'!$B$18,Paramètres!$A$1:$I$89,3,0)*VLOOKUP('Données projet'!$B$18,Paramètres!$A$1:$I$89,5,0)</f>
        <v>297.4123100000001</v>
      </c>
      <c r="GW55" s="13">
        <f t="shared" si="51"/>
        <v>70.633711048255108</v>
      </c>
      <c r="GX55" s="20">
        <f t="shared" si="28"/>
        <v>641.01348665904447</v>
      </c>
      <c r="GY55" s="59">
        <f t="shared" si="29"/>
        <v>902.24551312569542</v>
      </c>
      <c r="GZ55" s="59">
        <f ca="1">AVERAGE(OFFSET($GY$3,0,0,'Données projet'!$E$18+1,1))-AVERAGE(OFFSET($H$3,0,0,'Données projet'!$E$18+1,1))</f>
        <v>-15.950000000000017</v>
      </c>
      <c r="HA55" s="59">
        <f t="shared" si="52"/>
        <v>-15.950000000000017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28.293941661016095</v>
      </c>
      <c r="HH55" s="21">
        <f>EXP(-LN(2)/25)*HH54+(1-EXP(-LN(2)/25))/(LN(2)/25)*Calculateur!HC55*Calculateur!HE55*VLOOKUP('Données projet'!$B$18,Paramètres!$A$1:$I$89,3,0)*0.475*44/12</f>
        <v>60.390648255980182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88.684589916996273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4.3499999999999996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15.949999999999998</v>
      </c>
      <c r="H56" s="67">
        <f t="shared" si="1"/>
        <v>192.86666666666667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12.324999999999998</v>
      </c>
      <c r="N56" s="13">
        <f>IF('Données projet'!$A$36&gt;35,N55+M56-V55,IF(A56&lt;'Données projet'!$A$36,$K$205^A56,IF(A56='Données projet'!$A$36,'Données projet'!$B$36,N55+M56-V55)))</f>
        <v>254.97500000000002</v>
      </c>
      <c r="O56" s="13">
        <f>N56*VLOOKUP('Données projet'!$B$9,Paramètres!$A$1:$I$89,3,0)*VLOOKUP('Données projet'!$B$9,Paramètres!$A$1:$I$89,5,0)</f>
        <v>222.74616000000006</v>
      </c>
      <c r="P56" s="13">
        <f t="shared" si="33"/>
        <v>54.711318416900006</v>
      </c>
      <c r="Q56" s="20">
        <f t="shared" si="53"/>
        <v>483.23844157610097</v>
      </c>
      <c r="R56" s="59">
        <f t="shared" si="0"/>
        <v>745.02735394911815</v>
      </c>
      <c r="S56" s="59">
        <f ca="1">AVERAGE(OFFSET($R$3,0,0,'Données projet'!$E$9+1,1))-AVERAGE(OFFSET($H$3,0,0,'Données projet'!$E$9+1,1))</f>
        <v>433.46721010558042</v>
      </c>
      <c r="T56" s="59">
        <f t="shared" si="34"/>
        <v>306.18862295347509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32.121632115105676</v>
      </c>
      <c r="AA56" s="21">
        <f>EXP(-LN(2)/25)*AA55+(1-EXP(-LN(2)/25))/(LN(2)/25)*Calculateur!V56*Calculateur!X56*VLOOKUP('Données projet'!$B$9,Paramètres!$A$1:$I$89,3,0)*0.475*44/12</f>
        <v>17.363827910661801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49.48546002576748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16.348749999999995</v>
      </c>
      <c r="AI56" s="13">
        <f>IF('Données projet'!$A$62&gt;35,AI55+AH56-AQ55,IF(A56&lt;'Données projet'!$A$62,$AF$205^A56,IF(A56='Données projet'!$A$62,'Données projet'!$B$62,AI55+AH56-AQ55)))</f>
        <v>513.69375000000014</v>
      </c>
      <c r="AJ56" s="13">
        <f>AI56*VLOOKUP('Données projet'!$B$10,Paramètres!$A$1:$I$89,3,0)*VLOOKUP('Données projet'!$B$10,Paramètres!$A$1:$I$89,5,0)</f>
        <v>307.18886250000008</v>
      </c>
      <c r="AK56" s="13">
        <f t="shared" si="35"/>
        <v>72.681441883905478</v>
      </c>
      <c r="AL56" s="20">
        <f t="shared" si="4"/>
        <v>661.60744680196888</v>
      </c>
      <c r="AM56" s="59">
        <f t="shared" si="5"/>
        <v>923.39635917498617</v>
      </c>
      <c r="AN56" s="59">
        <f ca="1">AVERAGE(OFFSET($AM$3,0,0,'Données projet'!$E$10+1,1))-AVERAGE(OFFSET($H$3,0,0,'Données projet'!$E$10+1,1))</f>
        <v>400.1942260113168</v>
      </c>
      <c r="AO56" s="59">
        <f t="shared" si="36"/>
        <v>497.04866930593926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27.739114722643937</v>
      </c>
      <c r="AV56" s="21">
        <f>EXP(-LN(2)/25)*AV55+(1-EXP(-LN(2)/25))/(LN(2)/25)*Calculateur!AQ56*Calculateur!AS56*VLOOKUP('Données projet'!$B$10,Paramètres!$A$1:$I$89,3,0)*0.475*44/12</f>
        <v>58.739262803614238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86.478377526258171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284.78505691662588</v>
      </c>
      <c r="BJ56" s="59">
        <f t="shared" si="38"/>
        <v>664.42623058686308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380.64318988568527</v>
      </c>
      <c r="CE56" s="59">
        <f t="shared" si="40"/>
        <v>885.24651320439159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100.97644348350188</v>
      </c>
      <c r="CL56" s="21">
        <f>EXP(-LN(2)/25)*CL55+(1-EXP(-LN(2)/25))/(LN(2)/25)*Calculateur!CG56*Calculateur!CI56*VLOOKUP('Données projet'!$B$12,Paramètres!$A$1:$I$89,3,0)*0.475*44/12</f>
        <v>21.656396218981204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122.63283970248308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20.324285714285718</v>
      </c>
      <c r="CT56" s="12">
        <f>IF('Données projet'!$A$140&gt;35,CT55+CS56-DB55,IF(A56&lt;'Données projet'!$A$140,$CQ$205^A56,IF(A56='Données projet'!$A$140,'Données projet'!$B$140,CT55+CS56-DB55)))</f>
        <v>472.5171428571428</v>
      </c>
      <c r="CU56" s="17">
        <f>CT56*VLOOKUP('Données projet'!$B$13,Paramètres!$A$1:$I$89,3,0)*VLOOKUP('Données projet'!$B$13,Paramètres!$A$1:$I$89,5,0)</f>
        <v>264.13708285714284</v>
      </c>
      <c r="CV56" s="13">
        <f t="shared" si="41"/>
        <v>63.60342497029243</v>
      </c>
      <c r="CW56" s="20">
        <f t="shared" si="13"/>
        <v>570.8147177994498</v>
      </c>
      <c r="CX56" s="59">
        <f t="shared" si="14"/>
        <v>832.60363017246709</v>
      </c>
      <c r="CY56" s="59">
        <f ca="1">AVERAGE(OFFSET($CX$3,0,0,'Données projet'!$E$13+1,1))-AVERAGE(OFFSET($H$3,0,0,'Données projet'!$E$13+1,1))</f>
        <v>404.10467005188889</v>
      </c>
      <c r="CZ56" s="59">
        <f t="shared" si="42"/>
        <v>372.70490129557845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33.07138411888635</v>
      </c>
      <c r="DG56" s="21">
        <f>EXP(-LN(2)/25)*DG55+(1-EXP(-LN(2)/25))/(LN(2)/25)*Calculateur!DB56*Calculateur!DD56*VLOOKUP('Données projet'!$B$13,Paramètres!$A$1:$I$89,3,0)*0.475*44/12</f>
        <v>65.76086824643501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98.832252365321352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3.1761666666666666</v>
      </c>
      <c r="DO56" s="12">
        <f>IF('Données projet'!$A$166&gt;35,DO55+DN56-DW55,IF(A56&lt;'Données projet'!$A$166,$DL$205^A56,IF(A56='Données projet'!$A$166,'Données projet'!$B$166,DO55+DN56-DW55)))</f>
        <v>168.33683333333312</v>
      </c>
      <c r="DP56" s="17">
        <f>DO56*VLOOKUP('Données projet'!$B$14,Paramètres!$A$1:$I$89,3,0)*VLOOKUP('Données projet'!$B$14,Paramètres!$A$1:$I$89,5,0)</f>
        <v>152.3111667999998</v>
      </c>
      <c r="DQ56" s="13">
        <f t="shared" si="43"/>
        <v>39.103338265342977</v>
      </c>
      <c r="DR56" s="20">
        <f t="shared" si="16"/>
        <v>333.38026298880533</v>
      </c>
      <c r="DS56" s="59">
        <f t="shared" si="17"/>
        <v>595.16917536182257</v>
      </c>
      <c r="DT56" s="59">
        <f ca="1">AVERAGE(OFFSET($DS$3,0,0,'Données projet'!$E$14+1,1))-AVERAGE(OFFSET($H$3,0,0,'Données projet'!$E$14+1,1))</f>
        <v>479.53113328461268</v>
      </c>
      <c r="DU56" s="59">
        <f t="shared" si="44"/>
        <v>244.6360664588118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25.673333333333346</v>
      </c>
      <c r="EJ56" s="12">
        <f>IF('Données projet'!$A$192&gt;35,EJ55+EI56-ER55,IF(A56&lt;'Données projet'!$A$192,$EG$205^A56,IF(A56='Données projet'!$A$192,'Données projet'!$B$192,EJ55+EI56-ER55)))</f>
        <v>682.07666666666682</v>
      </c>
      <c r="EK56" s="17">
        <f>EJ56*VLOOKUP('Données projet'!$B$15,Paramètres!$A$1:$I$89,3,0)*VLOOKUP('Données projet'!$B$15,Paramètres!$A$1:$I$89,5,0)</f>
        <v>301.47788666666673</v>
      </c>
      <c r="EL56" s="13">
        <f t="shared" si="45"/>
        <v>71.486196620680417</v>
      </c>
      <c r="EM56" s="20">
        <f t="shared" si="19"/>
        <v>649.57911172546289</v>
      </c>
      <c r="EN56" s="59">
        <f t="shared" si="20"/>
        <v>911.36802409848019</v>
      </c>
      <c r="EO56" s="59">
        <f ca="1">AVERAGE(OFFSET($EN$3,0,0,'Données projet'!$E$15+1,1))-AVERAGE(OFFSET($H$3,0,0,'Données projet'!$E$15+1,1))</f>
        <v>339.23049610652492</v>
      </c>
      <c r="EP56" s="59">
        <f t="shared" si="46"/>
        <v>448.85057640789785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26.633263575040061</v>
      </c>
      <c r="EW56" s="21">
        <f>EXP(-LN(2)/25)*EW55+(1-EXP(-LN(2)/25))/(LN(2)/25)*Calculateur!ER56*Calculateur!ET56*VLOOKUP('Données projet'!$B$15,Paramètres!$A$1:$I$89,3,0)*0.475*44/12</f>
        <v>72.430946872133987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99.064210447174048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12.883999999999997</v>
      </c>
      <c r="FE56" s="12">
        <f>IF('Données projet'!$A$218&gt;35,FE55+FD56-FM55,IF(A56&lt;'Données projet'!$A$218,$FB$205^A56,IF(A56='Données projet'!$A$218,'Données projet'!$B$218,FE55+FD56-FM55)))</f>
        <v>245.13800000000035</v>
      </c>
      <c r="FF56" s="17">
        <f>FE56*VLOOKUP('Données projet'!$B$16,Paramètres!$A$1:$I$89,3,0)*VLOOKUP('Données projet'!$B$16,Paramètres!$A$1:$I$89,5,0)</f>
        <v>114.72458400000016</v>
      </c>
      <c r="FG56" s="13">
        <f t="shared" si="47"/>
        <v>30.441394327495473</v>
      </c>
      <c r="FH56" s="20">
        <f t="shared" si="22"/>
        <v>252.83074558705485</v>
      </c>
      <c r="FI56" s="59">
        <f t="shared" si="23"/>
        <v>514.61965796007212</v>
      </c>
      <c r="FJ56" s="59">
        <f ca="1">AVERAGE(OFFSET($FI$3,0,0,'Données projet'!$E$16+1,1))-AVERAGE(OFFSET($H$3,0,0,'Données projet'!$E$16+1,1))</f>
        <v>365.63278362856033</v>
      </c>
      <c r="FK56" s="59">
        <f t="shared" si="48"/>
        <v>290.68267842697452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39.354154651116772</v>
      </c>
      <c r="FR56" s="21">
        <f>EXP(-LN(2)/25)*FR55+(1-EXP(-LN(2)/25))/(LN(2)/25)*Calculateur!FM56*Calculateur!FO56*VLOOKUP('Données projet'!$B$16,Paramètres!$A$1:$I$89,3,0)*0.475*44/12</f>
        <v>16.535592416758849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55.889747067875618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5.0742105263157899</v>
      </c>
      <c r="FZ56" s="12">
        <f>IF('Données projet'!$A$244&gt;35,FZ55+FY56-GH55,IF(A56&lt;'Données projet'!$A$244,$FW$205^A56,IF(A56='Données projet'!$A$244,'Données projet'!$B$244,FZ55+FY56-GH55)))</f>
        <v>268.93315789473701</v>
      </c>
      <c r="GA56" s="17">
        <f>FZ56*VLOOKUP('Données projet'!$B$17,Paramètres!$A$1:$I$89,3,0)*VLOOKUP('Données projet'!$B$17,Paramètres!$A$1:$I$89,5,0)</f>
        <v>230.74464947368438</v>
      </c>
      <c r="GB56" s="13">
        <f t="shared" si="49"/>
        <v>56.443661854728028</v>
      </c>
      <c r="GC56" s="20">
        <f t="shared" si="25"/>
        <v>500.18630889698488</v>
      </c>
      <c r="GD56" s="59">
        <f t="shared" si="26"/>
        <v>761.97522127000207</v>
      </c>
      <c r="GE56" s="59">
        <f ca="1">AVERAGE(OFFSET($GD$3,0,0,'Données projet'!$E$17+1,1))-AVERAGE(OFFSET($H$3,0,0,'Données projet'!$E$17+1,1))</f>
        <v>460.46300302025099</v>
      </c>
      <c r="GF56" s="59">
        <f t="shared" si="50"/>
        <v>340.22534554615879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61.39697610173198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16.348749999999995</v>
      </c>
      <c r="GU56" s="12">
        <f>IF('Données projet'!$A$270&gt;35,GU55+GT56-HC55,IF(A56&lt;'Données projet'!$A$270,$GR$205^A56,IF(A56='Données projet'!$A$270,'Données projet'!$B$270,GU55+GT56-HC55)))</f>
        <v>513.69375000000014</v>
      </c>
      <c r="GV56" s="17">
        <f>GU56*VLOOKUP('Données projet'!$B$18,Paramètres!$A$1:$I$89,3,0)*VLOOKUP('Données projet'!$B$18,Paramètres!$A$1:$I$89,5,0)</f>
        <v>307.18886250000008</v>
      </c>
      <c r="GW56" s="13">
        <f t="shared" si="51"/>
        <v>72.681441883905478</v>
      </c>
      <c r="GX56" s="20">
        <f t="shared" si="28"/>
        <v>661.60744680196888</v>
      </c>
      <c r="GY56" s="59">
        <f t="shared" si="29"/>
        <v>923.39635917498617</v>
      </c>
      <c r="GZ56" s="59">
        <f ca="1">AVERAGE(OFFSET($GY$3,0,0,'Données projet'!$E$18+1,1))-AVERAGE(OFFSET($H$3,0,0,'Données projet'!$E$18+1,1))</f>
        <v>-15.950000000000017</v>
      </c>
      <c r="HA56" s="59">
        <f t="shared" si="52"/>
        <v>-15.950000000000017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27.739114722643937</v>
      </c>
      <c r="HH56" s="21">
        <f>EXP(-LN(2)/25)*HH55+(1-EXP(-LN(2)/25))/(LN(2)/25)*Calculateur!HC56*Calculateur!HE56*VLOOKUP('Données projet'!$B$18,Paramètres!$A$1:$I$89,3,0)*0.475*44/12</f>
        <v>58.739262803614238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86.478377526258171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4.3499999999999996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15.949999999999998</v>
      </c>
      <c r="H57" s="67">
        <f t="shared" si="1"/>
        <v>192.86666666666667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12.324999999999998</v>
      </c>
      <c r="N57" s="13">
        <f>IF('Données projet'!$A$36&gt;35,N56+M57-V56,IF(A57&lt;'Données projet'!$A$36,$K$205^A57,IF(A57='Données projet'!$A$36,'Données projet'!$B$36,N56+M57-V56)))</f>
        <v>267.3</v>
      </c>
      <c r="O57" s="13">
        <f>N57*VLOOKUP('Données projet'!$B$9,Paramètres!$A$1:$I$89,3,0)*VLOOKUP('Données projet'!$B$9,Paramètres!$A$1:$I$89,5,0)</f>
        <v>233.51328000000004</v>
      </c>
      <c r="P57" s="13">
        <f t="shared" si="33"/>
        <v>57.041663274479895</v>
      </c>
      <c r="Q57" s="20">
        <f t="shared" si="53"/>
        <v>506.04985953638578</v>
      </c>
      <c r="R57" s="59">
        <f t="shared" si="0"/>
        <v>768.38599709030427</v>
      </c>
      <c r="S57" s="59">
        <f ca="1">AVERAGE(OFFSET($R$3,0,0,'Données projet'!$E$9+1,1))-AVERAGE(OFFSET($H$3,0,0,'Données projet'!$E$9+1,1))</f>
        <v>433.46721010558042</v>
      </c>
      <c r="T57" s="59">
        <f t="shared" si="34"/>
        <v>306.18862295347509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31.491746501589468</v>
      </c>
      <c r="AA57" s="21">
        <f>EXP(-LN(2)/25)*AA56+(1-EXP(-LN(2)/25))/(LN(2)/25)*Calculateur!V57*Calculateur!X57*VLOOKUP('Données projet'!$B$9,Paramètres!$A$1:$I$89,3,0)*0.475*44/12</f>
        <v>16.88901312332073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48.380759624910198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16.348749999999995</v>
      </c>
      <c r="AI57" s="13">
        <f>IF('Données projet'!$A$62&gt;35,AI56+AH57-AQ56,IF(A57&lt;'Données projet'!$A$62,$AF$205^A57,IF(A57='Données projet'!$A$62,'Données projet'!$B$62,AI56+AH57-AQ56)))</f>
        <v>530.04250000000013</v>
      </c>
      <c r="AJ57" s="13">
        <f>AI57*VLOOKUP('Données projet'!$B$10,Paramètres!$A$1:$I$89,3,0)*VLOOKUP('Données projet'!$B$10,Paramètres!$A$1:$I$89,5,0)</f>
        <v>316.96541500000012</v>
      </c>
      <c r="AK57" s="13">
        <f t="shared" si="35"/>
        <v>74.721599519918101</v>
      </c>
      <c r="AL57" s="20">
        <f t="shared" si="4"/>
        <v>682.18821695552413</v>
      </c>
      <c r="AM57" s="59">
        <f t="shared" si="5"/>
        <v>944.52435450944267</v>
      </c>
      <c r="AN57" s="59">
        <f ca="1">AVERAGE(OFFSET($AM$3,0,0,'Données projet'!$E$10+1,1))-AVERAGE(OFFSET($H$3,0,0,'Données projet'!$E$10+1,1))</f>
        <v>400.1942260113168</v>
      </c>
      <c r="AO57" s="59">
        <f t="shared" si="36"/>
        <v>497.04866930593926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27.19516760212224</v>
      </c>
      <c r="AV57" s="21">
        <f>EXP(-LN(2)/25)*AV56+(1-EXP(-LN(2)/25))/(LN(2)/25)*Calculateur!AQ57*Calculateur!AS57*VLOOKUP('Données projet'!$B$10,Paramètres!$A$1:$I$89,3,0)*0.475*44/12</f>
        <v>57.133034573285826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84.328202175408066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284.78505691662588</v>
      </c>
      <c r="BJ57" s="59">
        <f t="shared" si="38"/>
        <v>664.42623058686308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380.64318988568527</v>
      </c>
      <c r="CE57" s="59">
        <f t="shared" si="40"/>
        <v>885.24651320439159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98.996357016339473</v>
      </c>
      <c r="CL57" s="21">
        <f>EXP(-LN(2)/25)*CL56+(1-EXP(-LN(2)/25))/(LN(2)/25)*Calculateur!CG57*Calculateur!CI57*VLOOKUP('Données projet'!$B$12,Paramètres!$A$1:$I$89,3,0)*0.475*44/12</f>
        <v>21.064200925512782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120.06055794185225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20.324285714285718</v>
      </c>
      <c r="CT57" s="12">
        <f>IF('Données projet'!$A$140&gt;35,CT56+CS57-DB56,IF(A57&lt;'Données projet'!$A$140,$CQ$205^A57,IF(A57='Données projet'!$A$140,'Données projet'!$B$140,CT56+CS57-DB56)))</f>
        <v>492.84142857142854</v>
      </c>
      <c r="CU57" s="17">
        <f>CT57*VLOOKUP('Données projet'!$B$13,Paramètres!$A$1:$I$89,3,0)*VLOOKUP('Données projet'!$B$13,Paramètres!$A$1:$I$89,5,0)</f>
        <v>275.49835857142858</v>
      </c>
      <c r="CV57" s="13">
        <f t="shared" si="41"/>
        <v>66.0147871145425</v>
      </c>
      <c r="CW57" s="20">
        <f t="shared" si="13"/>
        <v>594.80206206973287</v>
      </c>
      <c r="CX57" s="59">
        <f t="shared" si="14"/>
        <v>857.13819962365142</v>
      </c>
      <c r="CY57" s="59">
        <f ca="1">AVERAGE(OFFSET($CX$3,0,0,'Données projet'!$E$13+1,1))-AVERAGE(OFFSET($H$3,0,0,'Données projet'!$E$13+1,1))</f>
        <v>404.10467005188889</v>
      </c>
      <c r="CZ57" s="59">
        <f t="shared" si="42"/>
        <v>372.70490129557845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32.422874447867528</v>
      </c>
      <c r="DG57" s="21">
        <f>EXP(-LN(2)/25)*DG56+(1-EXP(-LN(2)/25))/(LN(2)/25)*Calculateur!DB57*Calculateur!DD57*VLOOKUP('Données projet'!$B$13,Paramètres!$A$1:$I$89,3,0)*0.475*44/12</f>
        <v>63.962633846022484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96.385508293890013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3.1761666666666666</v>
      </c>
      <c r="DO57" s="12">
        <f>IF('Données projet'!$A$166&gt;35,DO56+DN57-DW56,IF(A57&lt;'Données projet'!$A$166,$DL$205^A57,IF(A57='Données projet'!$A$166,'Données projet'!$B$166,DO56+DN57-DW56)))</f>
        <v>171.51299999999978</v>
      </c>
      <c r="DP57" s="17">
        <f>DO57*VLOOKUP('Données projet'!$B$14,Paramètres!$A$1:$I$89,3,0)*VLOOKUP('Données projet'!$B$14,Paramètres!$A$1:$I$89,5,0)</f>
        <v>155.18496239999979</v>
      </c>
      <c r="DQ57" s="13">
        <f t="shared" si="43"/>
        <v>39.7545464120793</v>
      </c>
      <c r="DR57" s="20">
        <f t="shared" si="16"/>
        <v>339.51964451437107</v>
      </c>
      <c r="DS57" s="59">
        <f t="shared" si="17"/>
        <v>601.8557820682895</v>
      </c>
      <c r="DT57" s="59">
        <f ca="1">AVERAGE(OFFSET($DS$3,0,0,'Données projet'!$E$14+1,1))-AVERAGE(OFFSET($H$3,0,0,'Données projet'!$E$14+1,1))</f>
        <v>479.53113328461268</v>
      </c>
      <c r="DU57" s="59">
        <f t="shared" si="44"/>
        <v>244.6360664588118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707.75</v>
      </c>
      <c r="EH57" s="12">
        <f>VLOOKUP(A57,'Données projet'!$A$191:$I$211,9,0)</f>
        <v>25.673333333333346</v>
      </c>
      <c r="EI57" s="12">
        <f t="array" ref="EI57">INDEX(EH:EH,MIN(IF(ISNUMBER(EH57:EH253),ROW(EH57:EH253),"")))</f>
        <v>25.673333333333346</v>
      </c>
      <c r="EJ57" s="12">
        <f>IF('Données projet'!$A$192&gt;35,EJ56+EI57-ER56,IF(A57&lt;'Données projet'!$A$192,$EG$205^A57,IF(A57='Données projet'!$A$192,'Données projet'!$B$192,EJ56+EI57-ER56)))</f>
        <v>707.75000000000023</v>
      </c>
      <c r="EK57" s="17">
        <f>EJ57*VLOOKUP('Données projet'!$B$15,Paramètres!$A$1:$I$89,3,0)*VLOOKUP('Données projet'!$B$15,Paramètres!$A$1:$I$89,5,0)</f>
        <v>312.82550000000015</v>
      </c>
      <c r="EL57" s="13">
        <f t="shared" si="45"/>
        <v>73.858595071350535</v>
      </c>
      <c r="EM57" s="20">
        <f t="shared" si="19"/>
        <v>673.47479891593559</v>
      </c>
      <c r="EN57" s="59">
        <f t="shared" si="20"/>
        <v>935.81093646985414</v>
      </c>
      <c r="EO57" s="59">
        <f ca="1">AVERAGE(OFFSET($EN$3,0,0,'Données projet'!$E$15+1,1))-AVERAGE(OFFSET($H$3,0,0,'Données projet'!$E$15+1,1))</f>
        <v>339.23049610652492</v>
      </c>
      <c r="EP57" s="59">
        <f t="shared" si="46"/>
        <v>448.85057640789785</v>
      </c>
      <c r="EQ57" s="15">
        <f>IF(ISNA(VLOOKUP(A57,'Données projet'!$A$191:$I$211,3,0)),0,VLOOKUP(A57,'Données projet'!$A$191:$I$211,3,0))</f>
        <v>7</v>
      </c>
      <c r="ER57" s="15">
        <f>IF(ISNA(VLOOKUP(A57,'Données projet'!$A$191:$I$211,4,0)),0,VLOOKUP(A57,'Données projet'!$A$191:$I$211,4,0))</f>
        <v>707.75</v>
      </c>
      <c r="ES57" s="16">
        <f>IF(ISNA(VLOOKUP(A57,'Données projet'!$A$191:$I$211,5,0)),0%,VLOOKUP(A57,'Données projet'!$A$191:$I$211,5,0)*VLOOKUP('Données projet'!$B$15,Paramètres!$A$1:$I$89,7,0))</f>
        <v>0.38500000000000001</v>
      </c>
      <c r="ET57" s="16">
        <f>IF(ISNA(VLOOKUP(A57,'Données projet'!$A$191:$I$211,6,0)),0%,VLOOKUP(A57,'Données projet'!$A$191:$I$211,6,0)*VLOOKUP('Données projet'!$B$15,Paramètres!$A$1:$I$89,7,0))</f>
        <v>0.16500000000000001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185.87952930723455</v>
      </c>
      <c r="EW57" s="21">
        <f>EXP(-LN(2)/25)*EW56+(1-EXP(-LN(2)/25))/(LN(2)/25)*Calculateur!ER57*Calculateur!ET57*VLOOKUP('Données projet'!$B$15,Paramètres!$A$1:$I$89,3,0)*0.475*44/12</f>
        <v>138.65294377053959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324.53247307777417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12.883999999999997</v>
      </c>
      <c r="FE57" s="12">
        <f>IF('Données projet'!$A$218&gt;35,FE56+FD57-FM56,IF(A57&lt;'Données projet'!$A$218,$FB$205^A57,IF(A57='Données projet'!$A$218,'Données projet'!$B$218,FE56+FD57-FM56)))</f>
        <v>258.02200000000033</v>
      </c>
      <c r="FF57" s="17">
        <f>FE57*VLOOKUP('Données projet'!$B$16,Paramètres!$A$1:$I$89,3,0)*VLOOKUP('Données projet'!$B$16,Paramètres!$A$1:$I$89,5,0)</f>
        <v>120.75429600000017</v>
      </c>
      <c r="FG57" s="13">
        <f t="shared" si="47"/>
        <v>31.850862239168588</v>
      </c>
      <c r="FH57" s="20">
        <f t="shared" si="22"/>
        <v>265.78731726655224</v>
      </c>
      <c r="FI57" s="59">
        <f t="shared" si="23"/>
        <v>528.12345482047067</v>
      </c>
      <c r="FJ57" s="59">
        <f ca="1">AVERAGE(OFFSET($FI$3,0,0,'Données projet'!$E$16+1,1))-AVERAGE(OFFSET($H$3,0,0,'Données projet'!$E$16+1,1))</f>
        <v>365.63278362856033</v>
      </c>
      <c r="FK57" s="59">
        <f t="shared" si="48"/>
        <v>290.68267842697452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38.582443682072544</v>
      </c>
      <c r="FR57" s="21">
        <f>EXP(-LN(2)/25)*FR56+(1-EXP(-LN(2)/25))/(LN(2)/25)*Calculateur!FM57*Calculateur!FO57*VLOOKUP('Données projet'!$B$16,Paramètres!$A$1:$I$89,3,0)*0.475*44/12</f>
        <v>16.083425772553564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54.665869454626105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5.0742105263157899</v>
      </c>
      <c r="FZ57" s="12">
        <f>IF('Données projet'!$A$244&gt;35,FZ56+FY57-GH56,IF(A57&lt;'Données projet'!$A$244,$FW$205^A57,IF(A57='Données projet'!$A$244,'Données projet'!$B$244,FZ56+FY57-GH56)))</f>
        <v>274.00736842105277</v>
      </c>
      <c r="GA57" s="17">
        <f>FZ57*VLOOKUP('Données projet'!$B$17,Paramètres!$A$1:$I$89,3,0)*VLOOKUP('Données projet'!$B$17,Paramètres!$A$1:$I$89,5,0)</f>
        <v>235.09832210526329</v>
      </c>
      <c r="GB57" s="13">
        <f t="shared" si="49"/>
        <v>57.38364739207546</v>
      </c>
      <c r="GC57" s="20">
        <f t="shared" si="25"/>
        <v>509.40609687453161</v>
      </c>
      <c r="GD57" s="59">
        <f t="shared" si="26"/>
        <v>771.74223442845005</v>
      </c>
      <c r="GE57" s="59">
        <f ca="1">AVERAGE(OFFSET($GD$3,0,0,'Données projet'!$E$17+1,1))-AVERAGE(OFFSET($H$3,0,0,'Données projet'!$E$17+1,1))</f>
        <v>460.46300302025099</v>
      </c>
      <c r="GF57" s="59">
        <f t="shared" si="50"/>
        <v>340.22534554615879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61.546219332886871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16.348749999999995</v>
      </c>
      <c r="GU57" s="12">
        <f>IF('Données projet'!$A$270&gt;35,GU56+GT57-HC56,IF(A57&lt;'Données projet'!$A$270,$GR$205^A57,IF(A57='Données projet'!$A$270,'Données projet'!$B$270,GU56+GT57-HC56)))</f>
        <v>530.04250000000013</v>
      </c>
      <c r="GV57" s="17">
        <f>GU57*VLOOKUP('Données projet'!$B$18,Paramètres!$A$1:$I$89,3,0)*VLOOKUP('Données projet'!$B$18,Paramètres!$A$1:$I$89,5,0)</f>
        <v>316.96541500000012</v>
      </c>
      <c r="GW57" s="13">
        <f t="shared" si="51"/>
        <v>74.721599519918101</v>
      </c>
      <c r="GX57" s="20">
        <f t="shared" si="28"/>
        <v>682.18821695552413</v>
      </c>
      <c r="GY57" s="59">
        <f t="shared" si="29"/>
        <v>944.52435450944267</v>
      </c>
      <c r="GZ57" s="59">
        <f ca="1">AVERAGE(OFFSET($GY$3,0,0,'Données projet'!$E$18+1,1))-AVERAGE(OFFSET($H$3,0,0,'Données projet'!$E$18+1,1))</f>
        <v>-15.950000000000017</v>
      </c>
      <c r="HA57" s="59">
        <f t="shared" si="52"/>
        <v>-15.950000000000017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27.19516760212224</v>
      </c>
      <c r="HH57" s="21">
        <f>EXP(-LN(2)/25)*HH56+(1-EXP(-LN(2)/25))/(LN(2)/25)*Calculateur!HC57*Calculateur!HE57*VLOOKUP('Données projet'!$B$18,Paramètres!$A$1:$I$89,3,0)*0.475*44/12</f>
        <v>57.133034573285826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84.328202175408066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4.3499999999999996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15.949999999999998</v>
      </c>
      <c r="H58" s="67">
        <f t="shared" si="1"/>
        <v>192.86666666666667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12.324999999999998</v>
      </c>
      <c r="N58" s="13">
        <f>IF('Données projet'!$A$36&gt;35,N57+M58-V57,IF(A58&lt;'Données projet'!$A$36,$K$205^A58,IF(A58='Données projet'!$A$36,'Données projet'!$B$36,N57+M58-V57)))</f>
        <v>279.625</v>
      </c>
      <c r="O58" s="13">
        <f>N58*VLOOKUP('Données projet'!$B$9,Paramètres!$A$1:$I$89,3,0)*VLOOKUP('Données projet'!$B$9,Paramètres!$A$1:$I$89,5,0)</f>
        <v>244.28040000000001</v>
      </c>
      <c r="P58" s="13">
        <f t="shared" si="33"/>
        <v>59.359529736886969</v>
      </c>
      <c r="Q58" s="20">
        <f t="shared" si="53"/>
        <v>528.8395442917448</v>
      </c>
      <c r="R58" s="59">
        <f t="shared" si="0"/>
        <v>791.71341389308827</v>
      </c>
      <c r="S58" s="59">
        <f ca="1">AVERAGE(OFFSET($R$3,0,0,'Données projet'!$E$9+1,1))-AVERAGE(OFFSET($H$3,0,0,'Données projet'!$E$9+1,1))</f>
        <v>433.46721010558042</v>
      </c>
      <c r="T58" s="59">
        <f t="shared" si="34"/>
        <v>306.18862295347509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30.874212560762025</v>
      </c>
      <c r="AA58" s="21">
        <f>EXP(-LN(2)/25)*AA57+(1-EXP(-LN(2)/25))/(LN(2)/25)*Calculateur!V58*Calculateur!X58*VLOOKUP('Données projet'!$B$9,Paramètres!$A$1:$I$89,3,0)*0.475*44/12</f>
        <v>16.427182171308925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47.301394732070946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16.348749999999995</v>
      </c>
      <c r="AI58" s="13">
        <f>IF('Données projet'!$A$62&gt;35,AI57+AH58-AQ57,IF(A58&lt;'Données projet'!$A$62,$AF$205^A58,IF(A58='Données projet'!$A$62,'Données projet'!$B$62,AI57+AH58-AQ57)))</f>
        <v>546.39125000000013</v>
      </c>
      <c r="AJ58" s="13">
        <f>AI58*VLOOKUP('Données projet'!$B$10,Paramètres!$A$1:$I$89,3,0)*VLOOKUP('Données projet'!$B$10,Paramètres!$A$1:$I$89,5,0)</f>
        <v>326.7419675000001</v>
      </c>
      <c r="AK58" s="13">
        <f t="shared" si="35"/>
        <v>76.754444351767347</v>
      </c>
      <c r="AL58" s="20">
        <f t="shared" si="4"/>
        <v>702.75625064182839</v>
      </c>
      <c r="AM58" s="59">
        <f t="shared" si="5"/>
        <v>965.63012024317186</v>
      </c>
      <c r="AN58" s="59">
        <f ca="1">AVERAGE(OFFSET($AM$3,0,0,'Données projet'!$E$10+1,1))-AVERAGE(OFFSET($H$3,0,0,'Données projet'!$E$10+1,1))</f>
        <v>400.1942260113168</v>
      </c>
      <c r="AO58" s="59">
        <f t="shared" si="36"/>
        <v>497.04866930593926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26.661886952858989</v>
      </c>
      <c r="AV58" s="21">
        <f>EXP(-LN(2)/25)*AV57+(1-EXP(-LN(2)/25))/(LN(2)/25)*Calculateur!AQ58*Calculateur!AS58*VLOOKUP('Données projet'!$B$10,Paramètres!$A$1:$I$89,3,0)*0.475*44/12</f>
        <v>55.570728738383615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82.2326156912426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284.78505691662588</v>
      </c>
      <c r="BJ58" s="59">
        <f t="shared" si="38"/>
        <v>664.42623058686308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380.64318988568527</v>
      </c>
      <c r="CE58" s="59">
        <f t="shared" si="40"/>
        <v>885.24651320439159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97.055098837064634</v>
      </c>
      <c r="CL58" s="21">
        <f>EXP(-LN(2)/25)*CL57+(1-EXP(-LN(2)/25))/(LN(2)/25)*Calculateur!CG58*Calculateur!CI58*VLOOKUP('Données projet'!$B$12,Paramètres!$A$1:$I$89,3,0)*0.475*44/12</f>
        <v>20.488199243486452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117.54329808055108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20.324285714285718</v>
      </c>
      <c r="CT58" s="12">
        <f>IF('Données projet'!$A$140&gt;35,CT57+CS58-DB57,IF(A58&lt;'Données projet'!$A$140,$CQ$205^A58,IF(A58='Données projet'!$A$140,'Données projet'!$B$140,CT57+CS58-DB57)))</f>
        <v>513.16571428571422</v>
      </c>
      <c r="CU58" s="17">
        <f>CT58*VLOOKUP('Données projet'!$B$13,Paramètres!$A$1:$I$89,3,0)*VLOOKUP('Données projet'!$B$13,Paramètres!$A$1:$I$89,5,0)</f>
        <v>286.85963428571421</v>
      </c>
      <c r="CV58" s="13">
        <f t="shared" si="41"/>
        <v>68.41459847146298</v>
      </c>
      <c r="CW58" s="20">
        <f t="shared" si="13"/>
        <v>618.7692887187502</v>
      </c>
      <c r="CX58" s="59">
        <f t="shared" si="14"/>
        <v>881.64315832009356</v>
      </c>
      <c r="CY58" s="59">
        <f ca="1">AVERAGE(OFFSET($CX$3,0,0,'Données projet'!$E$13+1,1))-AVERAGE(OFFSET($H$3,0,0,'Données projet'!$E$13+1,1))</f>
        <v>404.10467005188889</v>
      </c>
      <c r="CZ58" s="59">
        <f t="shared" si="42"/>
        <v>372.70490129557845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31.787081655945542</v>
      </c>
      <c r="DG58" s="21">
        <f>EXP(-LN(2)/25)*DG57+(1-EXP(-LN(2)/25))/(LN(2)/25)*Calculateur!DB58*Calculateur!DD58*VLOOKUP('Données projet'!$B$13,Paramètres!$A$1:$I$89,3,0)*0.475*44/12</f>
        <v>62.213572259854274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94.000653915799816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3.1761666666666666</v>
      </c>
      <c r="DO58" s="12">
        <f>IF('Données projet'!$A$166&gt;35,DO57+DN58-DW57,IF(A58&lt;'Données projet'!$A$166,$DL$205^A58,IF(A58='Données projet'!$A$166,'Données projet'!$B$166,DO57+DN58-DW57)))</f>
        <v>174.68916666666644</v>
      </c>
      <c r="DP58" s="17">
        <f>DO58*VLOOKUP('Données projet'!$B$14,Paramètres!$A$1:$I$89,3,0)*VLOOKUP('Données projet'!$B$14,Paramètres!$A$1:$I$89,5,0)</f>
        <v>158.05875799999978</v>
      </c>
      <c r="DQ58" s="13">
        <f t="shared" si="43"/>
        <v>40.404352270554362</v>
      </c>
      <c r="DR58" s="20">
        <f t="shared" si="16"/>
        <v>345.65658372121516</v>
      </c>
      <c r="DS58" s="59">
        <f t="shared" si="17"/>
        <v>608.53045332255851</v>
      </c>
      <c r="DT58" s="59">
        <f ca="1">AVERAGE(OFFSET($DS$3,0,0,'Données projet'!$E$14+1,1))-AVERAGE(OFFSET($H$3,0,0,'Données projet'!$E$14+1,1))</f>
        <v>479.53113328461268</v>
      </c>
      <c r="DU58" s="59">
        <f t="shared" si="44"/>
        <v>244.6360664588118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2.2737367544323206E-13</v>
      </c>
      <c r="EK58" s="17">
        <f>EJ58*VLOOKUP('Données projet'!$B$15,Paramètres!$A$1:$I$89,3,0)*VLOOKUP('Données projet'!$B$15,Paramètres!$A$1:$I$89,5,0)</f>
        <v>1.0049916454590858E-13</v>
      </c>
      <c r="EL58" s="13">
        <f t="shared" si="45"/>
        <v>1.5089081593838289E-12</v>
      </c>
      <c r="EM58" s="20">
        <f t="shared" si="19"/>
        <v>2.8030510891776262E-12</v>
      </c>
      <c r="EN58" s="59">
        <f t="shared" si="20"/>
        <v>262.8738696013462</v>
      </c>
      <c r="EO58" s="59">
        <f ca="1">AVERAGE(OFFSET($EN$3,0,0,'Données projet'!$E$15+1,1))-AVERAGE(OFFSET($H$3,0,0,'Données projet'!$E$15+1,1))</f>
        <v>339.23049610652492</v>
      </c>
      <c r="EP58" s="59">
        <f t="shared" si="46"/>
        <v>448.85057640789785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182.23454511283768</v>
      </c>
      <c r="EW58" s="21">
        <f>EXP(-LN(2)/25)*EW57+(1-EXP(-LN(2)/25))/(LN(2)/25)*Calculateur!ER58*Calculateur!ET58*VLOOKUP('Données projet'!$B$15,Paramètres!$A$1:$I$89,3,0)*0.475*44/12</f>
        <v>134.86147173169277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317.09601684453048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12.883999999999997</v>
      </c>
      <c r="FE58" s="12">
        <f>IF('Données projet'!$A$218&gt;35,FE57+FD58-FM57,IF(A58&lt;'Données projet'!$A$218,$FB$205^A58,IF(A58='Données projet'!$A$218,'Données projet'!$B$218,FE57+FD58-FM57)))</f>
        <v>270.90600000000035</v>
      </c>
      <c r="FF58" s="17">
        <f>FE58*VLOOKUP('Données projet'!$B$16,Paramètres!$A$1:$I$89,3,0)*VLOOKUP('Données projet'!$B$16,Paramètres!$A$1:$I$89,5,0)</f>
        <v>126.78400800000016</v>
      </c>
      <c r="FG58" s="13">
        <f t="shared" si="47"/>
        <v>33.252158096898668</v>
      </c>
      <c r="FH58" s="20">
        <f t="shared" si="22"/>
        <v>278.72965595209877</v>
      </c>
      <c r="FI58" s="59">
        <f t="shared" si="23"/>
        <v>541.60352555344218</v>
      </c>
      <c r="FJ58" s="59">
        <f ca="1">AVERAGE(OFFSET($FI$3,0,0,'Données projet'!$E$16+1,1))-AVERAGE(OFFSET($H$3,0,0,'Données projet'!$E$16+1,1))</f>
        <v>365.63278362856033</v>
      </c>
      <c r="FK58" s="59">
        <f t="shared" si="48"/>
        <v>290.68267842697452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37.825865494434062</v>
      </c>
      <c r="FR58" s="21">
        <f>EXP(-LN(2)/25)*FR57+(1-EXP(-LN(2)/25))/(LN(2)/25)*Calculateur!FM58*Calculateur!FO58*VLOOKUP('Données projet'!$B$16,Paramètres!$A$1:$I$89,3,0)*0.475*44/12</f>
        <v>15.643623649012484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53.469489143446545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5.0742105263157899</v>
      </c>
      <c r="FZ58" s="12">
        <f>IF('Données projet'!$A$244&gt;35,FZ57+FY58-GH57,IF(A58&lt;'Données projet'!$A$244,$FW$205^A58,IF(A58='Données projet'!$A$244,'Données projet'!$B$244,FZ57+FY58-GH57)))</f>
        <v>279.08157894736854</v>
      </c>
      <c r="GA58" s="17">
        <f>FZ58*VLOOKUP('Données projet'!$B$17,Paramètres!$A$1:$I$89,3,0)*VLOOKUP('Données projet'!$B$17,Paramètres!$A$1:$I$89,5,0)</f>
        <v>239.45199473684221</v>
      </c>
      <c r="GB58" s="13">
        <f t="shared" si="49"/>
        <v>58.321608798288558</v>
      </c>
      <c r="GC58" s="20">
        <f t="shared" si="25"/>
        <v>518.62235949035266</v>
      </c>
      <c r="GD58" s="59">
        <f t="shared" si="26"/>
        <v>781.49622909169602</v>
      </c>
      <c r="GE58" s="59">
        <f ca="1">AVERAGE(OFFSET($GD$3,0,0,'Données projet'!$E$17+1,1))-AVERAGE(OFFSET($H$3,0,0,'Données projet'!$E$17+1,1))</f>
        <v>460.46300302025099</v>
      </c>
      <c r="GF58" s="59">
        <f t="shared" si="50"/>
        <v>340.22534554615879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61.692873527639115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16.348749999999995</v>
      </c>
      <c r="GU58" s="12">
        <f>IF('Données projet'!$A$270&gt;35,GU57+GT58-HC57,IF(A58&lt;'Données projet'!$A$270,$GR$205^A58,IF(A58='Données projet'!$A$270,'Données projet'!$B$270,GU57+GT58-HC57)))</f>
        <v>546.39125000000013</v>
      </c>
      <c r="GV58" s="17">
        <f>GU58*VLOOKUP('Données projet'!$B$18,Paramètres!$A$1:$I$89,3,0)*VLOOKUP('Données projet'!$B$18,Paramètres!$A$1:$I$89,5,0)</f>
        <v>326.7419675000001</v>
      </c>
      <c r="GW58" s="13">
        <f t="shared" si="51"/>
        <v>76.754444351767347</v>
      </c>
      <c r="GX58" s="20">
        <f t="shared" si="28"/>
        <v>702.75625064182839</v>
      </c>
      <c r="GY58" s="59">
        <f t="shared" si="29"/>
        <v>965.63012024317186</v>
      </c>
      <c r="GZ58" s="59">
        <f ca="1">AVERAGE(OFFSET($GY$3,0,0,'Données projet'!$E$18+1,1))-AVERAGE(OFFSET($H$3,0,0,'Données projet'!$E$18+1,1))</f>
        <v>-15.950000000000017</v>
      </c>
      <c r="HA58" s="59">
        <f t="shared" si="52"/>
        <v>-15.950000000000017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26.661886952858989</v>
      </c>
      <c r="HH58" s="21">
        <f>EXP(-LN(2)/25)*HH57+(1-EXP(-LN(2)/25))/(LN(2)/25)*Calculateur!HC58*Calculateur!HE58*VLOOKUP('Données projet'!$B$18,Paramètres!$A$1:$I$89,3,0)*0.475*44/12</f>
        <v>55.570728738383615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82.2326156912426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4.3499999999999996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15.949999999999998</v>
      </c>
      <c r="H59" s="67">
        <f t="shared" si="1"/>
        <v>192.86666666666667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12.324999999999998</v>
      </c>
      <c r="N59" s="13">
        <f>IF('Données projet'!$A$36&gt;35,N58+M59-V58,IF(A59&lt;'Données projet'!$A$36,$K$205^A59,IF(A59='Données projet'!$A$36,'Données projet'!$B$36,N58+M59-V58)))</f>
        <v>291.95</v>
      </c>
      <c r="O59" s="13">
        <f>N59*VLOOKUP('Données projet'!$B$9,Paramètres!$A$1:$I$89,3,0)*VLOOKUP('Données projet'!$B$9,Paramètres!$A$1:$I$89,5,0)</f>
        <v>255.04752000000005</v>
      </c>
      <c r="P59" s="13">
        <f t="shared" si="33"/>
        <v>61.665530666742399</v>
      </c>
      <c r="Q59" s="20">
        <f t="shared" si="53"/>
        <v>551.60856324457643</v>
      </c>
      <c r="R59" s="59">
        <f t="shared" si="0"/>
        <v>815.01083644451069</v>
      </c>
      <c r="S59" s="59">
        <f ca="1">AVERAGE(OFFSET($R$3,0,0,'Données projet'!$E$9+1,1))-AVERAGE(OFFSET($H$3,0,0,'Données projet'!$E$9+1,1))</f>
        <v>433.46721010558042</v>
      </c>
      <c r="T59" s="59">
        <f t="shared" si="34"/>
        <v>306.18862295347509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30.268788083855696</v>
      </c>
      <c r="AA59" s="21">
        <f>EXP(-LN(2)/25)*AA58+(1-EXP(-LN(2)/25))/(LN(2)/25)*Calculateur!V59*Calculateur!X59*VLOOKUP('Données projet'!$B$9,Paramètres!$A$1:$I$89,3,0)*0.475*44/12</f>
        <v>15.977980010966517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46.246768094822215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562.74</v>
      </c>
      <c r="AG59" s="12">
        <f>VLOOKUP(A59,'Données projet'!$A$61:$I$81,9,0)</f>
        <v>16.348749999999995</v>
      </c>
      <c r="AH59" s="12">
        <f t="array" ref="AH59">INDEX(AG:AG,MIN(IF(ISNUMBER(AG59:AG255),ROW(AG59:AG255),"")))</f>
        <v>16.348749999999995</v>
      </c>
      <c r="AI59" s="13">
        <f>IF('Données projet'!$A$62&gt;35,AI58+AH59-AQ58,IF(A59&lt;'Données projet'!$A$62,$AF$205^A59,IF(A59='Données projet'!$A$62,'Données projet'!$B$62,AI58+AH59-AQ58)))</f>
        <v>562.74000000000012</v>
      </c>
      <c r="AJ59" s="13">
        <f>AI59*VLOOKUP('Données projet'!$B$10,Paramètres!$A$1:$I$89,3,0)*VLOOKUP('Données projet'!$B$10,Paramètres!$A$1:$I$89,5,0)</f>
        <v>336.51852000000014</v>
      </c>
      <c r="AK59" s="13">
        <f t="shared" si="35"/>
        <v>78.780220306492936</v>
      </c>
      <c r="AL59" s="20">
        <f t="shared" si="4"/>
        <v>723.31197270047539</v>
      </c>
      <c r="AM59" s="59">
        <f t="shared" si="5"/>
        <v>986.71424590040965</v>
      </c>
      <c r="AN59" s="59">
        <f ca="1">AVERAGE(OFFSET($AM$3,0,0,'Données projet'!$E$10+1,1))-AVERAGE(OFFSET($H$3,0,0,'Données projet'!$E$10+1,1))</f>
        <v>400.1942260113168</v>
      </c>
      <c r="AO59" s="59">
        <f t="shared" si="36"/>
        <v>497.04866930593926</v>
      </c>
      <c r="AP59" s="15">
        <f>IF(ISNA(VLOOKUP(A59,'Données projet'!$A$61:$I$81,3,0)),0,VLOOKUP(A59,'Données projet'!$A$61:$I$81,3,0))</f>
        <v>7</v>
      </c>
      <c r="AQ59" s="15">
        <f>IF(ISNA(VLOOKUP(A59,'Données projet'!$A$61:$I$81,4,0)),0,VLOOKUP(A59,'Données projet'!$A$61:$I$81,4,0))</f>
        <v>562.74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0.13500000000000001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166.75931838903153</v>
      </c>
      <c r="AV59" s="21">
        <f>EXP(-LN(2)/25)*AV58+(1-EXP(-LN(2)/25))/(LN(2)/25)*Calculateur!AQ59*Calculateur!AS59*VLOOKUP('Données projet'!$B$10,Paramètres!$A$1:$I$89,3,0)*0.475*44/12</f>
        <v>114.07967820452237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280.83899659355393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284.78505691662588</v>
      </c>
      <c r="BJ59" s="59">
        <f t="shared" si="38"/>
        <v>664.42623058686308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380.64318988568527</v>
      </c>
      <c r="CE59" s="59">
        <f t="shared" si="40"/>
        <v>885.24651320439159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95.151907546634789</v>
      </c>
      <c r="CL59" s="21">
        <f>EXP(-LN(2)/25)*CL58+(1-EXP(-LN(2)/25))/(LN(2)/25)*Calculateur!CG59*Calculateur!CI59*VLOOKUP('Données projet'!$B$12,Paramètres!$A$1:$I$89,3,0)*0.475*44/12</f>
        <v>19.927948357745745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115.07985590438054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>
        <f>VLOOKUP(A59,'Données projet'!$A$139:$I$159,2,0)</f>
        <v>533.49</v>
      </c>
      <c r="CR59" s="12">
        <f>VLOOKUP(A59,'Données projet'!$A$139:$I$159,9,0)</f>
        <v>20.324285714285718</v>
      </c>
      <c r="CS59" s="12">
        <f t="array" ref="CS59">INDEX(CR:CR,MIN(IF(ISNUMBER(CR59:CR255),ROW(CR59:CR255),"")))</f>
        <v>20.324285714285718</v>
      </c>
      <c r="CT59" s="12">
        <f>IF('Données projet'!$A$140&gt;35,CT58+CS59-DB58,IF(A59&lt;'Données projet'!$A$140,$CQ$205^A59,IF(A59='Données projet'!$A$140,'Données projet'!$B$140,CT58+CS59-DB58)))</f>
        <v>533.4899999999999</v>
      </c>
      <c r="CU59" s="17">
        <f>CT59*VLOOKUP('Données projet'!$B$13,Paramètres!$A$1:$I$89,3,0)*VLOOKUP('Données projet'!$B$13,Paramètres!$A$1:$I$89,5,0)</f>
        <v>298.22090999999995</v>
      </c>
      <c r="CV59" s="13">
        <f t="shared" si="41"/>
        <v>70.803368864473384</v>
      </c>
      <c r="CW59" s="20">
        <f t="shared" si="13"/>
        <v>642.71728568895765</v>
      </c>
      <c r="CX59" s="59">
        <f t="shared" si="14"/>
        <v>906.11955888889179</v>
      </c>
      <c r="CY59" s="59">
        <f ca="1">AVERAGE(OFFSET($CX$3,0,0,'Données projet'!$E$13+1,1))-AVERAGE(OFFSET($H$3,0,0,'Données projet'!$E$13+1,1))</f>
        <v>404.10467005188889</v>
      </c>
      <c r="CZ59" s="59">
        <f t="shared" si="42"/>
        <v>372.70490129557845</v>
      </c>
      <c r="DA59" s="15">
        <f>IF(ISNA(VLOOKUP(A59,'Données projet'!$A$139:$I$159,3,0)),0,VLOOKUP(A59,'Données projet'!$A$139:$I$159,3,0))</f>
        <v>6</v>
      </c>
      <c r="DB59" s="15">
        <f>IF(ISNA(VLOOKUP(A59,'Données projet'!$A$139:$I$159,4,0)),0,VLOOKUP(A59,'Données projet'!$A$139:$I$159,4,0))</f>
        <v>94.57</v>
      </c>
      <c r="DC59" s="16">
        <f>IF(ISNA(VLOOKUP(A59,'Données projet'!$A$139:$I$159,5,0)),0%,VLOOKUP(A59,'Données projet'!$A$139:$I$159,5,0)*VLOOKUP('Données projet'!$B$13,Paramètres!$A$1:$I$89,7,0))</f>
        <v>0.38500000000000001</v>
      </c>
      <c r="DD59" s="16">
        <f>IF(ISNA(VLOOKUP(A59,'Données projet'!$A$139:$I$159,6,0)),0%,VLOOKUP(A59,'Données projet'!$A$139:$I$159,6,0)*VLOOKUP('Données projet'!$B$13,Paramètres!$A$1:$I$89,7,0))</f>
        <v>0.16500000000000001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58.163166929443506</v>
      </c>
      <c r="DG59" s="21">
        <f>EXP(-LN(2)/25)*DG58+(1-EXP(-LN(2)/25))/(LN(2)/25)*Calculateur!DB59*Calculateur!DD59*VLOOKUP('Données projet'!$B$13,Paramètres!$A$1:$I$89,3,0)*0.475*44/12</f>
        <v>72.037954678862917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130.20112160830644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3.1761666666666666</v>
      </c>
      <c r="DO59" s="12">
        <f>IF('Données projet'!$A$166&gt;35,DO58+DN59-DW58,IF(A59&lt;'Données projet'!$A$166,$DL$205^A59,IF(A59='Données projet'!$A$166,'Données projet'!$B$166,DO58+DN59-DW58)))</f>
        <v>177.8653333333331</v>
      </c>
      <c r="DP59" s="17">
        <f>DO59*VLOOKUP('Données projet'!$B$14,Paramètres!$A$1:$I$89,3,0)*VLOOKUP('Données projet'!$B$14,Paramètres!$A$1:$I$89,5,0)</f>
        <v>160.93255359999978</v>
      </c>
      <c r="DQ59" s="13">
        <f t="shared" si="43"/>
        <v>41.052784277731064</v>
      </c>
      <c r="DR59" s="20">
        <f t="shared" si="16"/>
        <v>351.7911301370479</v>
      </c>
      <c r="DS59" s="59">
        <f t="shared" si="17"/>
        <v>615.1934033369821</v>
      </c>
      <c r="DT59" s="59">
        <f ca="1">AVERAGE(OFFSET($DS$3,0,0,'Données projet'!$E$14+1,1))-AVERAGE(OFFSET($H$3,0,0,'Données projet'!$E$14+1,1))</f>
        <v>479.53113328461268</v>
      </c>
      <c r="DU59" s="59">
        <f t="shared" si="44"/>
        <v>244.6360664588118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2.2737367544323206E-13</v>
      </c>
      <c r="EK59" s="17">
        <f>EJ59*VLOOKUP('Données projet'!$B$15,Paramètres!$A$1:$I$89,3,0)*VLOOKUP('Données projet'!$B$15,Paramètres!$A$1:$I$89,5,0)</f>
        <v>1.0049916454590858E-13</v>
      </c>
      <c r="EL59" s="13">
        <f t="shared" si="45"/>
        <v>1.5089081593838289E-12</v>
      </c>
      <c r="EM59" s="20">
        <f t="shared" si="19"/>
        <v>2.8030510891776262E-12</v>
      </c>
      <c r="EN59" s="59">
        <f t="shared" si="20"/>
        <v>263.40227319993699</v>
      </c>
      <c r="EO59" s="59">
        <f ca="1">AVERAGE(OFFSET($EN$3,0,0,'Données projet'!$E$15+1,1))-AVERAGE(OFFSET($H$3,0,0,'Données projet'!$E$15+1,1))</f>
        <v>339.23049610652492</v>
      </c>
      <c r="EP59" s="59">
        <f t="shared" si="46"/>
        <v>448.85057640789785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178.66103683527209</v>
      </c>
      <c r="EW59" s="21">
        <f>EXP(-LN(2)/25)*EW58+(1-EXP(-LN(2)/25))/(LN(2)/25)*Calculateur!ER59*Calculateur!ET59*VLOOKUP('Données projet'!$B$15,Paramètres!$A$1:$I$89,3,0)*0.475*44/12</f>
        <v>131.17367769513308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309.83471453040517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12.883999999999997</v>
      </c>
      <c r="FE59" s="12">
        <f>IF('Données projet'!$A$218&gt;35,FE58+FD59-FM58,IF(A59&lt;'Données projet'!$A$218,$FB$205^A59,IF(A59='Données projet'!$A$218,'Données projet'!$B$218,FE58+FD59-FM58)))</f>
        <v>283.79000000000036</v>
      </c>
      <c r="FF59" s="17">
        <f>FE59*VLOOKUP('Données projet'!$B$16,Paramètres!$A$1:$I$89,3,0)*VLOOKUP('Données projet'!$B$16,Paramètres!$A$1:$I$89,5,0)</f>
        <v>132.81372000000016</v>
      </c>
      <c r="FG59" s="13">
        <f t="shared" si="47"/>
        <v>34.645714929343931</v>
      </c>
      <c r="FH59" s="20">
        <f t="shared" si="22"/>
        <v>291.65851583527427</v>
      </c>
      <c r="FI59" s="59">
        <f t="shared" si="23"/>
        <v>555.06078903520847</v>
      </c>
      <c r="FJ59" s="59">
        <f ca="1">AVERAGE(OFFSET($FI$3,0,0,'Données projet'!$E$16+1,1))-AVERAGE(OFFSET($H$3,0,0,'Données projet'!$E$16+1,1))</f>
        <v>365.63278362856033</v>
      </c>
      <c r="FK59" s="59">
        <f t="shared" si="48"/>
        <v>290.68267842697452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37.08412334358804</v>
      </c>
      <c r="FR59" s="21">
        <f>EXP(-LN(2)/25)*FR58+(1-EXP(-LN(2)/25))/(LN(2)/25)*Calculateur!FM59*Calculateur!FO59*VLOOKUP('Données projet'!$B$16,Paramètres!$A$1:$I$89,3,0)*0.475*44/12</f>
        <v>15.215847937667824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52.299971281255864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5.0742105263157899</v>
      </c>
      <c r="FZ59" s="12">
        <f>IF('Données projet'!$A$244&gt;35,FZ58+FY59-GH58,IF(A59&lt;'Données projet'!$A$244,$FW$205^A59,IF(A59='Données projet'!$A$244,'Données projet'!$B$244,FZ58+FY59-GH58)))</f>
        <v>284.15578947368431</v>
      </c>
      <c r="GA59" s="17">
        <f>FZ59*VLOOKUP('Données projet'!$B$17,Paramètres!$A$1:$I$89,3,0)*VLOOKUP('Données projet'!$B$17,Paramètres!$A$1:$I$89,5,0)</f>
        <v>243.80566736842115</v>
      </c>
      <c r="GB59" s="13">
        <f t="shared" si="49"/>
        <v>59.257587120663729</v>
      </c>
      <c r="GC59" s="20">
        <f t="shared" si="25"/>
        <v>527.83516823515617</v>
      </c>
      <c r="GD59" s="59">
        <f t="shared" si="26"/>
        <v>791.23744143509043</v>
      </c>
      <c r="GE59" s="59">
        <f ca="1">AVERAGE(OFFSET($GD$3,0,0,'Données projet'!$E$17+1,1))-AVERAGE(OFFSET($H$3,0,0,'Données projet'!$E$17+1,1))</f>
        <v>460.46300302025099</v>
      </c>
      <c r="GF59" s="59">
        <f t="shared" si="50"/>
        <v>340.22534554615879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61.836983599982062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>
        <f>VLOOKUP(A59,'Données projet'!$A$269:$I$289,2,0)</f>
        <v>562.74</v>
      </c>
      <c r="GS59" s="12">
        <f>VLOOKUP(A59,'Données projet'!$A$269:$I$289,9,0)</f>
        <v>16.348749999999995</v>
      </c>
      <c r="GT59" s="12">
        <f t="array" ref="GT59">INDEX(GS:GS,MIN(IF(ISNUMBER(GS59:GS255),ROW(GS59:GS255),"")))</f>
        <v>16.348749999999995</v>
      </c>
      <c r="GU59" s="12">
        <f>IF('Données projet'!$A$270&gt;35,GU58+GT59-HC58,IF(A59&lt;'Données projet'!$A$270,$GR$205^A59,IF(A59='Données projet'!$A$270,'Données projet'!$B$270,GU58+GT59-HC58)))</f>
        <v>562.74000000000012</v>
      </c>
      <c r="GV59" s="17">
        <f>GU59*VLOOKUP('Données projet'!$B$18,Paramètres!$A$1:$I$89,3,0)*VLOOKUP('Données projet'!$B$18,Paramètres!$A$1:$I$89,5,0)</f>
        <v>336.51852000000014</v>
      </c>
      <c r="GW59" s="13">
        <f t="shared" si="51"/>
        <v>78.780220306492936</v>
      </c>
      <c r="GX59" s="20">
        <f t="shared" si="28"/>
        <v>723.31197270047539</v>
      </c>
      <c r="GY59" s="59">
        <f t="shared" si="29"/>
        <v>986.71424590040965</v>
      </c>
      <c r="GZ59" s="59">
        <f ca="1">AVERAGE(OFFSET($GY$3,0,0,'Données projet'!$E$18+1,1))-AVERAGE(OFFSET($H$3,0,0,'Données projet'!$E$18+1,1))</f>
        <v>-15.950000000000017</v>
      </c>
      <c r="HA59" s="59">
        <f t="shared" si="52"/>
        <v>-15.950000000000017</v>
      </c>
      <c r="HB59" s="15">
        <f>IF(ISNA(VLOOKUP(A59,'Données projet'!$A$269:$I$289,3,0)),0,VLOOKUP(A59,'Données projet'!$A$269:$I$289,3,0))</f>
        <v>7</v>
      </c>
      <c r="HC59" s="15">
        <f>IF(ISNA(VLOOKUP(A59,'Données projet'!$A$269:$I$289,4,0)),0,VLOOKUP(A59,'Données projet'!$A$269:$I$289,4,0))</f>
        <v>562.74</v>
      </c>
      <c r="HD59" s="16">
        <f>IF(ISNA(VLOOKUP(A59,'Données projet'!$A$269:$I$289,5,0)),0%,VLOOKUP(A59,'Données projet'!$A$269:$I$289,5,0)*VLOOKUP('Données projet'!$B$18,Paramètres!$A$1:$I$89,7,0))</f>
        <v>0.315</v>
      </c>
      <c r="HE59" s="16">
        <f>IF(ISNA(VLOOKUP(A59,'Données projet'!$A$269:$I$289,6,0)),0%,VLOOKUP(A59,'Données projet'!$A$269:$I$289,6,0)*VLOOKUP('Données projet'!$B$18,Paramètres!$A$1:$I$89,7,0))</f>
        <v>0.13500000000000001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166.75931838903153</v>
      </c>
      <c r="HH59" s="21">
        <f>EXP(-LN(2)/25)*HH58+(1-EXP(-LN(2)/25))/(LN(2)/25)*Calculateur!HC59*Calculateur!HE59*VLOOKUP('Données projet'!$B$18,Paramètres!$A$1:$I$89,3,0)*0.475*44/12</f>
        <v>114.07967820452237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280.83899659355393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4.3499999999999996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15.949999999999998</v>
      </c>
      <c r="H60" s="67">
        <f t="shared" si="1"/>
        <v>192.86666666666667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12.324999999999998</v>
      </c>
      <c r="N60" s="13">
        <f>IF('Données projet'!$A$36&gt;35,N59+M60-V59,IF(A60&lt;'Données projet'!$A$36,$K$205^A60,IF(A60='Données projet'!$A$36,'Données projet'!$B$36,N59+M60-V59)))</f>
        <v>304.27499999999998</v>
      </c>
      <c r="O60" s="13">
        <f>N60*VLOOKUP('Données projet'!$B$9,Paramètres!$A$1:$I$89,3,0)*VLOOKUP('Données projet'!$B$9,Paramètres!$A$1:$I$89,5,0)</f>
        <v>265.81464</v>
      </c>
      <c r="P60" s="13">
        <f t="shared" si="33"/>
        <v>63.960224254172132</v>
      </c>
      <c r="Q60" s="20">
        <f t="shared" si="53"/>
        <v>574.35788857601642</v>
      </c>
      <c r="R60" s="59">
        <f t="shared" si="0"/>
        <v>838.27939875343941</v>
      </c>
      <c r="S60" s="59">
        <f ca="1">AVERAGE(OFFSET($R$3,0,0,'Données projet'!$E$9+1,1))-AVERAGE(OFFSET($H$3,0,0,'Données projet'!$E$9+1,1))</f>
        <v>433.46721010558042</v>
      </c>
      <c r="T60" s="59">
        <f t="shared" si="34"/>
        <v>306.18862295347509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29.675235611669034</v>
      </c>
      <c r="AA60" s="21">
        <f>EXP(-LN(2)/25)*AA59+(1-EXP(-LN(2)/25))/(LN(2)/25)*Calculateur!V60*Calculateur!X60*VLOOKUP('Données projet'!$B$9,Paramètres!$A$1:$I$89,3,0)*0.475*44/12</f>
        <v>15.541061307321186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45.216296918990224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1.1368683772161603E-13</v>
      </c>
      <c r="AJ60" s="13">
        <f>AI60*VLOOKUP('Données projet'!$B$10,Paramètres!$A$1:$I$89,3,0)*VLOOKUP('Données projet'!$B$10,Paramètres!$A$1:$I$89,5,0)</f>
        <v>6.7984728957526396E-14</v>
      </c>
      <c r="AK60" s="13">
        <f t="shared" si="35"/>
        <v>1.0682447123141398E-12</v>
      </c>
      <c r="AL60" s="20">
        <f t="shared" si="4"/>
        <v>1.978932943548152E-12</v>
      </c>
      <c r="AM60" s="59">
        <f t="shared" si="5"/>
        <v>263.92151017742492</v>
      </c>
      <c r="AN60" s="59">
        <f ca="1">AVERAGE(OFFSET($AM$3,0,0,'Données projet'!$E$10+1,1))-AVERAGE(OFFSET($H$3,0,0,'Données projet'!$E$10+1,1))</f>
        <v>400.1942260113168</v>
      </c>
      <c r="AO60" s="59">
        <f t="shared" si="36"/>
        <v>497.04866930593926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163.4892698685635</v>
      </c>
      <c r="AV60" s="21">
        <f>EXP(-LN(2)/25)*AV59+(1-EXP(-LN(2)/25))/(LN(2)/25)*Calculateur!AQ60*Calculateur!AS60*VLOOKUP('Données projet'!$B$10,Paramètres!$A$1:$I$89,3,0)*0.475*44/12</f>
        <v>110.96016340483015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274.44943327339365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284.78505691662588</v>
      </c>
      <c r="BJ60" s="59">
        <f t="shared" si="38"/>
        <v>664.42623058686308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380.64318988568527</v>
      </c>
      <c r="CE60" s="59">
        <f t="shared" si="40"/>
        <v>885.24651320439159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93.286036676578206</v>
      </c>
      <c r="CL60" s="21">
        <f>EXP(-LN(2)/25)*CL59+(1-EXP(-LN(2)/25))/(LN(2)/25)*Calculateur!CG60*Calculateur!CI60*VLOOKUP('Données projet'!$B$12,Paramètres!$A$1:$I$89,3,0)*0.475*44/12</f>
        <v>19.38301756193793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112.66905423851614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18.58285714285714</v>
      </c>
      <c r="CT60" s="12">
        <f>IF('Données projet'!$A$140&gt;35,CT59+CS60-DB59,IF(A60&lt;'Données projet'!$A$140,$CQ$205^A60,IF(A60='Données projet'!$A$140,'Données projet'!$B$140,CT59+CS60-DB59)))</f>
        <v>457.50285714285707</v>
      </c>
      <c r="CU60" s="17">
        <f>CT60*VLOOKUP('Données projet'!$B$13,Paramètres!$A$1:$I$89,3,0)*VLOOKUP('Données projet'!$B$13,Paramètres!$A$1:$I$89,5,0)</f>
        <v>255.74409714285713</v>
      </c>
      <c r="CV60" s="13">
        <f t="shared" si="41"/>
        <v>61.814321894325772</v>
      </c>
      <c r="CW60" s="20">
        <f t="shared" si="13"/>
        <v>553.08091315642685</v>
      </c>
      <c r="CX60" s="59">
        <f t="shared" si="14"/>
        <v>817.00242333384972</v>
      </c>
      <c r="CY60" s="59">
        <f ca="1">AVERAGE(OFFSET($CX$3,0,0,'Données projet'!$E$13+1,1))-AVERAGE(OFFSET($H$3,0,0,'Données projet'!$E$13+1,1))</f>
        <v>404.10467005188889</v>
      </c>
      <c r="CZ60" s="59">
        <f t="shared" si="42"/>
        <v>372.70490129557845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57.022622701985981</v>
      </c>
      <c r="DG60" s="21">
        <f>EXP(-LN(2)/25)*DG59+(1-EXP(-LN(2)/25))/(LN(2)/25)*Calculateur!DB60*Calculateur!DD60*VLOOKUP('Données projet'!$B$13,Paramètres!$A$1:$I$89,3,0)*0.475*44/12</f>
        <v>70.068073019858019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127.090695721844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3.1761666666666666</v>
      </c>
      <c r="DO60" s="12">
        <f>IF('Données projet'!$A$166&gt;35,DO59+DN60-DW59,IF(A60&lt;'Données projet'!$A$166,$DL$205^A60,IF(A60='Données projet'!$A$166,'Données projet'!$B$166,DO59+DN60-DW59)))</f>
        <v>181.04149999999976</v>
      </c>
      <c r="DP60" s="17">
        <f>DO60*VLOOKUP('Données projet'!$B$14,Paramètres!$A$1:$I$89,3,0)*VLOOKUP('Données projet'!$B$14,Paramètres!$A$1:$I$89,5,0)</f>
        <v>163.80634919999977</v>
      </c>
      <c r="DQ60" s="13">
        <f t="shared" si="43"/>
        <v>41.699869796803455</v>
      </c>
      <c r="DR60" s="20">
        <f t="shared" si="16"/>
        <v>357.92333141943232</v>
      </c>
      <c r="DS60" s="59">
        <f t="shared" si="17"/>
        <v>621.8448415968553</v>
      </c>
      <c r="DT60" s="59">
        <f ca="1">AVERAGE(OFFSET($DS$3,0,0,'Données projet'!$E$14+1,1))-AVERAGE(OFFSET($H$3,0,0,'Données projet'!$E$14+1,1))</f>
        <v>479.53113328461268</v>
      </c>
      <c r="DU60" s="59">
        <f t="shared" si="44"/>
        <v>244.6360664588118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2.2737367544323206E-13</v>
      </c>
      <c r="EK60" s="17">
        <f>EJ60*VLOOKUP('Données projet'!$B$15,Paramètres!$A$1:$I$89,3,0)*VLOOKUP('Données projet'!$B$15,Paramètres!$A$1:$I$89,5,0)</f>
        <v>1.0049916454590858E-13</v>
      </c>
      <c r="EL60" s="13">
        <f t="shared" si="45"/>
        <v>1.5089081593838289E-12</v>
      </c>
      <c r="EM60" s="20">
        <f t="shared" si="19"/>
        <v>2.8030510891776262E-12</v>
      </c>
      <c r="EN60" s="59">
        <f t="shared" si="20"/>
        <v>263.92151017742572</v>
      </c>
      <c r="EO60" s="59">
        <f ca="1">AVERAGE(OFFSET($EN$3,0,0,'Données projet'!$E$15+1,1))-AVERAGE(OFFSET($H$3,0,0,'Données projet'!$E$15+1,1))</f>
        <v>339.23049610652492</v>
      </c>
      <c r="EP60" s="59">
        <f t="shared" si="46"/>
        <v>448.85057640789785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175.15760287540473</v>
      </c>
      <c r="EW60" s="21">
        <f>EXP(-LN(2)/25)*EW59+(1-EXP(-LN(2)/25))/(LN(2)/25)*Calculateur!ER60*Calculateur!ET60*VLOOKUP('Données projet'!$B$15,Paramètres!$A$1:$I$89,3,0)*0.475*44/12</f>
        <v>127.58672658043575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302.7443294558405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12.883999999999997</v>
      </c>
      <c r="FE60" s="12">
        <f>IF('Données projet'!$A$218&gt;35,FE59+FD60-FM59,IF(A60&lt;'Données projet'!$A$218,$FB$205^A60,IF(A60='Données projet'!$A$218,'Données projet'!$B$218,FE59+FD60-FM59)))</f>
        <v>296.67400000000038</v>
      </c>
      <c r="FF60" s="17">
        <f>FE60*VLOOKUP('Données projet'!$B$16,Paramètres!$A$1:$I$89,3,0)*VLOOKUP('Données projet'!$B$16,Paramètres!$A$1:$I$89,5,0)</f>
        <v>138.84343200000018</v>
      </c>
      <c r="FG60" s="13">
        <f t="shared" si="47"/>
        <v>36.031924223793197</v>
      </c>
      <c r="FH60" s="20">
        <f t="shared" si="22"/>
        <v>304.57457875644008</v>
      </c>
      <c r="FI60" s="59">
        <f t="shared" si="23"/>
        <v>568.49608893386301</v>
      </c>
      <c r="FJ60" s="59">
        <f ca="1">AVERAGE(OFFSET($FI$3,0,0,'Données projet'!$E$16+1,1))-AVERAGE(OFFSET($H$3,0,0,'Données projet'!$E$16+1,1))</f>
        <v>365.63278362856033</v>
      </c>
      <c r="FK60" s="59">
        <f t="shared" si="48"/>
        <v>290.68267842697452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36.356926303902071</v>
      </c>
      <c r="FR60" s="21">
        <f>EXP(-LN(2)/25)*FR59+(1-EXP(-LN(2)/25))/(LN(2)/25)*Calculateur!FM60*Calculateur!FO60*VLOOKUP('Données projet'!$B$16,Paramètres!$A$1:$I$89,3,0)*0.475*44/12</f>
        <v>14.799769775645631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51.1566960795477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>
        <f>VLOOKUP(A60,'Données projet'!$A$243:$I$263,2,0)</f>
        <v>289.23</v>
      </c>
      <c r="FX60" s="12">
        <f>VLOOKUP(A60,'Données projet'!$A$243:$I$263,9,0)</f>
        <v>5.0742105263157899</v>
      </c>
      <c r="FY60" s="12">
        <f t="array" ref="FY60">INDEX(FX:FX,MIN(IF(ISNUMBER(FX60:FX256),ROW(FX60:FX256),"")))</f>
        <v>5.0742105263157899</v>
      </c>
      <c r="FZ60" s="12">
        <f>IF('Données projet'!$A$244&gt;35,FZ59+FY60-GH59,IF(A60&lt;'Données projet'!$A$244,$FW$205^A60,IF(A60='Données projet'!$A$244,'Données projet'!$B$244,FZ59+FY60-GH59)))</f>
        <v>289.23000000000008</v>
      </c>
      <c r="GA60" s="17">
        <f>FZ60*VLOOKUP('Données projet'!$B$17,Paramètres!$A$1:$I$89,3,0)*VLOOKUP('Données projet'!$B$17,Paramètres!$A$1:$I$89,5,0)</f>
        <v>248.1593400000001</v>
      </c>
      <c r="GB60" s="13">
        <f t="shared" si="49"/>
        <v>60.191621856567131</v>
      </c>
      <c r="GC60" s="20">
        <f t="shared" si="25"/>
        <v>537.04459190018781</v>
      </c>
      <c r="GD60" s="59">
        <f t="shared" si="26"/>
        <v>800.96610207761069</v>
      </c>
      <c r="GE60" s="59">
        <f ca="1">AVERAGE(OFFSET($GD$3,0,0,'Données projet'!$E$17+1,1))-AVERAGE(OFFSET($H$3,0,0,'Données projet'!$E$17+1,1))</f>
        <v>460.46300302025099</v>
      </c>
      <c r="GF60" s="59">
        <f t="shared" si="50"/>
        <v>340.22534554615879</v>
      </c>
      <c r="GG60" s="15">
        <f>IF(ISNA(VLOOKUP(A60,'Données projet'!$A$243:$I$263,3,0)),0,VLOOKUP(A60,'Données projet'!$A$243:$I$263,3,0))</f>
        <v>1</v>
      </c>
      <c r="GH60" s="15">
        <f>IF(ISNA(VLOOKUP(A60,'Données projet'!$A$243:$I$263,4,0)),0,VLOOKUP(A60,'Données projet'!$A$243:$I$263,4,0))</f>
        <v>141.91999999999999</v>
      </c>
      <c r="GI60" s="16">
        <f>IF(ISNA(VLOOKUP(A60,'Données projet'!$A$243:$I$263,5,0)),0%,VLOOKUP(A60,'Données projet'!$A$243:$I$263,5,0)*VLOOKUP('Données projet'!$B$17,Paramètres!$A$1:$I$89,7,0))</f>
        <v>0.159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21.403023338154131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21.403023338154131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61.978593684751715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1.1368683772161603E-13</v>
      </c>
      <c r="GV60" s="17">
        <f>GU60*VLOOKUP('Données projet'!$B$18,Paramètres!$A$1:$I$89,3,0)*VLOOKUP('Données projet'!$B$18,Paramètres!$A$1:$I$89,5,0)</f>
        <v>6.7984728957526396E-14</v>
      </c>
      <c r="GW60" s="13">
        <f t="shared" si="51"/>
        <v>1.0682447123141398E-12</v>
      </c>
      <c r="GX60" s="20">
        <f t="shared" si="28"/>
        <v>1.978932943548152E-12</v>
      </c>
      <c r="GY60" s="59">
        <f t="shared" si="29"/>
        <v>263.92151017742492</v>
      </c>
      <c r="GZ60" s="59">
        <f ca="1">AVERAGE(OFFSET($GY$3,0,0,'Données projet'!$E$18+1,1))-AVERAGE(OFFSET($H$3,0,0,'Données projet'!$E$18+1,1))</f>
        <v>-15.950000000000017</v>
      </c>
      <c r="HA60" s="59">
        <f t="shared" si="52"/>
        <v>-15.950000000000017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163.4892698685635</v>
      </c>
      <c r="HH60" s="21">
        <f>EXP(-LN(2)/25)*HH59+(1-EXP(-LN(2)/25))/(LN(2)/25)*Calculateur!HC60*Calculateur!HE60*VLOOKUP('Données projet'!$B$18,Paramètres!$A$1:$I$89,3,0)*0.475*44/12</f>
        <v>110.96016340483015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274.44943327339365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4.3499999999999996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15.949999999999998</v>
      </c>
      <c r="H61" s="67">
        <f t="shared" si="1"/>
        <v>192.86666666666667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12.324999999999998</v>
      </c>
      <c r="N61" s="13">
        <f>IF('Données projet'!$A$36&gt;35,N60+M61-V60,IF(A61&lt;'Données projet'!$A$36,$K$205^A61,IF(A61='Données projet'!$A$36,'Données projet'!$B$36,N60+M61-V60)))</f>
        <v>316.59999999999997</v>
      </c>
      <c r="O61" s="13">
        <f>N61*VLOOKUP('Données projet'!$B$9,Paramètres!$A$1:$I$89,3,0)*VLOOKUP('Données projet'!$B$9,Paramètres!$A$1:$I$89,5,0)</f>
        <v>276.58175999999997</v>
      </c>
      <c r="P61" s="13">
        <f t="shared" si="33"/>
        <v>66.244120909848903</v>
      </c>
      <c r="Q61" s="20">
        <f t="shared" si="53"/>
        <v>597.08840925132006</v>
      </c>
      <c r="R61" s="59">
        <f t="shared" si="0"/>
        <v>861.52014880551224</v>
      </c>
      <c r="S61" s="59">
        <f ca="1">AVERAGE(OFFSET($R$3,0,0,'Données projet'!$E$9+1,1))-AVERAGE(OFFSET($H$3,0,0,'Données projet'!$E$9+1,1))</f>
        <v>433.46721010558042</v>
      </c>
      <c r="T61" s="59">
        <f t="shared" si="34"/>
        <v>306.18862295347509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29.093322341430692</v>
      </c>
      <c r="AA61" s="21">
        <f>EXP(-LN(2)/25)*AA60+(1-EXP(-LN(2)/25))/(LN(2)/25)*Calculateur!V61*Calculateur!X61*VLOOKUP('Données projet'!$B$9,Paramètres!$A$1:$I$89,3,0)*0.475*44/12</f>
        <v>15.116090168603593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44.209412510034284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1.1368683772161603E-13</v>
      </c>
      <c r="AJ61" s="13">
        <f>AI61*VLOOKUP('Données projet'!$B$10,Paramètres!$A$1:$I$89,3,0)*VLOOKUP('Données projet'!$B$10,Paramètres!$A$1:$I$89,5,0)</f>
        <v>6.7984728957526396E-14</v>
      </c>
      <c r="AK61" s="13">
        <f t="shared" si="35"/>
        <v>1.0682447123141398E-12</v>
      </c>
      <c r="AL61" s="20">
        <f t="shared" si="4"/>
        <v>1.978932943548152E-12</v>
      </c>
      <c r="AM61" s="59">
        <f t="shared" si="5"/>
        <v>264.43173955419422</v>
      </c>
      <c r="AN61" s="59">
        <f ca="1">AVERAGE(OFFSET($AM$3,0,0,'Données projet'!$E$10+1,1))-AVERAGE(OFFSET($H$3,0,0,'Données projet'!$E$10+1,1))</f>
        <v>400.1942260113168</v>
      </c>
      <c r="AO61" s="59">
        <f t="shared" si="36"/>
        <v>497.04866930593926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160.2833450050492</v>
      </c>
      <c r="AV61" s="21">
        <f>EXP(-LN(2)/25)*AV60+(1-EXP(-LN(2)/25))/(LN(2)/25)*Calculateur!AQ61*Calculateur!AS61*VLOOKUP('Données projet'!$B$10,Paramètres!$A$1:$I$89,3,0)*0.475*44/12</f>
        <v>107.92595190138368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268.20929690643288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284.78505691662588</v>
      </c>
      <c r="BJ61" s="59">
        <f t="shared" si="38"/>
        <v>664.42623058686308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380.64318988568527</v>
      </c>
      <c r="CE61" s="59">
        <f t="shared" si="40"/>
        <v>885.24651320439159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91.456754396214578</v>
      </c>
      <c r="CL61" s="21">
        <f>EXP(-LN(2)/25)*CL60+(1-EXP(-LN(2)/25))/(LN(2)/25)*Calculateur!CG61*Calculateur!CI61*VLOOKUP('Données projet'!$B$12,Paramètres!$A$1:$I$89,3,0)*0.475*44/12</f>
        <v>18.852987927398143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110.30974232361272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18.58285714285714</v>
      </c>
      <c r="CT61" s="12">
        <f>IF('Données projet'!$A$140&gt;35,CT60+CS61-DB60,IF(A61&lt;'Données projet'!$A$140,$CQ$205^A61,IF(A61='Données projet'!$A$140,'Données projet'!$B$140,CT60+CS61-DB60)))</f>
        <v>476.08571428571423</v>
      </c>
      <c r="CU61" s="17">
        <f>CT61*VLOOKUP('Données projet'!$B$13,Paramètres!$A$1:$I$89,3,0)*VLOOKUP('Données projet'!$B$13,Paramètres!$A$1:$I$89,5,0)</f>
        <v>266.13191428571429</v>
      </c>
      <c r="CV61" s="13">
        <f t="shared" si="41"/>
        <v>64.027675737818726</v>
      </c>
      <c r="CW61" s="20">
        <f t="shared" si="13"/>
        <v>575.02795262431994</v>
      </c>
      <c r="CX61" s="59">
        <f t="shared" si="14"/>
        <v>839.45969217851211</v>
      </c>
      <c r="CY61" s="59">
        <f ca="1">AVERAGE(OFFSET($CX$3,0,0,'Données projet'!$E$13+1,1))-AVERAGE(OFFSET($H$3,0,0,'Données projet'!$E$13+1,1))</f>
        <v>404.10467005188889</v>
      </c>
      <c r="CZ61" s="59">
        <f t="shared" si="42"/>
        <v>372.70490129557845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55.90444385116561</v>
      </c>
      <c r="DG61" s="21">
        <f>EXP(-LN(2)/25)*DG60+(1-EXP(-LN(2)/25))/(LN(2)/25)*Calculateur!DB61*Calculateur!DD61*VLOOKUP('Données projet'!$B$13,Paramètres!$A$1:$I$89,3,0)*0.475*44/12</f>
        <v>68.15205787841019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124.0565017295758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3.1761666666666666</v>
      </c>
      <c r="DO61" s="12">
        <f>IF('Données projet'!$A$166&gt;35,DO60+DN61-DW60,IF(A61&lt;'Données projet'!$A$166,$DL$205^A61,IF(A61='Données projet'!$A$166,'Données projet'!$B$166,DO60+DN61-DW60)))</f>
        <v>184.21766666666642</v>
      </c>
      <c r="DP61" s="17">
        <f>DO61*VLOOKUP('Données projet'!$B$14,Paramètres!$A$1:$I$89,3,0)*VLOOKUP('Données projet'!$B$14,Paramètres!$A$1:$I$89,5,0)</f>
        <v>166.68014479999977</v>
      </c>
      <c r="DQ61" s="13">
        <f t="shared" si="43"/>
        <v>42.345635175855847</v>
      </c>
      <c r="DR61" s="20">
        <f t="shared" si="16"/>
        <v>364.05323345794847</v>
      </c>
      <c r="DS61" s="59">
        <f t="shared" si="17"/>
        <v>628.4849730121407</v>
      </c>
      <c r="DT61" s="59">
        <f ca="1">AVERAGE(OFFSET($DS$3,0,0,'Données projet'!$E$14+1,1))-AVERAGE(OFFSET($H$3,0,0,'Données projet'!$E$14+1,1))</f>
        <v>479.53113328461268</v>
      </c>
      <c r="DU61" s="59">
        <f t="shared" si="44"/>
        <v>244.6360664588118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2.2737367544323206E-13</v>
      </c>
      <c r="EK61" s="17">
        <f>EJ61*VLOOKUP('Données projet'!$B$15,Paramètres!$A$1:$I$89,3,0)*VLOOKUP('Données projet'!$B$15,Paramètres!$A$1:$I$89,5,0)</f>
        <v>1.0049916454590858E-13</v>
      </c>
      <c r="EL61" s="13">
        <f t="shared" si="45"/>
        <v>1.5089081593838289E-12</v>
      </c>
      <c r="EM61" s="20">
        <f t="shared" si="19"/>
        <v>2.8030510891776262E-12</v>
      </c>
      <c r="EN61" s="59">
        <f t="shared" si="20"/>
        <v>264.43173955419502</v>
      </c>
      <c r="EO61" s="59">
        <f ca="1">AVERAGE(OFFSET($EN$3,0,0,'Données projet'!$E$15+1,1))-AVERAGE(OFFSET($H$3,0,0,'Données projet'!$E$15+1,1))</f>
        <v>339.23049610652492</v>
      </c>
      <c r="EP61" s="59">
        <f t="shared" si="46"/>
        <v>448.85057640789785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171.72286911860667</v>
      </c>
      <c r="EW61" s="21">
        <f>EXP(-LN(2)/25)*EW60+(1-EXP(-LN(2)/25))/(LN(2)/25)*Calculateur!ER61*Calculateur!ET61*VLOOKUP('Données projet'!$B$15,Paramètres!$A$1:$I$89,3,0)*0.475*44/12</f>
        <v>124.09786083259939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295.82072995120609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12.883999999999997</v>
      </c>
      <c r="FE61" s="12">
        <f>IF('Données projet'!$A$218&gt;35,FE60+FD61-FM60,IF(A61&lt;'Données projet'!$A$218,$FB$205^A61,IF(A61='Données projet'!$A$218,'Données projet'!$B$218,FE60+FD61-FM60)))</f>
        <v>309.55800000000039</v>
      </c>
      <c r="FF61" s="17">
        <f>FE61*VLOOKUP('Données projet'!$B$16,Paramètres!$A$1:$I$89,3,0)*VLOOKUP('Données projet'!$B$16,Paramètres!$A$1:$I$89,5,0)</f>
        <v>144.87314400000017</v>
      </c>
      <c r="FG61" s="13">
        <f t="shared" si="47"/>
        <v>37.411141541504648</v>
      </c>
      <c r="FH61" s="20">
        <f t="shared" si="22"/>
        <v>317.47846398478754</v>
      </c>
      <c r="FI61" s="59">
        <f t="shared" si="23"/>
        <v>581.91020353897977</v>
      </c>
      <c r="FJ61" s="59">
        <f ca="1">AVERAGE(OFFSET($FI$3,0,0,'Données projet'!$E$16+1,1))-AVERAGE(OFFSET($H$3,0,0,'Données projet'!$E$16+1,1))</f>
        <v>365.63278362856033</v>
      </c>
      <c r="FK61" s="59">
        <f t="shared" si="48"/>
        <v>290.68267842697452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35.643989154617948</v>
      </c>
      <c r="FR61" s="21">
        <f>EXP(-LN(2)/25)*FR60+(1-EXP(-LN(2)/25))/(LN(2)/25)*Calculateur!FM61*Calculateur!FO61*VLOOKUP('Données projet'!$B$16,Paramètres!$A$1:$I$89,3,0)*0.475*44/12</f>
        <v>14.395069292844534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50.03905844746248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10.24444444444444</v>
      </c>
      <c r="FZ61" s="12">
        <f>IF('Données projet'!$A$244&gt;35,FZ60+FY61-GH60,IF(A61&lt;'Données projet'!$A$244,$FW$205^A61,IF(A61='Données projet'!$A$244,'Données projet'!$B$244,FZ60+FY61-GH60)))</f>
        <v>157.55444444444456</v>
      </c>
      <c r="GA61" s="17">
        <f>FZ61*VLOOKUP('Données projet'!$B$17,Paramètres!$A$1:$I$89,3,0)*VLOOKUP('Données projet'!$B$17,Paramètres!$A$1:$I$89,5,0)</f>
        <v>135.18171333333345</v>
      </c>
      <c r="GB61" s="13">
        <f t="shared" si="49"/>
        <v>35.190963887853293</v>
      </c>
      <c r="GC61" s="20">
        <f t="shared" si="25"/>
        <v>296.7324128269002</v>
      </c>
      <c r="GD61" s="59">
        <f t="shared" si="26"/>
        <v>561.16415238109244</v>
      </c>
      <c r="GE61" s="59">
        <f ca="1">AVERAGE(OFFSET($GD$3,0,0,'Données projet'!$E$17+1,1))-AVERAGE(OFFSET($H$3,0,0,'Données projet'!$E$17+1,1))</f>
        <v>460.46300302025099</v>
      </c>
      <c r="GF61" s="59">
        <f t="shared" si="50"/>
        <v>340.22534554615879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20.983323105048136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20.983323105048136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62.117747151143334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1.1368683772161603E-13</v>
      </c>
      <c r="GV61" s="17">
        <f>GU61*VLOOKUP('Données projet'!$B$18,Paramètres!$A$1:$I$89,3,0)*VLOOKUP('Données projet'!$B$18,Paramètres!$A$1:$I$89,5,0)</f>
        <v>6.7984728957526396E-14</v>
      </c>
      <c r="GW61" s="13">
        <f t="shared" si="51"/>
        <v>1.0682447123141398E-12</v>
      </c>
      <c r="GX61" s="20">
        <f t="shared" si="28"/>
        <v>1.978932943548152E-12</v>
      </c>
      <c r="GY61" s="59">
        <f t="shared" si="29"/>
        <v>264.43173955419422</v>
      </c>
      <c r="GZ61" s="59">
        <f ca="1">AVERAGE(OFFSET($GY$3,0,0,'Données projet'!$E$18+1,1))-AVERAGE(OFFSET($H$3,0,0,'Données projet'!$E$18+1,1))</f>
        <v>-15.950000000000017</v>
      </c>
      <c r="HA61" s="59">
        <f t="shared" si="52"/>
        <v>-15.950000000000017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160.2833450050492</v>
      </c>
      <c r="HH61" s="21">
        <f>EXP(-LN(2)/25)*HH60+(1-EXP(-LN(2)/25))/(LN(2)/25)*Calculateur!HC61*Calculateur!HE61*VLOOKUP('Données projet'!$B$18,Paramètres!$A$1:$I$89,3,0)*0.475*44/12</f>
        <v>107.92595190138368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268.20929690643288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4.3499999999999996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15.949999999999998</v>
      </c>
      <c r="H62" s="67">
        <f t="shared" si="1"/>
        <v>192.86666666666667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12.324999999999998</v>
      </c>
      <c r="N62" s="13">
        <f>IF('Données projet'!$A$36&gt;35,N61+M62-V61,IF(A62&lt;'Données projet'!$A$36,$K$205^A62,IF(A62='Données projet'!$A$36,'Données projet'!$B$36,N61+M62-V61)))</f>
        <v>328.92499999999995</v>
      </c>
      <c r="O62" s="13">
        <f>N62*VLOOKUP('Données projet'!$B$9,Paramètres!$A$1:$I$89,3,0)*VLOOKUP('Données projet'!$B$9,Paramètres!$A$1:$I$89,5,0)</f>
        <v>287.34887999999995</v>
      </c>
      <c r="P62" s="13">
        <f t="shared" si="33"/>
        <v>68.517689054473152</v>
      </c>
      <c r="Q62" s="20">
        <f t="shared" si="53"/>
        <v>619.80094110320726</v>
      </c>
      <c r="R62" s="59">
        <f t="shared" si="0"/>
        <v>884.73405869518388</v>
      </c>
      <c r="S62" s="59">
        <f ca="1">AVERAGE(OFFSET($R$3,0,0,'Données projet'!$E$9+1,1))-AVERAGE(OFFSET($H$3,0,0,'Données projet'!$E$9+1,1))</f>
        <v>433.46721010558042</v>
      </c>
      <c r="T62" s="59">
        <f t="shared" si="34"/>
        <v>306.18862295347509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28.522820035489673</v>
      </c>
      <c r="AA62" s="21">
        <f>EXP(-LN(2)/25)*AA61+(1-EXP(-LN(2)/25))/(LN(2)/25)*Calculateur!V62*Calculateur!X62*VLOOKUP('Données projet'!$B$9,Paramètres!$A$1:$I$89,3,0)*0.475*44/12</f>
        <v>14.702739888022494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43.225559923512165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1.1368683772161603E-13</v>
      </c>
      <c r="AJ62" s="13">
        <f>AI62*VLOOKUP('Données projet'!$B$10,Paramètres!$A$1:$I$89,3,0)*VLOOKUP('Données projet'!$B$10,Paramètres!$A$1:$I$89,5,0)</f>
        <v>6.7984728957526396E-14</v>
      </c>
      <c r="AK62" s="13">
        <f t="shared" si="35"/>
        <v>1.0682447123141398E-12</v>
      </c>
      <c r="AL62" s="20">
        <f t="shared" si="4"/>
        <v>1.978932943548152E-12</v>
      </c>
      <c r="AM62" s="59">
        <f t="shared" si="5"/>
        <v>264.93311759197854</v>
      </c>
      <c r="AN62" s="59">
        <f ca="1">AVERAGE(OFFSET($AM$3,0,0,'Données projet'!$E$10+1,1))-AVERAGE(OFFSET($H$3,0,0,'Données projet'!$E$10+1,1))</f>
        <v>400.1942260113168</v>
      </c>
      <c r="AO62" s="59">
        <f t="shared" si="36"/>
        <v>497.04866930593926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157.14028637268731</v>
      </c>
      <c r="AV62" s="21">
        <f>EXP(-LN(2)/25)*AV61+(1-EXP(-LN(2)/25))/(LN(2)/25)*Calculateur!AQ62*Calculateur!AS62*VLOOKUP('Données projet'!$B$10,Paramètres!$A$1:$I$89,3,0)*0.475*44/12</f>
        <v>104.97471107106121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262.11499744374851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284.78505691662588</v>
      </c>
      <c r="BJ62" s="59">
        <f t="shared" si="38"/>
        <v>664.42623058686308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380.64318988568527</v>
      </c>
      <c r="CE62" s="59">
        <f t="shared" si="40"/>
        <v>885.24651320439159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89.66334322561687</v>
      </c>
      <c r="CL62" s="21">
        <f>EXP(-LN(2)/25)*CL61+(1-EXP(-LN(2)/25))/(LN(2)/25)*Calculateur!CG62*Calculateur!CI62*VLOOKUP('Données projet'!$B$12,Paramètres!$A$1:$I$89,3,0)*0.475*44/12</f>
        <v>18.337451981087895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108.00079520670477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18.58285714285714</v>
      </c>
      <c r="CT62" s="12">
        <f>IF('Données projet'!$A$140&gt;35,CT61+CS62-DB61,IF(A62&lt;'Données projet'!$A$140,$CQ$205^A62,IF(A62='Données projet'!$A$140,'Données projet'!$B$140,CT61+CS62-DB61)))</f>
        <v>494.6685714285714</v>
      </c>
      <c r="CU62" s="17">
        <f>CT62*VLOOKUP('Données projet'!$B$13,Paramètres!$A$1:$I$89,3,0)*VLOOKUP('Données projet'!$B$13,Paramètres!$A$1:$I$89,5,0)</f>
        <v>276.51973142857139</v>
      </c>
      <c r="CV62" s="13">
        <f t="shared" si="41"/>
        <v>66.230993562988928</v>
      </c>
      <c r="CW62" s="20">
        <f t="shared" si="13"/>
        <v>596.95751269363416</v>
      </c>
      <c r="CX62" s="59">
        <f t="shared" si="14"/>
        <v>861.89063028561077</v>
      </c>
      <c r="CY62" s="59">
        <f ca="1">AVERAGE(OFFSET($CX$3,0,0,'Données projet'!$E$13+1,1))-AVERAGE(OFFSET($H$3,0,0,'Données projet'!$E$13+1,1))</f>
        <v>404.10467005188889</v>
      </c>
      <c r="CZ62" s="59">
        <f t="shared" si="42"/>
        <v>372.70490129557845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54.808191805588066</v>
      </c>
      <c r="DG62" s="21">
        <f>EXP(-LN(2)/25)*DG61+(1-EXP(-LN(2)/25))/(LN(2)/25)*Calculateur!DB62*Calculateur!DD62*VLOOKUP('Données projet'!$B$13,Paramètres!$A$1:$I$89,3,0)*0.475*44/12</f>
        <v>66.288436271764098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121.09662807735216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3.1761666666666666</v>
      </c>
      <c r="DO62" s="12">
        <f>IF('Données projet'!$A$166&gt;35,DO61+DN62-DW61,IF(A62&lt;'Données projet'!$A$166,$DL$205^A62,IF(A62='Données projet'!$A$166,'Données projet'!$B$166,DO61+DN62-DW61)))</f>
        <v>187.39383333333308</v>
      </c>
      <c r="DP62" s="17">
        <f>DO62*VLOOKUP('Données projet'!$B$14,Paramètres!$A$1:$I$89,3,0)*VLOOKUP('Données projet'!$B$14,Paramètres!$A$1:$I$89,5,0)</f>
        <v>169.55394039999976</v>
      </c>
      <c r="DQ62" s="13">
        <f t="shared" si="43"/>
        <v>42.990105802361853</v>
      </c>
      <c r="DR62" s="20">
        <f t="shared" si="16"/>
        <v>370.18088046911311</v>
      </c>
      <c r="DS62" s="59">
        <f t="shared" si="17"/>
        <v>635.11399806108966</v>
      </c>
      <c r="DT62" s="59">
        <f ca="1">AVERAGE(OFFSET($DS$3,0,0,'Données projet'!$E$14+1,1))-AVERAGE(OFFSET($H$3,0,0,'Données projet'!$E$14+1,1))</f>
        <v>479.53113328461268</v>
      </c>
      <c r="DU62" s="59">
        <f t="shared" si="44"/>
        <v>244.6360664588118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2.2737367544323206E-13</v>
      </c>
      <c r="EK62" s="17">
        <f>EJ62*VLOOKUP('Données projet'!$B$15,Paramètres!$A$1:$I$89,3,0)*VLOOKUP('Données projet'!$B$15,Paramètres!$A$1:$I$89,5,0)</f>
        <v>1.0049916454590858E-13</v>
      </c>
      <c r="EL62" s="13">
        <f t="shared" si="45"/>
        <v>1.5089081593838289E-12</v>
      </c>
      <c r="EM62" s="20">
        <f t="shared" si="19"/>
        <v>2.8030510891776262E-12</v>
      </c>
      <c r="EN62" s="59">
        <f t="shared" si="20"/>
        <v>264.93311759197934</v>
      </c>
      <c r="EO62" s="59">
        <f ca="1">AVERAGE(OFFSET($EN$3,0,0,'Données projet'!$E$15+1,1))-AVERAGE(OFFSET($H$3,0,0,'Données projet'!$E$15+1,1))</f>
        <v>339.23049610652492</v>
      </c>
      <c r="EP62" s="59">
        <f t="shared" si="46"/>
        <v>448.85057640789785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168.35548839579869</v>
      </c>
      <c r="EW62" s="21">
        <f>EXP(-LN(2)/25)*EW61+(1-EXP(-LN(2)/25))/(LN(2)/25)*Calculateur!ER62*Calculateur!ET62*VLOOKUP('Données projet'!$B$15,Paramètres!$A$1:$I$89,3,0)*0.475*44/12</f>
        <v>120.7043983021091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289.05988669790781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12.883999999999997</v>
      </c>
      <c r="FE62" s="12">
        <f>IF('Données projet'!$A$218&gt;35,FE61+FD62-FM61,IF(A62&lt;'Données projet'!$A$218,$FB$205^A62,IF(A62='Données projet'!$A$218,'Données projet'!$B$218,FE61+FD62-FM61)))</f>
        <v>322.44200000000041</v>
      </c>
      <c r="FF62" s="17">
        <f>FE62*VLOOKUP('Données projet'!$B$16,Paramètres!$A$1:$I$89,3,0)*VLOOKUP('Données projet'!$B$16,Paramètres!$A$1:$I$89,5,0)</f>
        <v>150.90285600000018</v>
      </c>
      <c r="FG62" s="13">
        <f t="shared" si="47"/>
        <v>38.783691171847273</v>
      </c>
      <c r="FH62" s="20">
        <f t="shared" si="22"/>
        <v>330.37073632430099</v>
      </c>
      <c r="FI62" s="59">
        <f t="shared" si="23"/>
        <v>595.3038539162776</v>
      </c>
      <c r="FJ62" s="59">
        <f ca="1">AVERAGE(OFFSET($FI$3,0,0,'Données projet'!$E$16+1,1))-AVERAGE(OFFSET($H$3,0,0,'Données projet'!$E$16+1,1))</f>
        <v>365.63278362856033</v>
      </c>
      <c r="FK62" s="59">
        <f t="shared" si="48"/>
        <v>290.68267842697452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34.945032267982562</v>
      </c>
      <c r="FR62" s="21">
        <f>EXP(-LN(2)/25)*FR61+(1-EXP(-LN(2)/25))/(LN(2)/25)*Calculateur!FM62*Calculateur!FO62*VLOOKUP('Données projet'!$B$16,Paramètres!$A$1:$I$89,3,0)*0.475*44/12</f>
        <v>14.001435366027906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48.946467634010467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10.24444444444444</v>
      </c>
      <c r="FZ62" s="12">
        <f>IF('Données projet'!$A$244&gt;35,FZ61+FY62-GH61,IF(A62&lt;'Données projet'!$A$244,$FW$205^A62,IF(A62='Données projet'!$A$244,'Données projet'!$B$244,FZ61+FY62-GH61)))</f>
        <v>167.798888888889</v>
      </c>
      <c r="GA62" s="17">
        <f>FZ62*VLOOKUP('Données projet'!$B$17,Paramètres!$A$1:$I$89,3,0)*VLOOKUP('Données projet'!$B$17,Paramètres!$A$1:$I$89,5,0)</f>
        <v>143.97144666666676</v>
      </c>
      <c r="GB62" s="13">
        <f t="shared" si="49"/>
        <v>37.205321707717708</v>
      </c>
      <c r="GC62" s="20">
        <f t="shared" si="25"/>
        <v>315.54953825205291</v>
      </c>
      <c r="GD62" s="59">
        <f t="shared" si="26"/>
        <v>580.48265584402952</v>
      </c>
      <c r="GE62" s="59">
        <f ca="1">AVERAGE(OFFSET($GD$3,0,0,'Données projet'!$E$17+1,1))-AVERAGE(OFFSET($H$3,0,0,'Données projet'!$E$17+1,1))</f>
        <v>460.46300302025099</v>
      </c>
      <c r="GF62" s="59">
        <f t="shared" si="50"/>
        <v>340.22534554615879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20.571852937521484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20.571852937521484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62.254486615993606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1.1368683772161603E-13</v>
      </c>
      <c r="GV62" s="17">
        <f>GU62*VLOOKUP('Données projet'!$B$18,Paramètres!$A$1:$I$89,3,0)*VLOOKUP('Données projet'!$B$18,Paramètres!$A$1:$I$89,5,0)</f>
        <v>6.7984728957526396E-14</v>
      </c>
      <c r="GW62" s="13">
        <f t="shared" si="51"/>
        <v>1.0682447123141398E-12</v>
      </c>
      <c r="GX62" s="20">
        <f t="shared" si="28"/>
        <v>1.978932943548152E-12</v>
      </c>
      <c r="GY62" s="59">
        <f t="shared" si="29"/>
        <v>264.93311759197854</v>
      </c>
      <c r="GZ62" s="59">
        <f ca="1">AVERAGE(OFFSET($GY$3,0,0,'Données projet'!$E$18+1,1))-AVERAGE(OFFSET($H$3,0,0,'Données projet'!$E$18+1,1))</f>
        <v>-15.950000000000017</v>
      </c>
      <c r="HA62" s="59">
        <f t="shared" si="52"/>
        <v>-15.950000000000017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157.14028637268731</v>
      </c>
      <c r="HH62" s="21">
        <f>EXP(-LN(2)/25)*HH61+(1-EXP(-LN(2)/25))/(LN(2)/25)*Calculateur!HC62*Calculateur!HE62*VLOOKUP('Données projet'!$B$18,Paramètres!$A$1:$I$89,3,0)*0.475*44/12</f>
        <v>104.97471107106121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262.11499744374851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4.3499999999999996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15.949999999999998</v>
      </c>
      <c r="H63" s="67">
        <f t="shared" si="1"/>
        <v>192.86666666666667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12.324999999999998</v>
      </c>
      <c r="N63" s="13">
        <f>IF('Données projet'!$A$36&gt;35,N62+M63-V62,IF(A63&lt;'Données projet'!$A$36,$K$205^A63,IF(A63='Données projet'!$A$36,'Données projet'!$B$36,N62+M63-V62)))</f>
        <v>341.24999999999994</v>
      </c>
      <c r="O63" s="13">
        <f>N63*VLOOKUP('Données projet'!$B$9,Paramètres!$A$1:$I$89,3,0)*VLOOKUP('Données projet'!$B$9,Paramètres!$A$1:$I$89,5,0)</f>
        <v>298.11599999999999</v>
      </c>
      <c r="P63" s="13">
        <f t="shared" si="33"/>
        <v>70.781360016116508</v>
      </c>
      <c r="Q63" s="20">
        <f t="shared" si="53"/>
        <v>642.49623536140291</v>
      </c>
      <c r="R63" s="59">
        <f t="shared" si="0"/>
        <v>907.9220332031216</v>
      </c>
      <c r="S63" s="59">
        <f ca="1">AVERAGE(OFFSET($R$3,0,0,'Données projet'!$E$9+1,1))-AVERAGE(OFFSET($H$3,0,0,'Données projet'!$E$9+1,1))</f>
        <v>433.46721010558042</v>
      </c>
      <c r="T63" s="59">
        <f t="shared" si="34"/>
        <v>306.18862295347509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27.963504931796113</v>
      </c>
      <c r="AA63" s="21">
        <f>EXP(-LN(2)/25)*AA62+(1-EXP(-LN(2)/25))/(LN(2)/25)*Calculateur!V63*Calculateur!X63*VLOOKUP('Données projet'!$B$9,Paramètres!$A$1:$I$89,3,0)*0.475*44/12</f>
        <v>14.300692692601032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42.264197624397141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1.1368683772161603E-13</v>
      </c>
      <c r="AJ63" s="13">
        <f>AI63*VLOOKUP('Données projet'!$B$10,Paramètres!$A$1:$I$89,3,0)*VLOOKUP('Données projet'!$B$10,Paramètres!$A$1:$I$89,5,0)</f>
        <v>6.7984728957526396E-14</v>
      </c>
      <c r="AK63" s="13">
        <f t="shared" si="35"/>
        <v>1.0682447123141398E-12</v>
      </c>
      <c r="AL63" s="20">
        <f t="shared" si="4"/>
        <v>1.978932943548152E-12</v>
      </c>
      <c r="AM63" s="59">
        <f t="shared" si="5"/>
        <v>265.42579784172074</v>
      </c>
      <c r="AN63" s="59">
        <f ca="1">AVERAGE(OFFSET($AM$3,0,0,'Données projet'!$E$10+1,1))-AVERAGE(OFFSET($H$3,0,0,'Données projet'!$E$10+1,1))</f>
        <v>400.1942260113168</v>
      </c>
      <c r="AO63" s="59">
        <f t="shared" si="36"/>
        <v>497.04866930593926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154.05886120302958</v>
      </c>
      <c r="AV63" s="21">
        <f>EXP(-LN(2)/25)*AV62+(1-EXP(-LN(2)/25))/(LN(2)/25)*Calculateur!AQ63*Calculateur!AS63*VLOOKUP('Données projet'!$B$10,Paramètres!$A$1:$I$89,3,0)*0.475*44/12</f>
        <v>102.10417207644291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256.16303327947247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284.78505691662588</v>
      </c>
      <c r="BJ63" s="59">
        <f t="shared" si="38"/>
        <v>664.42623058686308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380.64318988568527</v>
      </c>
      <c r="CE63" s="59">
        <f t="shared" si="40"/>
        <v>885.24651320439159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87.905099754201771</v>
      </c>
      <c r="CL63" s="21">
        <f>EXP(-LN(2)/25)*CL62+(1-EXP(-LN(2)/25))/(LN(2)/25)*Calculateur!CG63*Calculateur!CI63*VLOOKUP('Données projet'!$B$12,Paramètres!$A$1:$I$89,3,0)*0.475*44/12</f>
        <v>17.836013392340359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105.74111314654213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18.58285714285714</v>
      </c>
      <c r="CT63" s="12">
        <f>IF('Données projet'!$A$140&gt;35,CT62+CS63-DB62,IF(A63&lt;'Données projet'!$A$140,$CQ$205^A63,IF(A63='Données projet'!$A$140,'Données projet'!$B$140,CT62+CS63-DB62)))</f>
        <v>513.25142857142851</v>
      </c>
      <c r="CU63" s="17">
        <f>CT63*VLOOKUP('Données projet'!$B$13,Paramètres!$A$1:$I$89,3,0)*VLOOKUP('Données projet'!$B$13,Paramètres!$A$1:$I$89,5,0)</f>
        <v>286.90754857142855</v>
      </c>
      <c r="CV63" s="13">
        <f t="shared" si="41"/>
        <v>68.42469555259359</v>
      </c>
      <c r="CW63" s="20">
        <f t="shared" si="13"/>
        <v>618.87032518267199</v>
      </c>
      <c r="CX63" s="59">
        <f t="shared" si="14"/>
        <v>884.29612302439068</v>
      </c>
      <c r="CY63" s="59">
        <f ca="1">AVERAGE(OFFSET($CX$3,0,0,'Données projet'!$E$13+1,1))-AVERAGE(OFFSET($H$3,0,0,'Données projet'!$E$13+1,1))</f>
        <v>404.10467005188889</v>
      </c>
      <c r="CZ63" s="59">
        <f t="shared" si="42"/>
        <v>372.70490129557845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53.733436593976577</v>
      </c>
      <c r="DG63" s="21">
        <f>EXP(-LN(2)/25)*DG62+(1-EXP(-LN(2)/25))/(LN(2)/25)*Calculateur!DB63*Calculateur!DD63*VLOOKUP('Données projet'!$B$13,Paramètres!$A$1:$I$89,3,0)*0.475*44/12</f>
        <v>64.475775495955347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118.20921208993192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190.57</v>
      </c>
      <c r="DM63" s="12">
        <f>VLOOKUP(A63,'Données projet'!$A$165:$I$185,9,0)</f>
        <v>3.1761666666666666</v>
      </c>
      <c r="DN63" s="12">
        <f t="array" ref="DN63">INDEX(DM:DM,MIN(IF(ISNUMBER(DM63:DM259),ROW(DM63:DM259),"")))</f>
        <v>3.1761666666666666</v>
      </c>
      <c r="DO63" s="12">
        <f>IF('Données projet'!$A$166&gt;35,DO62+DN63-DW62,IF(A63&lt;'Données projet'!$A$166,$DL$205^A63,IF(A63='Données projet'!$A$166,'Données projet'!$B$166,DO62+DN63-DW62)))</f>
        <v>190.56999999999974</v>
      </c>
      <c r="DP63" s="17">
        <f>DO63*VLOOKUP('Données projet'!$B$14,Paramètres!$A$1:$I$89,3,0)*VLOOKUP('Données projet'!$B$14,Paramètres!$A$1:$I$89,5,0)</f>
        <v>172.42773599999975</v>
      </c>
      <c r="DQ63" s="13">
        <f t="shared" si="43"/>
        <v>43.633306153883723</v>
      </c>
      <c r="DR63" s="20">
        <f t="shared" si="16"/>
        <v>376.30631508468036</v>
      </c>
      <c r="DS63" s="59">
        <f t="shared" si="17"/>
        <v>641.73211292639917</v>
      </c>
      <c r="DT63" s="59">
        <f ca="1">AVERAGE(OFFSET($DS$3,0,0,'Données projet'!$E$14+1,1))-AVERAGE(OFFSET($H$3,0,0,'Données projet'!$E$14+1,1))</f>
        <v>479.53113328461268</v>
      </c>
      <c r="DU63" s="59">
        <f t="shared" si="44"/>
        <v>244.6360664588118</v>
      </c>
      <c r="DV63" s="15">
        <f>IF(ISNA(VLOOKUP(A63,'Données projet'!$A$165:$I$185,3,0)),0,VLOOKUP(A63,'Données projet'!$A$165:$I$185,3,0))</f>
        <v>1</v>
      </c>
      <c r="DW63" s="15">
        <f>IF(ISNA(VLOOKUP(A63,'Données projet'!$A$165:$I$185,4,0)),0,VLOOKUP(A63,'Données projet'!$A$165:$I$185,4,0))</f>
        <v>69.84</v>
      </c>
      <c r="DX63" s="16">
        <f>IF(ISNA(VLOOKUP(A63,'Données projet'!$A$165:$I$185,5,0)),0%,VLOOKUP(A63,'Données projet'!$A$165:$I$185,5,0)*VLOOKUP('Données projet'!$B$14,Paramètres!$A$1:$I$89,7,0))</f>
        <v>0.25800000000000001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18.022857087326233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18.022857087326233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2.2737367544323206E-13</v>
      </c>
      <c r="EK63" s="17">
        <f>EJ63*VLOOKUP('Données projet'!$B$15,Paramètres!$A$1:$I$89,3,0)*VLOOKUP('Données projet'!$B$15,Paramètres!$A$1:$I$89,5,0)</f>
        <v>1.0049916454590858E-13</v>
      </c>
      <c r="EL63" s="13">
        <f t="shared" si="45"/>
        <v>1.5089081593838289E-12</v>
      </c>
      <c r="EM63" s="20">
        <f t="shared" si="19"/>
        <v>2.8030510891776262E-12</v>
      </c>
      <c r="EN63" s="59">
        <f t="shared" si="20"/>
        <v>265.42579784172153</v>
      </c>
      <c r="EO63" s="59">
        <f ca="1">AVERAGE(OFFSET($EN$3,0,0,'Données projet'!$E$15+1,1))-AVERAGE(OFFSET($H$3,0,0,'Données projet'!$E$15+1,1))</f>
        <v>339.23049610652492</v>
      </c>
      <c r="EP63" s="59">
        <f t="shared" si="46"/>
        <v>448.85057640789785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165.05413995506552</v>
      </c>
      <c r="EW63" s="21">
        <f>EXP(-LN(2)/25)*EW62+(1-EXP(-LN(2)/25))/(LN(2)/25)*Calculateur!ER63*Calculateur!ET63*VLOOKUP('Données projet'!$B$15,Paramètres!$A$1:$I$89,3,0)*0.475*44/12</f>
        <v>117.4037301829695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282.45787013803499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12.883999999999997</v>
      </c>
      <c r="FE63" s="12">
        <f>IF('Données projet'!$A$218&gt;35,FE62+FD63-FM62,IF(A63&lt;'Données projet'!$A$218,$FB$205^A63,IF(A63='Données projet'!$A$218,'Données projet'!$B$218,FE62+FD63-FM62)))</f>
        <v>335.32600000000042</v>
      </c>
      <c r="FF63" s="17">
        <f>FE63*VLOOKUP('Données projet'!$B$16,Paramètres!$A$1:$I$89,3,0)*VLOOKUP('Données projet'!$B$16,Paramètres!$A$1:$I$89,5,0)</f>
        <v>156.9325680000002</v>
      </c>
      <c r="FG63" s="13">
        <f t="shared" si="47"/>
        <v>40.149870021630669</v>
      </c>
      <c r="FH63" s="20">
        <f t="shared" si="22"/>
        <v>343.25191288767377</v>
      </c>
      <c r="FI63" s="59">
        <f t="shared" si="23"/>
        <v>608.67771072939252</v>
      </c>
      <c r="FJ63" s="59">
        <f ca="1">AVERAGE(OFFSET($FI$3,0,0,'Données projet'!$E$16+1,1))-AVERAGE(OFFSET($H$3,0,0,'Données projet'!$E$16+1,1))</f>
        <v>365.63278362856033</v>
      </c>
      <c r="FK63" s="59">
        <f t="shared" si="48"/>
        <v>290.68267842697452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34.25978149957249</v>
      </c>
      <c r="FR63" s="21">
        <f>EXP(-LN(2)/25)*FR62+(1-EXP(-LN(2)/25))/(LN(2)/25)*Calculateur!FM63*Calculateur!FO63*VLOOKUP('Données projet'!$B$16,Paramètres!$A$1:$I$89,3,0)*0.475*44/12</f>
        <v>13.618565379640387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47.878346879212877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10.24444444444444</v>
      </c>
      <c r="FZ63" s="12">
        <f>IF('Données projet'!$A$244&gt;35,FZ62+FY63-GH62,IF(A63&lt;'Données projet'!$A$244,$FW$205^A63,IF(A63='Données projet'!$A$244,'Données projet'!$B$244,FZ62+FY63-GH62)))</f>
        <v>178.04333333333344</v>
      </c>
      <c r="GA63" s="17">
        <f>FZ63*VLOOKUP('Données projet'!$B$17,Paramètres!$A$1:$I$89,3,0)*VLOOKUP('Données projet'!$B$17,Paramètres!$A$1:$I$89,5,0)</f>
        <v>152.76118000000011</v>
      </c>
      <c r="GB63" s="13">
        <f t="shared" si="49"/>
        <v>39.205405992968778</v>
      </c>
      <c r="GC63" s="20">
        <f t="shared" si="25"/>
        <v>334.34180393775415</v>
      </c>
      <c r="GD63" s="59">
        <f t="shared" si="26"/>
        <v>599.7676017794729</v>
      </c>
      <c r="GE63" s="59">
        <f ca="1">AVERAGE(OFFSET($GD$3,0,0,'Données projet'!$E$17+1,1))-AVERAGE(OFFSET($H$3,0,0,'Données projet'!$E$17+1,1))</f>
        <v>460.46300302025099</v>
      </c>
      <c r="GF63" s="59">
        <f t="shared" si="50"/>
        <v>340.22534554615879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20.168451449008007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20.168451449008007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62.388853956832378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1.1368683772161603E-13</v>
      </c>
      <c r="GV63" s="17">
        <f>GU63*VLOOKUP('Données projet'!$B$18,Paramètres!$A$1:$I$89,3,0)*VLOOKUP('Données projet'!$B$18,Paramètres!$A$1:$I$89,5,0)</f>
        <v>6.7984728957526396E-14</v>
      </c>
      <c r="GW63" s="13">
        <f t="shared" si="51"/>
        <v>1.0682447123141398E-12</v>
      </c>
      <c r="GX63" s="20">
        <f t="shared" si="28"/>
        <v>1.978932943548152E-12</v>
      </c>
      <c r="GY63" s="59">
        <f t="shared" si="29"/>
        <v>265.42579784172074</v>
      </c>
      <c r="GZ63" s="59">
        <f ca="1">AVERAGE(OFFSET($GY$3,0,0,'Données projet'!$E$18+1,1))-AVERAGE(OFFSET($H$3,0,0,'Données projet'!$E$18+1,1))</f>
        <v>-15.950000000000017</v>
      </c>
      <c r="HA63" s="59">
        <f t="shared" si="52"/>
        <v>-15.950000000000017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154.05886120302958</v>
      </c>
      <c r="HH63" s="21">
        <f>EXP(-LN(2)/25)*HH62+(1-EXP(-LN(2)/25))/(LN(2)/25)*Calculateur!HC63*Calculateur!HE63*VLOOKUP('Données projet'!$B$18,Paramètres!$A$1:$I$89,3,0)*0.475*44/12</f>
        <v>102.10417207644291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256.16303327947247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4.3499999999999996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15.949999999999998</v>
      </c>
      <c r="H64" s="67">
        <f t="shared" si="1"/>
        <v>192.86666666666667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12.324999999999998</v>
      </c>
      <c r="N64" s="13">
        <f>IF('Données projet'!$A$36&gt;35,N63+M64-V63,IF(A64&lt;'Données projet'!$A$36,$K$205^A64,IF(A64='Données projet'!$A$36,'Données projet'!$B$36,N63+M64-V63)))</f>
        <v>353.57499999999993</v>
      </c>
      <c r="O64" s="13">
        <f>N64*VLOOKUP('Données projet'!$B$9,Paramètres!$A$1:$I$89,3,0)*VLOOKUP('Données projet'!$B$9,Paramètres!$A$1:$I$89,5,0)</f>
        <v>308.88311999999996</v>
      </c>
      <c r="P64" s="13">
        <f t="shared" si="33"/>
        <v>73.035532200167751</v>
      </c>
      <c r="Q64" s="20">
        <f t="shared" si="53"/>
        <v>665.17498591529204</v>
      </c>
      <c r="R64" s="59">
        <f t="shared" si="0"/>
        <v>931.08491710588783</v>
      </c>
      <c r="S64" s="59">
        <f ca="1">AVERAGE(OFFSET($R$3,0,0,'Données projet'!$E$9+1,1))-AVERAGE(OFFSET($H$3,0,0,'Données projet'!$E$9+1,1))</f>
        <v>433.46721010558042</v>
      </c>
      <c r="T64" s="59">
        <f t="shared" si="34"/>
        <v>306.18862295347509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27.415157656137453</v>
      </c>
      <c r="AA64" s="21">
        <f>EXP(-LN(2)/25)*AA63+(1-EXP(-LN(2)/25))/(LN(2)/25)*Calculateur!V64*Calculateur!X64*VLOOKUP('Données projet'!$B$9,Paramètres!$A$1:$I$89,3,0)*0.475*44/12</f>
        <v>13.909639498881113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41.324797155018565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265.90993119059783</v>
      </c>
      <c r="AN64" s="59">
        <f ca="1">AVERAGE(OFFSET($AM$3,0,0,'Données projet'!$E$10+1,1))-AVERAGE(OFFSET($H$3,0,0,'Données projet'!$E$10+1,1))</f>
        <v>400.1942260113168</v>
      </c>
      <c r="AO64" s="59">
        <f t="shared" si="36"/>
        <v>497.04866930593926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151.03786090146508</v>
      </c>
      <c r="AV64" s="21">
        <f>EXP(-LN(2)/25)*AV63+(1-EXP(-LN(2)/25))/(LN(2)/25)*Calculateur!AQ64*Calculateur!AS64*VLOOKUP('Données projet'!$B$10,Paramètres!$A$1:$I$89,3,0)*0.475*44/12</f>
        <v>99.312128121587534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250.34998902305261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284.78505691662588</v>
      </c>
      <c r="BJ64" s="59">
        <f t="shared" si="38"/>
        <v>664.42623058686308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380.64318988568527</v>
      </c>
      <c r="CE64" s="59">
        <f t="shared" si="40"/>
        <v>885.24651320439159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86.181334364838506</v>
      </c>
      <c r="CL64" s="21">
        <f>EXP(-LN(2)/25)*CL63+(1-EXP(-LN(2)/25))/(LN(2)/25)*Calculateur!CG64*Calculateur!CI64*VLOOKUP('Données projet'!$B$12,Paramètres!$A$1:$I$89,3,0)*0.475*44/12</f>
        <v>17.348286668171632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103.52962103301013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18.58285714285714</v>
      </c>
      <c r="CT64" s="12">
        <f>IF('Données projet'!$A$140&gt;35,CT63+CS64-DB63,IF(A64&lt;'Données projet'!$A$140,$CQ$205^A64,IF(A64='Données projet'!$A$140,'Données projet'!$B$140,CT63+CS64-DB63)))</f>
        <v>531.83428571428567</v>
      </c>
      <c r="CU64" s="17">
        <f>CT64*VLOOKUP('Données projet'!$B$13,Paramètres!$A$1:$I$89,3,0)*VLOOKUP('Données projet'!$B$13,Paramètres!$A$1:$I$89,5,0)</f>
        <v>297.29536571428571</v>
      </c>
      <c r="CV64" s="13">
        <f t="shared" si="41"/>
        <v>70.609169738501635</v>
      </c>
      <c r="CW64" s="20">
        <f t="shared" si="13"/>
        <v>640.7670659136046</v>
      </c>
      <c r="CX64" s="59">
        <f t="shared" si="14"/>
        <v>906.67699710420038</v>
      </c>
      <c r="CY64" s="59">
        <f ca="1">AVERAGE(OFFSET($CX$3,0,0,'Données projet'!$E$13+1,1))-AVERAGE(OFFSET($H$3,0,0,'Données projet'!$E$13+1,1))</f>
        <v>404.10467005188889</v>
      </c>
      <c r="CZ64" s="59">
        <f t="shared" si="42"/>
        <v>372.70490129557845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52.679756676528839</v>
      </c>
      <c r="DG64" s="21">
        <f>EXP(-LN(2)/25)*DG63+(1-EXP(-LN(2)/25))/(LN(2)/25)*Calculateur!DB64*Calculateur!DD64*VLOOKUP('Données projet'!$B$13,Paramètres!$A$1:$I$89,3,0)*0.475*44/12</f>
        <v>62.712682024384776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115.39243870091362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6.315555555555556</v>
      </c>
      <c r="DO64" s="12">
        <f>IF('Données projet'!$A$166&gt;35,DO63+DN64-DW63,IF(A64&lt;'Données projet'!$A$166,$DL$205^A64,IF(A64='Données projet'!$A$166,'Données projet'!$B$166,DO63+DN64-DW63)))</f>
        <v>127.0455555555553</v>
      </c>
      <c r="DP64" s="17">
        <f>DO64*VLOOKUP('Données projet'!$B$14,Paramètres!$A$1:$I$89,3,0)*VLOOKUP('Données projet'!$B$14,Paramètres!$A$1:$I$89,5,0)</f>
        <v>114.95081866666642</v>
      </c>
      <c r="DQ64" s="13">
        <f t="shared" si="43"/>
        <v>30.494430613080869</v>
      </c>
      <c r="DR64" s="20">
        <f t="shared" si="16"/>
        <v>253.31714249555986</v>
      </c>
      <c r="DS64" s="59">
        <f t="shared" si="17"/>
        <v>519.22707368615568</v>
      </c>
      <c r="DT64" s="59">
        <f ca="1">AVERAGE(OFFSET($DS$3,0,0,'Données projet'!$E$14+1,1))-AVERAGE(OFFSET($H$3,0,0,'Données projet'!$E$14+1,1))</f>
        <v>479.53113328461268</v>
      </c>
      <c r="DU64" s="59">
        <f t="shared" si="44"/>
        <v>244.6360664588118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17.669439852701135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17.669439852701135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2.2737367544323206E-13</v>
      </c>
      <c r="EK64" s="17">
        <f>EJ64*VLOOKUP('Données projet'!$B$15,Paramètres!$A$1:$I$89,3,0)*VLOOKUP('Données projet'!$B$15,Paramètres!$A$1:$I$89,5,0)</f>
        <v>1.0049916454590858E-13</v>
      </c>
      <c r="EL64" s="13">
        <f t="shared" si="45"/>
        <v>1.5089081593838289E-12</v>
      </c>
      <c r="EM64" s="20">
        <f t="shared" si="19"/>
        <v>2.8030510891776262E-12</v>
      </c>
      <c r="EN64" s="59">
        <f t="shared" si="20"/>
        <v>265.90993119059863</v>
      </c>
      <c r="EO64" s="59">
        <f ca="1">AVERAGE(OFFSET($EN$3,0,0,'Données projet'!$E$15+1,1))-AVERAGE(OFFSET($H$3,0,0,'Données projet'!$E$15+1,1))</f>
        <v>339.23049610652492</v>
      </c>
      <c r="EP64" s="59">
        <f t="shared" si="46"/>
        <v>448.85057640789785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161.81752894363143</v>
      </c>
      <c r="EW64" s="21">
        <f>EXP(-LN(2)/25)*EW63+(1-EXP(-LN(2)/25))/(LN(2)/25)*Calculateur!ER64*Calculateur!ET64*VLOOKUP('Données projet'!$B$15,Paramètres!$A$1:$I$89,3,0)*0.475*44/12</f>
        <v>114.19331900712235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276.01084795075377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>
        <f>VLOOKUP(A64,'Données projet'!$A$217:$I$237,2,0)</f>
        <v>348.21</v>
      </c>
      <c r="FC64" s="12">
        <f>VLOOKUP(A64,'Données projet'!$A$217:$I$237,9,0)</f>
        <v>12.883999999999997</v>
      </c>
      <c r="FD64" s="12">
        <f t="array" ref="FD64">INDEX(FC:FC,MIN(IF(ISNUMBER(FC64:FC260),ROW(FC64:FC260),"")))</f>
        <v>12.883999999999997</v>
      </c>
      <c r="FE64" s="12">
        <f>IF('Données projet'!$A$218&gt;35,FE63+FD64-FM63,IF(A64&lt;'Données projet'!$A$218,$FB$205^A64,IF(A64='Données projet'!$A$218,'Données projet'!$B$218,FE63+FD64-FM63)))</f>
        <v>348.21000000000043</v>
      </c>
      <c r="FF64" s="17">
        <f>FE64*VLOOKUP('Données projet'!$B$16,Paramètres!$A$1:$I$89,3,0)*VLOOKUP('Données projet'!$B$16,Paramètres!$A$1:$I$89,5,0)</f>
        <v>162.96228000000019</v>
      </c>
      <c r="FG64" s="13">
        <f t="shared" si="47"/>
        <v>41.509950889873885</v>
      </c>
      <c r="FH64" s="20">
        <f t="shared" si="22"/>
        <v>356.12246879986401</v>
      </c>
      <c r="FI64" s="59">
        <f t="shared" si="23"/>
        <v>622.03239999045991</v>
      </c>
      <c r="FJ64" s="59">
        <f ca="1">AVERAGE(OFFSET($FI$3,0,0,'Données projet'!$E$16+1,1))-AVERAGE(OFFSET($H$3,0,0,'Données projet'!$E$16+1,1))</f>
        <v>365.63278362856033</v>
      </c>
      <c r="FK64" s="59">
        <f t="shared" si="48"/>
        <v>290.68267842697452</v>
      </c>
      <c r="FL64" s="15">
        <f>IF(ISNA(VLOOKUP(A64,'Données projet'!$A$217:$I$237,3,0)),0,VLOOKUP(A64,'Données projet'!$A$217:$I$237,3,0))</f>
        <v>2</v>
      </c>
      <c r="FM64" s="15">
        <f>IF(ISNA(VLOOKUP(A64,'Données projet'!$A$217:$I$237,4,0)),0,VLOOKUP(A64,'Données projet'!$A$217:$I$237,4,0))</f>
        <v>100.2</v>
      </c>
      <c r="FN64" s="16">
        <f>IF(ISNA(VLOOKUP(A64,'Données projet'!$A$217:$I$237,5,0)),0%,VLOOKUP(A64,'Données projet'!$A$217:$I$237,5,0)*VLOOKUP('Données projet'!$B$16,Paramètres!$A$1:$I$89,7,0))</f>
        <v>0.38500000000000001</v>
      </c>
      <c r="FO64" s="16">
        <f>IF(ISNA(VLOOKUP(A64,'Données projet'!$A$217:$I$237,6,0)),0%,VLOOKUP(A64,'Données projet'!$A$217:$I$237,6,0)*VLOOKUP('Données projet'!$B$16,Paramètres!$A$1:$I$89,7,0))</f>
        <v>0.16500000000000001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57.537810515595091</v>
      </c>
      <c r="FR64" s="21">
        <f>EXP(-LN(2)/25)*FR63+(1-EXP(-LN(2)/25))/(LN(2)/25)*Calculateur!FM64*Calculateur!FO64*VLOOKUP('Données projet'!$B$16,Paramètres!$A$1:$I$89,3,0)*0.475*44/12</f>
        <v>23.469969041545411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81.007779557140509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10.24444444444444</v>
      </c>
      <c r="FZ64" s="12">
        <f>IF('Données projet'!$A$244&gt;35,FZ63+FY64-GH63,IF(A64&lt;'Données projet'!$A$244,$FW$205^A64,IF(A64='Données projet'!$A$244,'Données projet'!$B$244,FZ63+FY64-GH63)))</f>
        <v>188.28777777777788</v>
      </c>
      <c r="GA64" s="17">
        <f>FZ64*VLOOKUP('Données projet'!$B$17,Paramètres!$A$1:$I$89,3,0)*VLOOKUP('Données projet'!$B$17,Paramètres!$A$1:$I$89,5,0)</f>
        <v>161.55091333333345</v>
      </c>
      <c r="GB64" s="13">
        <f t="shared" si="49"/>
        <v>41.192131601309313</v>
      </c>
      <c r="GC64" s="20">
        <f t="shared" si="25"/>
        <v>353.11080326116945</v>
      </c>
      <c r="GD64" s="59">
        <f t="shared" si="26"/>
        <v>619.02073445176529</v>
      </c>
      <c r="GE64" s="59">
        <f ca="1">AVERAGE(OFFSET($GD$3,0,0,'Données projet'!$E$17+1,1))-AVERAGE(OFFSET($H$3,0,0,'Données projet'!$E$17+1,1))</f>
        <v>460.46300302025099</v>
      </c>
      <c r="GF64" s="59">
        <f t="shared" si="50"/>
        <v>340.22534554615879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19.772960417633669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19.772960417633669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62.520890324707956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1.1368683772161603E-13</v>
      </c>
      <c r="GV64" s="17">
        <f>GU64*VLOOKUP('Données projet'!$B$18,Paramètres!$A$1:$I$89,3,0)*VLOOKUP('Données projet'!$B$18,Paramètres!$A$1:$I$89,5,0)</f>
        <v>6.7984728957526396E-14</v>
      </c>
      <c r="GW64" s="13">
        <f t="shared" si="51"/>
        <v>1.0682447123141398E-12</v>
      </c>
      <c r="GX64" s="20">
        <f t="shared" si="28"/>
        <v>1.978932943548152E-12</v>
      </c>
      <c r="GY64" s="59">
        <f t="shared" si="29"/>
        <v>265.90993119059783</v>
      </c>
      <c r="GZ64" s="59">
        <f ca="1">AVERAGE(OFFSET($GY$3,0,0,'Données projet'!$E$18+1,1))-AVERAGE(OFFSET($H$3,0,0,'Données projet'!$E$18+1,1))</f>
        <v>-15.950000000000017</v>
      </c>
      <c r="HA64" s="59">
        <f t="shared" si="52"/>
        <v>-15.950000000000017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151.03786090146508</v>
      </c>
      <c r="HH64" s="21">
        <f>EXP(-LN(2)/25)*HH63+(1-EXP(-LN(2)/25))/(LN(2)/25)*Calculateur!HC64*Calculateur!HE64*VLOOKUP('Données projet'!$B$18,Paramètres!$A$1:$I$89,3,0)*0.475*44/12</f>
        <v>99.312128121587534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250.34998902305261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4.3499999999999996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15.949999999999998</v>
      </c>
      <c r="H65" s="67">
        <f t="shared" si="1"/>
        <v>192.86666666666667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365.9</v>
      </c>
      <c r="L65" s="12">
        <f>VLOOKUP(A65,'Données projet'!$A$35:$I$55,9,0)</f>
        <v>12.324999999999998</v>
      </c>
      <c r="M65" s="12">
        <f t="array" ref="M65">INDEX(L:L,MIN(IF(ISNUMBER(L65:L261),ROW(L65:L261),"")))</f>
        <v>12.324999999999998</v>
      </c>
      <c r="N65" s="13">
        <f>IF('Données projet'!$A$36&gt;35,N64+M65-V64,IF(A65&lt;'Données projet'!$A$36,$K$205^A65,IF(A65='Données projet'!$A$36,'Données projet'!$B$36,N64+M65-V64)))</f>
        <v>365.89999999999992</v>
      </c>
      <c r="O65" s="13">
        <f>N65*VLOOKUP('Données projet'!$B$9,Paramètres!$A$1:$I$89,3,0)*VLOOKUP('Données projet'!$B$9,Paramètres!$A$1:$I$89,5,0)</f>
        <v>319.65023999999994</v>
      </c>
      <c r="P65" s="13">
        <f t="shared" si="33"/>
        <v>75.280574661515132</v>
      </c>
      <c r="Q65" s="20">
        <f t="shared" si="53"/>
        <v>687.83783553547198</v>
      </c>
      <c r="R65" s="59">
        <f t="shared" si="0"/>
        <v>954.22350144370193</v>
      </c>
      <c r="S65" s="59">
        <f ca="1">AVERAGE(OFFSET($R$3,0,0,'Données projet'!$E$9+1,1))-AVERAGE(OFFSET($H$3,0,0,'Données projet'!$E$9+1,1))</f>
        <v>433.46721010558042</v>
      </c>
      <c r="T65" s="59">
        <f t="shared" si="34"/>
        <v>306.18862295347509</v>
      </c>
      <c r="U65" s="15">
        <f>IF(ISNA(VLOOKUP(A65,'Données projet'!$A$35:$I$55,3,0)),0,VLOOKUP(A65,'Données projet'!$A$35:$I$55,3,0))</f>
        <v>5</v>
      </c>
      <c r="V65" s="15">
        <f>IF(ISNA(VLOOKUP(A65,'Données projet'!$A$35:$I$55,4,0)),0,VLOOKUP(A65,'Données projet'!$A$35:$I$55,4,0))</f>
        <v>15.5</v>
      </c>
      <c r="W65" s="16">
        <f>IF(ISNA(VLOOKUP(A65,'Données projet'!$A$35:$I$55,5,0)),0%,VLOOKUP(A65,'Données projet'!$A$35:$I$55,5,0)*VLOOKUP('Données projet'!$B$9,Paramètres!$A$1:$I$89,7,0))</f>
        <v>0.25800000000000001</v>
      </c>
      <c r="X65" s="16">
        <f>IF(ISNA(VLOOKUP(A65,'Données projet'!$A$35:$I$55,6,0)),0%,VLOOKUP(A65,'Données projet'!$A$35:$I$55,6,0)*VLOOKUP('Données projet'!$B$9,Paramètres!$A$1:$I$89,7,0))</f>
        <v>0.129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30.739553091412027</v>
      </c>
      <c r="AA65" s="21">
        <f>EXP(-LN(2)/25)*AA64+(1-EXP(-LN(2)/25))/(LN(2)/25)*Calculateur!V65*Calculateur!X65*VLOOKUP('Données projet'!$B$9,Paramètres!$A$1:$I$89,3,0)*0.475*44/12</f>
        <v>15.452671589972439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46.192224681384467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266.385665908232</v>
      </c>
      <c r="AN65" s="59">
        <f ca="1">AVERAGE(OFFSET($AM$3,0,0,'Données projet'!$E$10+1,1))-AVERAGE(OFFSET($H$3,0,0,'Données projet'!$E$10+1,1))</f>
        <v>400.1942260113168</v>
      </c>
      <c r="AO65" s="59">
        <f t="shared" si="36"/>
        <v>497.04866930593926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148.07610057318601</v>
      </c>
      <c r="AV65" s="21">
        <f>EXP(-LN(2)/25)*AV64+(1-EXP(-LN(2)/25))/(LN(2)/25)*Calculateur!AQ65*Calculateur!AS65*VLOOKUP('Données projet'!$B$10,Paramètres!$A$1:$I$89,3,0)*0.475*44/12</f>
        <v>96.596432755504892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244.67253332869092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284.78505691662588</v>
      </c>
      <c r="BJ65" s="59">
        <f t="shared" si="38"/>
        <v>664.42623058686308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380.64318988568527</v>
      </c>
      <c r="CE65" s="59">
        <f t="shared" si="40"/>
        <v>885.24651320439159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84.491370963367586</v>
      </c>
      <c r="CL65" s="21">
        <f>EXP(-LN(2)/25)*CL64+(1-EXP(-LN(2)/25))/(LN(2)/25)*Calculateur!CG65*Calculateur!CI65*VLOOKUP('Données projet'!$B$12,Paramètres!$A$1:$I$89,3,0)*0.475*44/12</f>
        <v>16.873896856923732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101.36526782029132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18.58285714285714</v>
      </c>
      <c r="CT65" s="12">
        <f>IF('Données projet'!$A$140&gt;35,CT64+CS65-DB64,IF(A65&lt;'Données projet'!$A$140,$CQ$205^A65,IF(A65='Données projet'!$A$140,'Données projet'!$B$140,CT64+CS65-DB64)))</f>
        <v>550.41714285714284</v>
      </c>
      <c r="CU65" s="17">
        <f>CT65*VLOOKUP('Données projet'!$B$13,Paramètres!$A$1:$I$89,3,0)*VLOOKUP('Données projet'!$B$13,Paramètres!$A$1:$I$89,5,0)</f>
        <v>307.68318285714287</v>
      </c>
      <c r="CV65" s="13">
        <f t="shared" si="41"/>
        <v>72.784775498421325</v>
      </c>
      <c r="CW65" s="20">
        <f t="shared" si="13"/>
        <v>662.64836080260761</v>
      </c>
      <c r="CX65" s="59">
        <f t="shared" si="14"/>
        <v>929.03402671083768</v>
      </c>
      <c r="CY65" s="59">
        <f ca="1">AVERAGE(OFFSET($CX$3,0,0,'Données projet'!$E$13+1,1))-AVERAGE(OFFSET($H$3,0,0,'Données projet'!$E$13+1,1))</f>
        <v>404.10467005188889</v>
      </c>
      <c r="CZ65" s="59">
        <f t="shared" si="42"/>
        <v>372.70490129557845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51.646738779580964</v>
      </c>
      <c r="DG65" s="21">
        <f>EXP(-LN(2)/25)*DG64+(1-EXP(-LN(2)/25))/(LN(2)/25)*Calculateur!DB65*Calculateur!DD65*VLOOKUP('Données projet'!$B$13,Paramètres!$A$1:$I$89,3,0)*0.475*44/12</f>
        <v>60.997800436511362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112.64453921609233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6.315555555555556</v>
      </c>
      <c r="DO65" s="12">
        <f>IF('Données projet'!$A$166&gt;35,DO64+DN65-DW64,IF(A65&lt;'Données projet'!$A$166,$DL$205^A65,IF(A65='Données projet'!$A$166,'Données projet'!$B$166,DO64+DN65-DW64)))</f>
        <v>133.36111111111086</v>
      </c>
      <c r="DP65" s="17">
        <f>DO65*VLOOKUP('Données projet'!$B$14,Paramètres!$A$1:$I$89,3,0)*VLOOKUP('Données projet'!$B$14,Paramètres!$A$1:$I$89,5,0)</f>
        <v>120.66513333333309</v>
      </c>
      <c r="DQ65" s="13">
        <f t="shared" si="43"/>
        <v>31.83008078051953</v>
      </c>
      <c r="DR65" s="20">
        <f t="shared" si="16"/>
        <v>265.59583124829334</v>
      </c>
      <c r="DS65" s="59">
        <f t="shared" si="17"/>
        <v>531.98149715652335</v>
      </c>
      <c r="DT65" s="59">
        <f ca="1">AVERAGE(OFFSET($DS$3,0,0,'Données projet'!$E$14+1,1))-AVERAGE(OFFSET($H$3,0,0,'Données projet'!$E$14+1,1))</f>
        <v>479.53113328461268</v>
      </c>
      <c r="DU65" s="59">
        <f t="shared" si="44"/>
        <v>244.6360664588118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17.322952914483807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17.322952914483807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2.2737367544323206E-13</v>
      </c>
      <c r="EK65" s="17">
        <f>EJ65*VLOOKUP('Données projet'!$B$15,Paramètres!$A$1:$I$89,3,0)*VLOOKUP('Données projet'!$B$15,Paramètres!$A$1:$I$89,5,0)</f>
        <v>1.0049916454590858E-13</v>
      </c>
      <c r="EL65" s="13">
        <f t="shared" si="45"/>
        <v>1.5089081593838289E-12</v>
      </c>
      <c r="EM65" s="20">
        <f t="shared" si="19"/>
        <v>2.8030510891776262E-12</v>
      </c>
      <c r="EN65" s="59">
        <f t="shared" si="20"/>
        <v>266.3856659082328</v>
      </c>
      <c r="EO65" s="59">
        <f ca="1">AVERAGE(OFFSET($EN$3,0,0,'Données projet'!$E$15+1,1))-AVERAGE(OFFSET($H$3,0,0,'Données projet'!$E$15+1,1))</f>
        <v>339.23049610652492</v>
      </c>
      <c r="EP65" s="59">
        <f t="shared" si="46"/>
        <v>448.85057640789785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158.64438589999375</v>
      </c>
      <c r="EW65" s="21">
        <f>EXP(-LN(2)/25)*EW64+(1-EXP(-LN(2)/25))/(LN(2)/25)*Calculateur!ER65*Calculateur!ET65*VLOOKUP('Données projet'!$B$15,Paramètres!$A$1:$I$89,3,0)*0.475*44/12</f>
        <v>111.07069669370694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269.71508259370069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11.868333333333334</v>
      </c>
      <c r="FE65" s="12">
        <f>IF('Données projet'!$A$218&gt;35,FE64+FD65-FM64,IF(A65&lt;'Données projet'!$A$218,$FB$205^A65,IF(A65='Données projet'!$A$218,'Données projet'!$B$218,FE64+FD65-FM64)))</f>
        <v>259.87833333333379</v>
      </c>
      <c r="FF65" s="17">
        <f>FE65*VLOOKUP('Données projet'!$B$16,Paramètres!$A$1:$I$89,3,0)*VLOOKUP('Données projet'!$B$16,Paramètres!$A$1:$I$89,5,0)</f>
        <v>121.62306000000021</v>
      </c>
      <c r="FG65" s="13">
        <f t="shared" si="47"/>
        <v>32.053254884491679</v>
      </c>
      <c r="FH65" s="20">
        <f t="shared" si="22"/>
        <v>267.65291509049001</v>
      </c>
      <c r="FI65" s="59">
        <f t="shared" si="23"/>
        <v>534.03858099872002</v>
      </c>
      <c r="FJ65" s="59">
        <f ca="1">AVERAGE(OFFSET($FI$3,0,0,'Données projet'!$E$16+1,1))-AVERAGE(OFFSET($H$3,0,0,'Données projet'!$E$16+1,1))</f>
        <v>365.63278362856033</v>
      </c>
      <c r="FK65" s="59">
        <f t="shared" si="48"/>
        <v>290.68267842697452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56.409529145983385</v>
      </c>
      <c r="FR65" s="21">
        <f>EXP(-LN(2)/25)*FR64+(1-EXP(-LN(2)/25))/(LN(2)/25)*Calculateur!FM65*Calculateur!FO65*VLOOKUP('Données projet'!$B$16,Paramètres!$A$1:$I$89,3,0)*0.475*44/12</f>
        <v>22.828181503872322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79.2377106498557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10.24444444444444</v>
      </c>
      <c r="FZ65" s="12">
        <f>IF('Données projet'!$A$244&gt;35,FZ64+FY65-GH64,IF(A65&lt;'Données projet'!$A$244,$FW$205^A65,IF(A65='Données projet'!$A$244,'Données projet'!$B$244,FZ64+FY65-GH64)))</f>
        <v>198.53222222222232</v>
      </c>
      <c r="GA65" s="17">
        <f>FZ65*VLOOKUP('Données projet'!$B$17,Paramètres!$A$1:$I$89,3,0)*VLOOKUP('Données projet'!$B$17,Paramètres!$A$1:$I$89,5,0)</f>
        <v>170.34064666666677</v>
      </c>
      <c r="GB65" s="13">
        <f t="shared" si="49"/>
        <v>43.166308215984905</v>
      </c>
      <c r="GC65" s="20">
        <f t="shared" si="25"/>
        <v>371.85794642061836</v>
      </c>
      <c r="GD65" s="59">
        <f t="shared" si="26"/>
        <v>638.24361232884837</v>
      </c>
      <c r="GE65" s="59">
        <f ca="1">AVERAGE(OFFSET($GD$3,0,0,'Données projet'!$E$17+1,1))-AVERAGE(OFFSET($H$3,0,0,'Données projet'!$E$17+1,1))</f>
        <v>460.46300302025099</v>
      </c>
      <c r="GF65" s="59">
        <f t="shared" si="50"/>
        <v>340.22534554615879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19.385224724158871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19.385224724158871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62.65063615679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1.1368683772161603E-13</v>
      </c>
      <c r="GV65" s="17">
        <f>GU65*VLOOKUP('Données projet'!$B$18,Paramètres!$A$1:$I$89,3,0)*VLOOKUP('Données projet'!$B$18,Paramètres!$A$1:$I$89,5,0)</f>
        <v>6.7984728957526396E-14</v>
      </c>
      <c r="GW65" s="13">
        <f t="shared" si="51"/>
        <v>1.0682447123141398E-12</v>
      </c>
      <c r="GX65" s="20">
        <f t="shared" si="28"/>
        <v>1.978932943548152E-12</v>
      </c>
      <c r="GY65" s="59">
        <f t="shared" si="29"/>
        <v>266.385665908232</v>
      </c>
      <c r="GZ65" s="59">
        <f ca="1">AVERAGE(OFFSET($GY$3,0,0,'Données projet'!$E$18+1,1))-AVERAGE(OFFSET($H$3,0,0,'Données projet'!$E$18+1,1))</f>
        <v>-15.950000000000017</v>
      </c>
      <c r="HA65" s="59">
        <f t="shared" si="52"/>
        <v>-15.950000000000017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148.07610057318601</v>
      </c>
      <c r="HH65" s="21">
        <f>EXP(-LN(2)/25)*HH64+(1-EXP(-LN(2)/25))/(LN(2)/25)*Calculateur!HC65*Calculateur!HE65*VLOOKUP('Données projet'!$B$18,Paramètres!$A$1:$I$89,3,0)*0.475*44/12</f>
        <v>96.596432755504892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244.67253332869092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4.3499999999999996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15.949999999999998</v>
      </c>
      <c r="H66" s="67">
        <f t="shared" si="1"/>
        <v>192.86666666666667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11.53125</v>
      </c>
      <c r="N66" s="13">
        <f>IF('Données projet'!$A$36&gt;35,N65+M66-V65,IF(A66&lt;'Données projet'!$A$36,$K$205^A66,IF(A66='Données projet'!$A$36,'Données projet'!$B$36,N65+M66-V65)))</f>
        <v>361.93124999999992</v>
      </c>
      <c r="O66" s="13">
        <f>N66*VLOOKUP('Données projet'!$B$9,Paramètres!$A$1:$I$89,3,0)*VLOOKUP('Données projet'!$B$9,Paramètres!$A$1:$I$89,5,0)</f>
        <v>316.18313999999998</v>
      </c>
      <c r="P66" s="13">
        <f t="shared" si="33"/>
        <v>74.558627940302458</v>
      </c>
      <c r="Q66" s="20">
        <f t="shared" si="53"/>
        <v>680.54191249602673</v>
      </c>
      <c r="R66" s="59">
        <f t="shared" si="0"/>
        <v>947.39506018812335</v>
      </c>
      <c r="S66" s="59">
        <f ca="1">AVERAGE(OFFSET($R$3,0,0,'Données projet'!$E$9+1,1))-AVERAGE(OFFSET($H$3,0,0,'Données projet'!$E$9+1,1))</f>
        <v>433.46721010558042</v>
      </c>
      <c r="T66" s="59">
        <f t="shared" si="34"/>
        <v>306.18862295347509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30.136769204565486</v>
      </c>
      <c r="AA66" s="21">
        <f>EXP(-LN(2)/25)*AA65+(1-EXP(-LN(2)/25))/(LN(2)/25)*Calculateur!V66*Calculateur!X66*VLOOKUP('Données projet'!$B$9,Paramètres!$A$1:$I$89,3,0)*0.475*44/12</f>
        <v>15.030117472723962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45.166886677289448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266.85314769209867</v>
      </c>
      <c r="AN66" s="59">
        <f ca="1">AVERAGE(OFFSET($AM$3,0,0,'Données projet'!$E$10+1,1))-AVERAGE(OFFSET($H$3,0,0,'Données projet'!$E$10+1,1))</f>
        <v>400.1942260113168</v>
      </c>
      <c r="AO66" s="59">
        <f t="shared" si="36"/>
        <v>497.04866930593926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145.17241855844907</v>
      </c>
      <c r="AV66" s="21">
        <f>EXP(-LN(2)/25)*AV65+(1-EXP(-LN(2)/25))/(LN(2)/25)*Calculateur!AQ66*Calculateur!AS66*VLOOKUP('Données projet'!$B$10,Paramètres!$A$1:$I$89,3,0)*0.475*44/12</f>
        <v>93.954998222019981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239.12741678046905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284.78505691662588</v>
      </c>
      <c r="BJ66" s="59">
        <f t="shared" si="38"/>
        <v>664.42623058686308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380.64318988568527</v>
      </c>
      <c r="CE66" s="59">
        <f t="shared" si="40"/>
        <v>885.24651320439159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82.834546713423606</v>
      </c>
      <c r="CL66" s="21">
        <f>EXP(-LN(2)/25)*CL65+(1-EXP(-LN(2)/25))/(LN(2)/25)*Calculateur!CG66*Calculateur!CI66*VLOOKUP('Données projet'!$B$12,Paramètres!$A$1:$I$89,3,0)*0.475*44/12</f>
        <v>16.412479260011484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99.247025973435086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569</v>
      </c>
      <c r="CR66" s="12">
        <f>VLOOKUP(A66,'Données projet'!$A$139:$I$159,9,0)</f>
        <v>18.58285714285714</v>
      </c>
      <c r="CS66" s="12">
        <f t="array" ref="CS66">INDEX(CR:CR,MIN(IF(ISNUMBER(CR66:CR262),ROW(CR66:CR262),"")))</f>
        <v>18.58285714285714</v>
      </c>
      <c r="CT66" s="12">
        <f>IF('Données projet'!$A$140&gt;35,CT65+CS66-DB65,IF(A66&lt;'Données projet'!$A$140,$CQ$205^A66,IF(A66='Données projet'!$A$140,'Données projet'!$B$140,CT65+CS66-DB65)))</f>
        <v>569</v>
      </c>
      <c r="CU66" s="17">
        <f>CT66*VLOOKUP('Données projet'!$B$13,Paramètres!$A$1:$I$89,3,0)*VLOOKUP('Données projet'!$B$13,Paramètres!$A$1:$I$89,5,0)</f>
        <v>318.07099999999997</v>
      </c>
      <c r="CV66" s="13">
        <f t="shared" si="41"/>
        <v>74.951846567144685</v>
      </c>
      <c r="CW66" s="20">
        <f t="shared" si="13"/>
        <v>684.51479110444359</v>
      </c>
      <c r="CX66" s="59">
        <f t="shared" si="14"/>
        <v>951.36793879654033</v>
      </c>
      <c r="CY66" s="59">
        <f ca="1">AVERAGE(OFFSET($CX$3,0,0,'Données projet'!$E$13+1,1))-AVERAGE(OFFSET($H$3,0,0,'Données projet'!$E$13+1,1))</f>
        <v>404.10467005188889</v>
      </c>
      <c r="CZ66" s="59">
        <f t="shared" si="42"/>
        <v>372.70490129557845</v>
      </c>
      <c r="DA66" s="15">
        <f>IF(ISNA(VLOOKUP(A66,'Données projet'!$A$139:$I$159,3,0)),0,VLOOKUP(A66,'Données projet'!$A$139:$I$159,3,0))</f>
        <v>7</v>
      </c>
      <c r="DB66" s="15">
        <f>IF(ISNA(VLOOKUP(A66,'Données projet'!$A$139:$I$159,4,0)),0,VLOOKUP(A66,'Données projet'!$A$139:$I$159,4,0))</f>
        <v>99.49</v>
      </c>
      <c r="DC66" s="16">
        <f>IF(ISNA(VLOOKUP(A66,'Données projet'!$A$139:$I$159,5,0)),0%,VLOOKUP(A66,'Données projet'!$A$139:$I$159,5,0)*VLOOKUP('Données projet'!$B$13,Paramètres!$A$1:$I$89,7,0))</f>
        <v>0.38500000000000001</v>
      </c>
      <c r="DD66" s="16">
        <f>IF(ISNA(VLOOKUP(A66,'Données projet'!$A$139:$I$159,6,0)),0%,VLOOKUP(A66,'Données projet'!$A$139:$I$159,6,0)*VLOOKUP('Données projet'!$B$13,Paramètres!$A$1:$I$89,7,0))</f>
        <v>0.16500000000000001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79.038031410924106</v>
      </c>
      <c r="DG66" s="21">
        <f>EXP(-LN(2)/25)*DG65+(1-EXP(-LN(2)/25))/(LN(2)/25)*Calculateur!DB66*Calculateur!DD66*VLOOKUP('Données projet'!$B$13,Paramètres!$A$1:$I$89,3,0)*0.475*44/12</f>
        <v>71.455047845249908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150.49307925617401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6.315555555555556</v>
      </c>
      <c r="DO66" s="12">
        <f>IF('Données projet'!$A$166&gt;35,DO65+DN66-DW65,IF(A66&lt;'Données projet'!$A$166,$DL$205^A66,IF(A66='Données projet'!$A$166,'Données projet'!$B$166,DO65+DN66-DW65)))</f>
        <v>139.67666666666642</v>
      </c>
      <c r="DP66" s="17">
        <f>DO66*VLOOKUP('Données projet'!$B$14,Paramètres!$A$1:$I$89,3,0)*VLOOKUP('Données projet'!$B$14,Paramètres!$A$1:$I$89,5,0)</f>
        <v>126.37944799999977</v>
      </c>
      <c r="DQ66" s="13">
        <f t="shared" si="43"/>
        <v>33.158385757669635</v>
      </c>
      <c r="DR66" s="20">
        <f t="shared" si="16"/>
        <v>277.86172712794087</v>
      </c>
      <c r="DS66" s="59">
        <f t="shared" si="17"/>
        <v>544.71487482003749</v>
      </c>
      <c r="DT66" s="59">
        <f ca="1">AVERAGE(OFFSET($DS$3,0,0,'Données projet'!$E$14+1,1))-AVERAGE(OFFSET($H$3,0,0,'Données projet'!$E$14+1,1))</f>
        <v>479.53113328461268</v>
      </c>
      <c r="DU66" s="59">
        <f t="shared" si="44"/>
        <v>244.6360664588118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16.983260373788756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16.983260373788756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2.2737367544323206E-13</v>
      </c>
      <c r="EK66" s="17">
        <f>EJ66*VLOOKUP('Données projet'!$B$15,Paramètres!$A$1:$I$89,3,0)*VLOOKUP('Données projet'!$B$15,Paramètres!$A$1:$I$89,5,0)</f>
        <v>1.0049916454590858E-13</v>
      </c>
      <c r="EL66" s="13">
        <f t="shared" si="45"/>
        <v>1.5089081593838289E-12</v>
      </c>
      <c r="EM66" s="20">
        <f t="shared" si="19"/>
        <v>2.8030510891776262E-12</v>
      </c>
      <c r="EN66" s="59">
        <f t="shared" si="20"/>
        <v>266.85314769209947</v>
      </c>
      <c r="EO66" s="59">
        <f ca="1">AVERAGE(OFFSET($EN$3,0,0,'Données projet'!$E$15+1,1))-AVERAGE(OFFSET($H$3,0,0,'Données projet'!$E$15+1,1))</f>
        <v>339.23049610652492</v>
      </c>
      <c r="EP66" s="59">
        <f t="shared" si="46"/>
        <v>448.85057640789785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155.53346625601566</v>
      </c>
      <c r="EW66" s="21">
        <f>EXP(-LN(2)/25)*EW65+(1-EXP(-LN(2)/25))/(LN(2)/25)*Calculateur!ER66*Calculateur!ET66*VLOOKUP('Données projet'!$B$15,Paramètres!$A$1:$I$89,3,0)*0.475*44/12</f>
        <v>108.03346265166344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263.56692890767908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11.868333333333334</v>
      </c>
      <c r="FE66" s="12">
        <f>IF('Données projet'!$A$218&gt;35,FE65+FD66-FM65,IF(A66&lt;'Données projet'!$A$218,$FB$205^A66,IF(A66='Données projet'!$A$218,'Données projet'!$B$218,FE65+FD66-FM65)))</f>
        <v>271.74666666666712</v>
      </c>
      <c r="FF66" s="17">
        <f>FE66*VLOOKUP('Données projet'!$B$16,Paramètres!$A$1:$I$89,3,0)*VLOOKUP('Données projet'!$B$16,Paramètres!$A$1:$I$89,5,0)</f>
        <v>127.1774400000002</v>
      </c>
      <c r="FG66" s="13">
        <f t="shared" si="47"/>
        <v>33.34331769365982</v>
      </c>
      <c r="FH66" s="20">
        <f t="shared" si="22"/>
        <v>279.57365298312453</v>
      </c>
      <c r="FI66" s="59">
        <f t="shared" si="23"/>
        <v>546.42680067522122</v>
      </c>
      <c r="FJ66" s="59">
        <f ca="1">AVERAGE(OFFSET($FI$3,0,0,'Données projet'!$E$16+1,1))-AVERAGE(OFFSET($H$3,0,0,'Données projet'!$E$16+1,1))</f>
        <v>365.63278362856033</v>
      </c>
      <c r="FK66" s="59">
        <f t="shared" si="48"/>
        <v>290.68267842697452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55.303372685846078</v>
      </c>
      <c r="FR66" s="21">
        <f>EXP(-LN(2)/25)*FR65+(1-EXP(-LN(2)/25))/(LN(2)/25)*Calculateur!FM66*Calculateur!FO66*VLOOKUP('Données projet'!$B$16,Paramètres!$A$1:$I$89,3,0)*0.475*44/12</f>
        <v>22.203943680167043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77.507316366013129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10.24444444444444</v>
      </c>
      <c r="FZ66" s="12">
        <f>IF('Données projet'!$A$244&gt;35,FZ65+FY66-GH65,IF(A66&lt;'Données projet'!$A$244,$FW$205^A66,IF(A66='Données projet'!$A$244,'Données projet'!$B$244,FZ65+FY66-GH65)))</f>
        <v>208.77666666666676</v>
      </c>
      <c r="GA66" s="17">
        <f>FZ66*VLOOKUP('Données projet'!$B$17,Paramètres!$A$1:$I$89,3,0)*VLOOKUP('Données projet'!$B$17,Paramètres!$A$1:$I$89,5,0)</f>
        <v>179.13038000000009</v>
      </c>
      <c r="GB66" s="13">
        <f t="shared" si="49"/>
        <v>45.128657239721434</v>
      </c>
      <c r="GC66" s="20">
        <f t="shared" si="25"/>
        <v>390.58448985918159</v>
      </c>
      <c r="GD66" s="59">
        <f t="shared" si="26"/>
        <v>657.43763755127827</v>
      </c>
      <c r="GE66" s="59">
        <f ca="1">AVERAGE(OFFSET($GD$3,0,0,'Données projet'!$E$17+1,1))-AVERAGE(OFFSET($H$3,0,0,'Données projet'!$E$17+1,1))</f>
        <v>460.46300302025099</v>
      </c>
      <c r="GF66" s="59">
        <f t="shared" si="50"/>
        <v>340.22534554615879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19.005092291137693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19.005092291137693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62.778131188753633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1.1368683772161603E-13</v>
      </c>
      <c r="GV66" s="17">
        <f>GU66*VLOOKUP('Données projet'!$B$18,Paramètres!$A$1:$I$89,3,0)*VLOOKUP('Données projet'!$B$18,Paramètres!$A$1:$I$89,5,0)</f>
        <v>6.7984728957526396E-14</v>
      </c>
      <c r="GW66" s="13">
        <f t="shared" si="51"/>
        <v>1.0682447123141398E-12</v>
      </c>
      <c r="GX66" s="20">
        <f t="shared" si="28"/>
        <v>1.978932943548152E-12</v>
      </c>
      <c r="GY66" s="59">
        <f t="shared" si="29"/>
        <v>266.85314769209867</v>
      </c>
      <c r="GZ66" s="59">
        <f ca="1">AVERAGE(OFFSET($GY$3,0,0,'Données projet'!$E$18+1,1))-AVERAGE(OFFSET($H$3,0,0,'Données projet'!$E$18+1,1))</f>
        <v>-15.950000000000017</v>
      </c>
      <c r="HA66" s="59">
        <f t="shared" si="52"/>
        <v>-15.950000000000017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145.17241855844907</v>
      </c>
      <c r="HH66" s="21">
        <f>EXP(-LN(2)/25)*HH65+(1-EXP(-LN(2)/25))/(LN(2)/25)*Calculateur!HC66*Calculateur!HE66*VLOOKUP('Données projet'!$B$18,Paramètres!$A$1:$I$89,3,0)*0.475*44/12</f>
        <v>93.954998222019981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239.12741678046905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4.3499999999999996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15.949999999999998</v>
      </c>
      <c r="H67" s="67">
        <f t="shared" si="1"/>
        <v>192.86666666666667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11.53125</v>
      </c>
      <c r="N67" s="13">
        <f>IF('Données projet'!$A$36&gt;35,N66+M67-V66,IF(A67&lt;'Données projet'!$A$36,$K$205^A67,IF(A67='Données projet'!$A$36,'Données projet'!$B$36,N66+M67-V66)))</f>
        <v>373.46249999999992</v>
      </c>
      <c r="O67" s="13">
        <f>N67*VLOOKUP('Données projet'!$B$9,Paramètres!$A$1:$I$89,3,0)*VLOOKUP('Données projet'!$B$9,Paramètres!$A$1:$I$89,5,0)</f>
        <v>326.25683999999995</v>
      </c>
      <c r="P67" s="13">
        <f t="shared" si="33"/>
        <v>76.653740110766279</v>
      </c>
      <c r="Q67" s="20">
        <f t="shared" ref="Q67:Q98" si="54">(O67+P67)*0.475*44/12</f>
        <v>701.73592702625103</v>
      </c>
      <c r="R67" s="59">
        <f t="shared" ref="R67:R130" si="55">Q67+(I67+J67)*44/12</f>
        <v>969.04844673839693</v>
      </c>
      <c r="S67" s="59">
        <f ca="1">AVERAGE(OFFSET($R$3,0,0,'Données projet'!$E$9+1,1))-AVERAGE(OFFSET($H$3,0,0,'Données projet'!$E$9+1,1))</f>
        <v>433.46721010558042</v>
      </c>
      <c r="T67" s="59">
        <f t="shared" si="34"/>
        <v>306.18862295347509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29.545805542078138</v>
      </c>
      <c r="AA67" s="21">
        <f>EXP(-LN(2)/25)*AA66+(1-EXP(-LN(2)/25))/(LN(2)/25)*Calculateur!V67*Calculateur!X67*VLOOKUP('Données projet'!$B$9,Paramètres!$A$1:$I$89,3,0)*0.475*44/12</f>
        <v>14.6191181200328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44.164923662110937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267.31251971214795</v>
      </c>
      <c r="AN67" s="59">
        <f ca="1">AVERAGE(OFFSET($AM$3,0,0,'Données projet'!$E$10+1,1))-AVERAGE(OFFSET($H$3,0,0,'Données projet'!$E$10+1,1))</f>
        <v>400.1942260113168</v>
      </c>
      <c r="AO67" s="59">
        <f t="shared" si="36"/>
        <v>497.04866930593926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142.32567597694998</v>
      </c>
      <c r="AV67" s="21">
        <f>EXP(-LN(2)/25)*AV66+(1-EXP(-LN(2)/25))/(LN(2)/25)*Calculateur!AQ67*Calculateur!AS67*VLOOKUP('Données projet'!$B$10,Paramètres!$A$1:$I$89,3,0)*0.475*44/12</f>
        <v>91.385793854760223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233.71146983171019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284.78505691662588</v>
      </c>
      <c r="BJ67" s="59">
        <f t="shared" si="38"/>
        <v>664.42623058686308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380.64318988568527</v>
      </c>
      <c r="CE67" s="59">
        <f t="shared" si="40"/>
        <v>885.24651320439159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81.210211776458024</v>
      </c>
      <c r="CL67" s="21">
        <f>EXP(-LN(2)/25)*CL66+(1-EXP(-LN(2)/25))/(LN(2)/25)*Calculateur!CG67*Calculateur!CI67*VLOOKUP('Données projet'!$B$12,Paramètres!$A$1:$I$89,3,0)*0.475*44/12</f>
        <v>15.963679151551696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97.173890928009726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16.649999999999995</v>
      </c>
      <c r="CT67" s="12">
        <f>IF('Données projet'!$A$140&gt;35,CT66+CS67-DB66,IF(A67&lt;'Données projet'!$A$140,$CQ$205^A67,IF(A67='Données projet'!$A$140,'Données projet'!$B$140,CT66+CS67-DB66)))</f>
        <v>486.15999999999997</v>
      </c>
      <c r="CU67" s="17">
        <f>CT67*VLOOKUP('Données projet'!$B$13,Paramètres!$A$1:$I$89,3,0)*VLOOKUP('Données projet'!$B$13,Paramètres!$A$1:$I$89,5,0)</f>
        <v>271.76343999999995</v>
      </c>
      <c r="CV67" s="13">
        <f t="shared" si="41"/>
        <v>65.223373848342817</v>
      </c>
      <c r="CW67" s="20">
        <f t="shared" si="13"/>
        <v>586.91870078586362</v>
      </c>
      <c r="CX67" s="59">
        <f t="shared" si="14"/>
        <v>854.23122049800963</v>
      </c>
      <c r="CY67" s="59">
        <f ca="1">AVERAGE(OFFSET($CX$3,0,0,'Données projet'!$E$13+1,1))-AVERAGE(OFFSET($H$3,0,0,'Données projet'!$E$13+1,1))</f>
        <v>404.10467005188889</v>
      </c>
      <c r="CZ67" s="59">
        <f t="shared" si="42"/>
        <v>372.70490129557845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77.48814382339485</v>
      </c>
      <c r="DG67" s="21">
        <f>EXP(-LN(2)/25)*DG66+(1-EXP(-LN(2)/25))/(LN(2)/25)*Calculateur!DB67*Calculateur!DD67*VLOOKUP('Données projet'!$B$13,Paramètres!$A$1:$I$89,3,0)*0.475*44/12</f>
        <v>69.501105804263901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146.98924962765875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6.315555555555556</v>
      </c>
      <c r="DO67" s="12">
        <f>IF('Données projet'!$A$166&gt;35,DO66+DN67-DW66,IF(A67&lt;'Données projet'!$A$166,$DL$205^A67,IF(A67='Données projet'!$A$166,'Données projet'!$B$166,DO66+DN67-DW66)))</f>
        <v>145.99222222222198</v>
      </c>
      <c r="DP67" s="17">
        <f>DO67*VLOOKUP('Données projet'!$B$14,Paramètres!$A$1:$I$89,3,0)*VLOOKUP('Données projet'!$B$14,Paramètres!$A$1:$I$89,5,0)</f>
        <v>132.09376266666646</v>
      </c>
      <c r="DQ67" s="13">
        <f t="shared" si="43"/>
        <v>34.479715603278315</v>
      </c>
      <c r="DR67" s="20">
        <f t="shared" si="16"/>
        <v>290.11547465348713</v>
      </c>
      <c r="DS67" s="59">
        <f t="shared" si="17"/>
        <v>557.42799436563314</v>
      </c>
      <c r="DT67" s="59">
        <f ca="1">AVERAGE(OFFSET($DS$3,0,0,'Données projet'!$E$14+1,1))-AVERAGE(OFFSET($H$3,0,0,'Données projet'!$E$14+1,1))</f>
        <v>479.53113328461268</v>
      </c>
      <c r="DU67" s="59">
        <f t="shared" si="44"/>
        <v>244.6360664588118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16.650228996624744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16.650228996624744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2.2737367544323206E-13</v>
      </c>
      <c r="EK67" s="17">
        <f>EJ67*VLOOKUP('Données projet'!$B$15,Paramètres!$A$1:$I$89,3,0)*VLOOKUP('Données projet'!$B$15,Paramètres!$A$1:$I$89,5,0)</f>
        <v>1.0049916454590858E-13</v>
      </c>
      <c r="EL67" s="13">
        <f t="shared" si="45"/>
        <v>1.5089081593838289E-12</v>
      </c>
      <c r="EM67" s="20">
        <f t="shared" si="19"/>
        <v>2.8030510891776262E-12</v>
      </c>
      <c r="EN67" s="59">
        <f t="shared" si="20"/>
        <v>267.31251971214874</v>
      </c>
      <c r="EO67" s="59">
        <f ca="1">AVERAGE(OFFSET($EN$3,0,0,'Données projet'!$E$15+1,1))-AVERAGE(OFFSET($H$3,0,0,'Données projet'!$E$15+1,1))</f>
        <v>339.23049610652492</v>
      </c>
      <c r="EP67" s="59">
        <f t="shared" si="46"/>
        <v>448.85057640789785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152.48354984878236</v>
      </c>
      <c r="EW67" s="21">
        <f>EXP(-LN(2)/25)*EW66+(1-EXP(-LN(2)/25))/(LN(2)/25)*Calculateur!ER67*Calculateur!ET67*VLOOKUP('Données projet'!$B$15,Paramètres!$A$1:$I$89,3,0)*0.475*44/12</f>
        <v>105.07928193422082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257.56283178300316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11.868333333333334</v>
      </c>
      <c r="FE67" s="12">
        <f>IF('Données projet'!$A$218&gt;35,FE66+FD67-FM66,IF(A67&lt;'Données projet'!$A$218,$FB$205^A67,IF(A67='Données projet'!$A$218,'Données projet'!$B$218,FE66+FD67-FM66)))</f>
        <v>283.61500000000046</v>
      </c>
      <c r="FF67" s="17">
        <f>FE67*VLOOKUP('Données projet'!$B$16,Paramètres!$A$1:$I$89,3,0)*VLOOKUP('Données projet'!$B$16,Paramètres!$A$1:$I$89,5,0)</f>
        <v>132.73182000000023</v>
      </c>
      <c r="FG67" s="13">
        <f t="shared" si="47"/>
        <v>34.626836677073747</v>
      </c>
      <c r="FH67" s="20">
        <f t="shared" si="22"/>
        <v>291.48299371257053</v>
      </c>
      <c r="FI67" s="59">
        <f t="shared" si="23"/>
        <v>558.79551342471655</v>
      </c>
      <c r="FJ67" s="59">
        <f ca="1">AVERAGE(OFFSET($FI$3,0,0,'Données projet'!$E$16+1,1))-AVERAGE(OFFSET($H$3,0,0,'Données projet'!$E$16+1,1))</f>
        <v>365.63278362856033</v>
      </c>
      <c r="FK67" s="59">
        <f t="shared" si="48"/>
        <v>290.68267842697452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54.218907279203243</v>
      </c>
      <c r="FR67" s="21">
        <f>EXP(-LN(2)/25)*FR66+(1-EXP(-LN(2)/25))/(LN(2)/25)*Calculateur!FM67*Calculateur!FO67*VLOOKUP('Données projet'!$B$16,Paramètres!$A$1:$I$89,3,0)*0.475*44/12</f>
        <v>21.596775672578225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75.815682951781469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10.24444444444444</v>
      </c>
      <c r="FZ67" s="12">
        <f>IF('Données projet'!$A$244&gt;35,FZ66+FY67-GH66,IF(A67&lt;'Données projet'!$A$244,$FW$205^A67,IF(A67='Données projet'!$A$244,'Données projet'!$B$244,FZ66+FY67-GH66)))</f>
        <v>219.0211111111112</v>
      </c>
      <c r="GA67" s="17">
        <f>FZ67*VLOOKUP('Données projet'!$B$17,Paramètres!$A$1:$I$89,3,0)*VLOOKUP('Données projet'!$B$17,Paramètres!$A$1:$I$89,5,0)</f>
        <v>187.92011333333343</v>
      </c>
      <c r="GB67" s="13">
        <f t="shared" si="49"/>
        <v>47.079825278677603</v>
      </c>
      <c r="GC67" s="20">
        <f t="shared" si="25"/>
        <v>409.29155974925249</v>
      </c>
      <c r="GD67" s="59">
        <f t="shared" si="26"/>
        <v>676.60407946139844</v>
      </c>
      <c r="GE67" s="59">
        <f ca="1">AVERAGE(OFFSET($GD$3,0,0,'Données projet'!$E$17+1,1))-AVERAGE(OFFSET($H$3,0,0,'Données projet'!$E$17+1,1))</f>
        <v>460.46300302025099</v>
      </c>
      <c r="GF67" s="59">
        <f t="shared" si="50"/>
        <v>340.22534554615879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18.632414023270169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18.632414023270169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62.903414466948895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1.1368683772161603E-13</v>
      </c>
      <c r="GV67" s="17">
        <f>GU67*VLOOKUP('Données projet'!$B$18,Paramètres!$A$1:$I$89,3,0)*VLOOKUP('Données projet'!$B$18,Paramètres!$A$1:$I$89,5,0)</f>
        <v>6.7984728957526396E-14</v>
      </c>
      <c r="GW67" s="13">
        <f t="shared" si="51"/>
        <v>1.0682447123141398E-12</v>
      </c>
      <c r="GX67" s="20">
        <f t="shared" si="28"/>
        <v>1.978932943548152E-12</v>
      </c>
      <c r="GY67" s="59">
        <f t="shared" si="29"/>
        <v>267.31251971214795</v>
      </c>
      <c r="GZ67" s="59">
        <f ca="1">AVERAGE(OFFSET($GY$3,0,0,'Données projet'!$E$18+1,1))-AVERAGE(OFFSET($H$3,0,0,'Données projet'!$E$18+1,1))</f>
        <v>-15.950000000000017</v>
      </c>
      <c r="HA67" s="59">
        <f t="shared" si="52"/>
        <v>-15.950000000000017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142.32567597694998</v>
      </c>
      <c r="HH67" s="21">
        <f>EXP(-LN(2)/25)*HH66+(1-EXP(-LN(2)/25))/(LN(2)/25)*Calculateur!HC67*Calculateur!HE67*VLOOKUP('Données projet'!$B$18,Paramètres!$A$1:$I$89,3,0)*0.475*44/12</f>
        <v>91.385793854760223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233.71146983171019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4.3499999999999996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15.949999999999998</v>
      </c>
      <c r="H68" s="67">
        <f t="shared" ref="H68:H131" si="56">(B68+E68+F68)*44/12+(C68+D68)*0.475*44/12</f>
        <v>192.86666666666667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11.53125</v>
      </c>
      <c r="N68" s="13">
        <f>IF('Données projet'!$A$36&gt;35,N67+M68-V67,IF(A68&lt;'Données projet'!$A$36,$K$205^A68,IF(A68='Données projet'!$A$36,'Données projet'!$B$36,N67+M68-V67)))</f>
        <v>384.99374999999992</v>
      </c>
      <c r="O68" s="13">
        <f>N68*VLOOKUP('Données projet'!$B$9,Paramètres!$A$1:$I$89,3,0)*VLOOKUP('Données projet'!$B$9,Paramètres!$A$1:$I$89,5,0)</f>
        <v>336.33053999999993</v>
      </c>
      <c r="P68" s="13">
        <f t="shared" si="33"/>
        <v>78.741334626746422</v>
      </c>
      <c r="Q68" s="20">
        <f t="shared" si="54"/>
        <v>722.91684830824988</v>
      </c>
      <c r="R68" s="59">
        <f t="shared" si="55"/>
        <v>990.68077096289926</v>
      </c>
      <c r="S68" s="59">
        <f ca="1">AVERAGE(OFFSET($R$3,0,0,'Données projet'!$E$9+1,1))-AVERAGE(OFFSET($H$3,0,0,'Données projet'!$E$9+1,1))</f>
        <v>433.46721010558042</v>
      </c>
      <c r="T68" s="59">
        <f t="shared" si="34"/>
        <v>306.18862295347509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28.966430316559926</v>
      </c>
      <c r="AA68" s="21">
        <f>EXP(-LN(2)/25)*AA67+(1-EXP(-LN(2)/25))/(LN(2)/25)*Calculateur!V68*Calculateur!X68*VLOOKUP('Données projet'!$B$9,Paramètres!$A$1:$I$89,3,0)*0.475*44/12</f>
        <v>14.219357566254494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43.185787882814424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267.76392265465131</v>
      </c>
      <c r="AN68" s="59">
        <f ca="1">AVERAGE(OFFSET($AM$3,0,0,'Données projet'!$E$10+1,1))-AVERAGE(OFFSET($H$3,0,0,'Données projet'!$E$10+1,1))</f>
        <v>400.1942260113168</v>
      </c>
      <c r="AO68" s="59">
        <f t="shared" si="36"/>
        <v>497.04866930593926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139.53475628113256</v>
      </c>
      <c r="AV68" s="21">
        <f>EXP(-LN(2)/25)*AV67+(1-EXP(-LN(2)/25))/(LN(2)/25)*Calculateur!AQ68*Calculateur!AS68*VLOOKUP('Données projet'!$B$10,Paramètres!$A$1:$I$89,3,0)*0.475*44/12</f>
        <v>88.886844516031772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228.42160079716433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284.78505691662588</v>
      </c>
      <c r="BJ68" s="59">
        <f t="shared" si="38"/>
        <v>664.42623058686308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380.64318988568527</v>
      </c>
      <c r="CE68" s="59">
        <f t="shared" si="40"/>
        <v>885.24651320439159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79.617729056859858</v>
      </c>
      <c r="CL68" s="21">
        <f>EXP(-LN(2)/25)*CL67+(1-EXP(-LN(2)/25))/(LN(2)/25)*Calculateur!CG68*Calculateur!CI68*VLOOKUP('Données projet'!$B$12,Paramètres!$A$1:$I$89,3,0)*0.475*44/12</f>
        <v>15.527151505659115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95.144880562518978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16.649999999999995</v>
      </c>
      <c r="CT68" s="12">
        <f>IF('Données projet'!$A$140&gt;35,CT67+CS68-DB67,IF(A68&lt;'Données projet'!$A$140,$CQ$205^A68,IF(A68='Données projet'!$A$140,'Données projet'!$B$140,CT67+CS68-DB67)))</f>
        <v>502.80999999999995</v>
      </c>
      <c r="CU68" s="17">
        <f>CT68*VLOOKUP('Données projet'!$B$13,Paramètres!$A$1:$I$89,3,0)*VLOOKUP('Données projet'!$B$13,Paramètres!$A$1:$I$89,5,0)</f>
        <v>281.07078999999999</v>
      </c>
      <c r="CV68" s="13">
        <f t="shared" si="41"/>
        <v>67.193247295825813</v>
      </c>
      <c r="CW68" s="20">
        <f t="shared" ref="CW68:CW131" si="67">(CU68+CV68)*0.475*44/12</f>
        <v>606.5598649568966</v>
      </c>
      <c r="CX68" s="59">
        <f t="shared" ref="CX68:CX131" si="68">CW68+(CO68+CP68)*44/12</f>
        <v>874.32378761154587</v>
      </c>
      <c r="CY68" s="59">
        <f ca="1">AVERAGE(OFFSET($CX$3,0,0,'Données projet'!$E$13+1,1))-AVERAGE(OFFSET($H$3,0,0,'Données projet'!$E$13+1,1))</f>
        <v>404.10467005188889</v>
      </c>
      <c r="CZ68" s="59">
        <f t="shared" si="42"/>
        <v>372.70490129557845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75.96864858611896</v>
      </c>
      <c r="DG68" s="21">
        <f>EXP(-LN(2)/25)*DG67+(1-EXP(-LN(2)/25))/(LN(2)/25)*Calculateur!DB68*Calculateur!DD68*VLOOKUP('Données projet'!$B$13,Paramètres!$A$1:$I$89,3,0)*0.475*44/12</f>
        <v>67.600594411141998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143.56924299726097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6.315555555555556</v>
      </c>
      <c r="DO68" s="12">
        <f>IF('Données projet'!$A$166&gt;35,DO67+DN68-DW67,IF(A68&lt;'Données projet'!$A$166,$DL$205^A68,IF(A68='Données projet'!$A$166,'Données projet'!$B$166,DO67+DN68-DW67)))</f>
        <v>152.30777777777755</v>
      </c>
      <c r="DP68" s="17">
        <f>DO68*VLOOKUP('Données projet'!$B$14,Paramètres!$A$1:$I$89,3,0)*VLOOKUP('Données projet'!$B$14,Paramètres!$A$1:$I$89,5,0)</f>
        <v>137.80807733333313</v>
      </c>
      <c r="DQ68" s="13">
        <f t="shared" si="43"/>
        <v>35.794406548290496</v>
      </c>
      <c r="DR68" s="20">
        <f t="shared" ref="DR68:DR131" si="70">(DP68+DQ68)*0.475*44/12</f>
        <v>302.35765942716114</v>
      </c>
      <c r="DS68" s="59">
        <f t="shared" ref="DS68:DS131" si="71">DR68+(DJ68+DK68)*44/12</f>
        <v>570.1215820818104</v>
      </c>
      <c r="DT68" s="59">
        <f ca="1">AVERAGE(OFFSET($DS$3,0,0,'Données projet'!$E$14+1,1))-AVERAGE(OFFSET($H$3,0,0,'Données projet'!$E$14+1,1))</f>
        <v>479.53113328461268</v>
      </c>
      <c r="DU68" s="59">
        <f t="shared" si="44"/>
        <v>244.6360664588118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16.323728161637835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16.323728161637835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2.2737367544323206E-13</v>
      </c>
      <c r="EK68" s="17">
        <f>EJ68*VLOOKUP('Données projet'!$B$15,Paramètres!$A$1:$I$89,3,0)*VLOOKUP('Données projet'!$B$15,Paramètres!$A$1:$I$89,5,0)</f>
        <v>1.0049916454590858E-13</v>
      </c>
      <c r="EL68" s="13">
        <f t="shared" si="45"/>
        <v>1.5089081593838289E-12</v>
      </c>
      <c r="EM68" s="20">
        <f t="shared" ref="EM68:EM131" si="73">(EK68+EL68)*0.475*44/12</f>
        <v>2.8030510891776262E-12</v>
      </c>
      <c r="EN68" s="59">
        <f t="shared" ref="EN68:EN131" si="74">EM68+(EE68+EF68)*44/12</f>
        <v>267.76392265465211</v>
      </c>
      <c r="EO68" s="59">
        <f ca="1">AVERAGE(OFFSET($EN$3,0,0,'Données projet'!$E$15+1,1))-AVERAGE(OFFSET($H$3,0,0,'Données projet'!$E$15+1,1))</f>
        <v>339.23049610652492</v>
      </c>
      <c r="EP68" s="59">
        <f t="shared" si="46"/>
        <v>448.85057640789785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149.49344044202959</v>
      </c>
      <c r="EW68" s="21">
        <f>EXP(-LN(2)/25)*EW67+(1-EXP(-LN(2)/25))/(LN(2)/25)*Calculateur!ER68*Calculateur!ET68*VLOOKUP('Données projet'!$B$15,Paramètres!$A$1:$I$89,3,0)*0.475*44/12</f>
        <v>102.20588344385027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251.69932388587986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11.868333333333334</v>
      </c>
      <c r="FE68" s="12">
        <f>IF('Données projet'!$A$218&gt;35,FE67+FD68-FM67,IF(A68&lt;'Données projet'!$A$218,$FB$205^A68,IF(A68='Données projet'!$A$218,'Données projet'!$B$218,FE67+FD68-FM67)))</f>
        <v>295.4833333333338</v>
      </c>
      <c r="FF68" s="17">
        <f>FE68*VLOOKUP('Données projet'!$B$16,Paramètres!$A$1:$I$89,3,0)*VLOOKUP('Données projet'!$B$16,Paramètres!$A$1:$I$89,5,0)</f>
        <v>138.28620000000021</v>
      </c>
      <c r="FG68" s="13">
        <f t="shared" si="47"/>
        <v>35.904116984770091</v>
      </c>
      <c r="FH68" s="20">
        <f t="shared" ref="FH68:FH131" si="76">(FF68+FG68)*0.475*44/12</f>
        <v>303.3814687484749</v>
      </c>
      <c r="FI68" s="59">
        <f t="shared" ref="FI68:FI131" si="77">FH68+(EZ68+FA68)*44/12</f>
        <v>571.14539140312422</v>
      </c>
      <c r="FJ68" s="59">
        <f ca="1">AVERAGE(OFFSET($FI$3,0,0,'Données projet'!$E$16+1,1))-AVERAGE(OFFSET($H$3,0,0,'Données projet'!$E$16+1,1))</f>
        <v>365.63278362856033</v>
      </c>
      <c r="FK68" s="59">
        <f t="shared" si="48"/>
        <v>290.68267842697452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53.155707577726091</v>
      </c>
      <c r="FR68" s="21">
        <f>EXP(-LN(2)/25)*FR67+(1-EXP(-LN(2)/25))/(LN(2)/25)*Calculateur!FM68*Calculateur!FO68*VLOOKUP('Données projet'!$B$16,Paramètres!$A$1:$I$89,3,0)*0.475*44/12</f>
        <v>21.006210706086502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74.161918283812597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10.24444444444444</v>
      </c>
      <c r="FZ68" s="12">
        <f>IF('Données projet'!$A$244&gt;35,FZ67+FY68-GH67,IF(A68&lt;'Données projet'!$A$244,$FW$205^A68,IF(A68='Données projet'!$A$244,'Données projet'!$B$244,FZ67+FY68-GH67)))</f>
        <v>229.26555555555564</v>
      </c>
      <c r="GA68" s="17">
        <f>FZ68*VLOOKUP('Données projet'!$B$17,Paramètres!$A$1:$I$89,3,0)*VLOOKUP('Données projet'!$B$17,Paramètres!$A$1:$I$89,5,0)</f>
        <v>196.70984666666675</v>
      </c>
      <c r="GB68" s="13">
        <f t="shared" si="49"/>
        <v>49.020395032205286</v>
      </c>
      <c r="GC68" s="20">
        <f t="shared" ref="GC68:GC131" si="79">(GA68+GB68)*0.475*44/12</f>
        <v>427.98017095886877</v>
      </c>
      <c r="GD68" s="59">
        <f t="shared" ref="GD68:GD131" si="80">GC68+(FU68+FV68)*44/12</f>
        <v>695.74409361351809</v>
      </c>
      <c r="GE68" s="59">
        <f ca="1">AVERAGE(OFFSET($GD$3,0,0,'Données projet'!$E$17+1,1))-AVERAGE(OFFSET($H$3,0,0,'Données projet'!$E$17+1,1))</f>
        <v>460.46300302025099</v>
      </c>
      <c r="GF68" s="59">
        <f t="shared" si="50"/>
        <v>340.22534554615879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18.26704374892423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18.26704374892423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63.026524360358913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1.1368683772161603E-13</v>
      </c>
      <c r="GV68" s="17">
        <f>GU68*VLOOKUP('Données projet'!$B$18,Paramètres!$A$1:$I$89,3,0)*VLOOKUP('Données projet'!$B$18,Paramètres!$A$1:$I$89,5,0)</f>
        <v>6.7984728957526396E-14</v>
      </c>
      <c r="GW68" s="13">
        <f t="shared" si="51"/>
        <v>1.0682447123141398E-12</v>
      </c>
      <c r="GX68" s="20">
        <f t="shared" ref="GX68:GX131" si="82">(GV68+GW68)*0.475*44/12</f>
        <v>1.978932943548152E-12</v>
      </c>
      <c r="GY68" s="59">
        <f t="shared" ref="GY68:GY131" si="83">GX68+(GP68+GQ68)*44/12</f>
        <v>267.76392265465131</v>
      </c>
      <c r="GZ68" s="59">
        <f ca="1">AVERAGE(OFFSET($GY$3,0,0,'Données projet'!$E$18+1,1))-AVERAGE(OFFSET($H$3,0,0,'Données projet'!$E$18+1,1))</f>
        <v>-15.950000000000017</v>
      </c>
      <c r="HA68" s="59">
        <f t="shared" si="52"/>
        <v>-15.950000000000017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139.53475628113256</v>
      </c>
      <c r="HH68" s="21">
        <f>EXP(-LN(2)/25)*HH67+(1-EXP(-LN(2)/25))/(LN(2)/25)*Calculateur!HC68*Calculateur!HE68*VLOOKUP('Données projet'!$B$18,Paramètres!$A$1:$I$89,3,0)*0.475*44/12</f>
        <v>88.886844516031772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228.42160079716433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4.3499999999999996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15.949999999999998</v>
      </c>
      <c r="H69" s="67">
        <f t="shared" si="56"/>
        <v>192.86666666666667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11.53125</v>
      </c>
      <c r="N69" s="13">
        <f>IF('Données projet'!$A$36&gt;35,N68+M69-V68,IF(A69&lt;'Données projet'!$A$36,$K$205^A69,IF(A69='Données projet'!$A$36,'Données projet'!$B$36,N68+M69-V68)))</f>
        <v>396.52499999999992</v>
      </c>
      <c r="O69" s="13">
        <f>N69*VLOOKUP('Données projet'!$B$9,Paramètres!$A$1:$I$89,3,0)*VLOOKUP('Données projet'!$B$9,Paramètres!$A$1:$I$89,5,0)</f>
        <v>346.40423999999996</v>
      </c>
      <c r="P69" s="13">
        <f t="shared" ref="P69:P132" si="87">EXP(-1.0587+0.8836*LN(O69)+0.284)</f>
        <v>80.821662503289502</v>
      </c>
      <c r="Q69" s="20">
        <f t="shared" si="54"/>
        <v>744.08511352656251</v>
      </c>
      <c r="R69" s="59">
        <f t="shared" si="55"/>
        <v>1012.2926082918486</v>
      </c>
      <c r="S69" s="59">
        <f ca="1">AVERAGE(OFFSET($R$3,0,0,'Données projet'!$E$9+1,1))-AVERAGE(OFFSET($H$3,0,0,'Données projet'!$E$9+1,1))</f>
        <v>433.46721010558042</v>
      </c>
      <c r="T69" s="59">
        <f t="shared" ref="T69:T132" si="88">$T$3</f>
        <v>306.18862295347509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28.39841628583013</v>
      </c>
      <c r="AA69" s="21">
        <f>EXP(-LN(2)/25)*AA68+(1-EXP(-LN(2)/25))/(LN(2)/25)*Calculateur!V69*Calculateur!X69*VLOOKUP('Données projet'!$B$9,Paramètres!$A$1:$I$89,3,0)*0.475*44/12</f>
        <v>13.83052848584175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42.228944771671877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268.20749476528806</v>
      </c>
      <c r="AN69" s="59">
        <f ca="1">AVERAGE(OFFSET($AM$3,0,0,'Données projet'!$E$10+1,1))-AVERAGE(OFFSET($H$3,0,0,'Données projet'!$E$10+1,1))</f>
        <v>400.1942260113168</v>
      </c>
      <c r="AO69" s="59">
        <f t="shared" ref="AO69:AO132" si="90">$AO$3</f>
        <v>497.04866930593926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136.79856481825718</v>
      </c>
      <c r="AV69" s="21">
        <f>EXP(-LN(2)/25)*AV68+(1-EXP(-LN(2)/25))/(LN(2)/25)*Calculateur!AQ69*Calculateur!AS69*VLOOKUP('Données projet'!$B$10,Paramètres!$A$1:$I$89,3,0)*0.475*44/12</f>
        <v>86.456229078384879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223.25479389664207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284.78505691662588</v>
      </c>
      <c r="BJ69" s="59">
        <f t="shared" ref="BJ69:BJ132" si="92">$BJ$3</f>
        <v>664.42623058686308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380.64318988568527</v>
      </c>
      <c r="CE69" s="59">
        <f t="shared" ref="CE69:CE132" si="94">$CE$3</f>
        <v>885.24651320439159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78.056473952074455</v>
      </c>
      <c r="CL69" s="21">
        <f>EXP(-LN(2)/25)*CL68+(1-EXP(-LN(2)/25))/(LN(2)/25)*Calculateur!CG69*Calculateur!CI69*VLOOKUP('Données projet'!$B$12,Paramètres!$A$1:$I$89,3,0)*0.475*44/12</f>
        <v>15.102560731199457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93.159034683273916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16.649999999999995</v>
      </c>
      <c r="CT69" s="12">
        <f>IF('Données projet'!$A$140&gt;35,CT68+CS69-DB68,IF(A69&lt;'Données projet'!$A$140,$CQ$205^A69,IF(A69='Données projet'!$A$140,'Données projet'!$B$140,CT68+CS69-DB68)))</f>
        <v>519.45999999999992</v>
      </c>
      <c r="CU69" s="17">
        <f>CT69*VLOOKUP('Données projet'!$B$13,Paramètres!$A$1:$I$89,3,0)*VLOOKUP('Données projet'!$B$13,Paramètres!$A$1:$I$89,5,0)</f>
        <v>290.37813999999997</v>
      </c>
      <c r="CV69" s="13">
        <f t="shared" ref="CV69:CV132" si="95">EXP(-1.0587+0.8836*LN(CU69)+0.284)</f>
        <v>69.155541099812666</v>
      </c>
      <c r="CW69" s="20">
        <f t="shared" si="67"/>
        <v>626.187827915507</v>
      </c>
      <c r="CX69" s="59">
        <f t="shared" si="68"/>
        <v>894.39532268079302</v>
      </c>
      <c r="CY69" s="59">
        <f ca="1">AVERAGE(OFFSET($CX$3,0,0,'Données projet'!$E$13+1,1))-AVERAGE(OFFSET($H$3,0,0,'Données projet'!$E$13+1,1))</f>
        <v>404.10467005188889</v>
      </c>
      <c r="CZ69" s="59">
        <f t="shared" ref="CZ69:CZ132" si="96">$CZ$3</f>
        <v>372.70490129557845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74.478949723645471</v>
      </c>
      <c r="DG69" s="21">
        <f>EXP(-LN(2)/25)*DG68+(1-EXP(-LN(2)/25))/(LN(2)/25)*Calculateur!DB69*Calculateur!DD69*VLOOKUP('Données projet'!$B$13,Paramètres!$A$1:$I$89,3,0)*0.475*44/12</f>
        <v>65.752052602008561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140.23100232565403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6.315555555555556</v>
      </c>
      <c r="DO69" s="12">
        <f>IF('Données projet'!$A$166&gt;35,DO68+DN69-DW68,IF(A69&lt;'Données projet'!$A$166,$DL$205^A69,IF(A69='Données projet'!$A$166,'Données projet'!$B$166,DO68+DN69-DW68)))</f>
        <v>158.62333333333311</v>
      </c>
      <c r="DP69" s="17">
        <f>DO69*VLOOKUP('Données projet'!$B$14,Paramètres!$A$1:$I$89,3,0)*VLOOKUP('Données projet'!$B$14,Paramètres!$A$1:$I$89,5,0)</f>
        <v>143.5223919999998</v>
      </c>
      <c r="DQ69" s="13">
        <f t="shared" ref="DQ69:DQ132" si="97">EXP(-1.0587+0.8836*LN(DP69)+0.284)</f>
        <v>37.102765361859916</v>
      </c>
      <c r="DR69" s="20">
        <f t="shared" si="70"/>
        <v>314.58881573857229</v>
      </c>
      <c r="DS69" s="59">
        <f t="shared" si="71"/>
        <v>582.79631050385842</v>
      </c>
      <c r="DT69" s="59">
        <f ca="1">AVERAGE(OFFSET($DS$3,0,0,'Données projet'!$E$14+1,1))-AVERAGE(OFFSET($H$3,0,0,'Données projet'!$E$14+1,1))</f>
        <v>479.53113328461268</v>
      </c>
      <c r="DU69" s="59">
        <f t="shared" ref="DU69:DU132" si="98">$DU$3</f>
        <v>244.6360664588118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16.003629808879172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16.003629808879172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2.2737367544323206E-13</v>
      </c>
      <c r="EK69" s="17">
        <f>EJ69*VLOOKUP('Données projet'!$B$15,Paramètres!$A$1:$I$89,3,0)*VLOOKUP('Données projet'!$B$15,Paramètres!$A$1:$I$89,5,0)</f>
        <v>1.0049916454590858E-13</v>
      </c>
      <c r="EL69" s="13">
        <f t="shared" ref="EL69:EL132" si="99">EXP(-1.0587+0.8836*LN(EK69)+0.284)</f>
        <v>1.5089081593838289E-12</v>
      </c>
      <c r="EM69" s="20">
        <f t="shared" si="73"/>
        <v>2.8030510891776262E-12</v>
      </c>
      <c r="EN69" s="59">
        <f t="shared" si="74"/>
        <v>268.20749476528886</v>
      </c>
      <c r="EO69" s="59">
        <f ca="1">AVERAGE(OFFSET($EN$3,0,0,'Données projet'!$E$15+1,1))-AVERAGE(OFFSET($H$3,0,0,'Données projet'!$E$15+1,1))</f>
        <v>339.23049610652492</v>
      </c>
      <c r="EP69" s="59">
        <f t="shared" ref="EP69:EP132" si="100">$EP$3</f>
        <v>448.85057640789785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146.5619652569566</v>
      </c>
      <c r="EW69" s="21">
        <f>EXP(-LN(2)/25)*EW68+(1-EXP(-LN(2)/25))/(LN(2)/25)*Calculateur!ER69*Calculateur!ET69*VLOOKUP('Données projet'!$B$15,Paramètres!$A$1:$I$89,3,0)*0.475*44/12</f>
        <v>99.411058186304373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245.97302344326096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11.868333333333334</v>
      </c>
      <c r="FE69" s="12">
        <f>IF('Données projet'!$A$218&gt;35,FE68+FD69-FM68,IF(A69&lt;'Données projet'!$A$218,$FB$205^A69,IF(A69='Données projet'!$A$218,'Données projet'!$B$218,FE68+FD69-FM68)))</f>
        <v>307.35166666666714</v>
      </c>
      <c r="FF69" s="17">
        <f>FE69*VLOOKUP('Données projet'!$B$16,Paramètres!$A$1:$I$89,3,0)*VLOOKUP('Données projet'!$B$16,Paramètres!$A$1:$I$89,5,0)</f>
        <v>143.84058000000022</v>
      </c>
      <c r="FG69" s="13">
        <f t="shared" ref="FG69:FG132" si="101">EXP(-1.0587+0.8836*LN(FF69)+0.284)</f>
        <v>37.17543786612071</v>
      </c>
      <c r="FH69" s="20">
        <f t="shared" si="76"/>
        <v>315.26956445016066</v>
      </c>
      <c r="FI69" s="59">
        <f t="shared" si="77"/>
        <v>583.47705921544673</v>
      </c>
      <c r="FJ69" s="59">
        <f ca="1">AVERAGE(OFFSET($FI$3,0,0,'Données projet'!$E$16+1,1))-AVERAGE(OFFSET($H$3,0,0,'Données projet'!$E$16+1,1))</f>
        <v>365.63278362856033</v>
      </c>
      <c r="FK69" s="59">
        <f t="shared" ref="FK69:FK132" si="102">$FK$3</f>
        <v>290.68267842697452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52.113356573907119</v>
      </c>
      <c r="FR69" s="21">
        <f>EXP(-LN(2)/25)*FR68+(1-EXP(-LN(2)/25))/(LN(2)/25)*Calculateur!FM69*Calculateur!FO69*VLOOKUP('Données projet'!$B$16,Paramètres!$A$1:$I$89,3,0)*0.475*44/12</f>
        <v>20.431794769659955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72.545151343567071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>
        <f>VLOOKUP(A69,'Données projet'!$A$243:$I$263,2,0)</f>
        <v>239.51</v>
      </c>
      <c r="FX69" s="12">
        <f>VLOOKUP(A69,'Données projet'!$A$243:$I$263,9,0)</f>
        <v>10.24444444444444</v>
      </c>
      <c r="FY69" s="12">
        <f t="array" ref="FY69">INDEX(FX:FX,MIN(IF(ISNUMBER(FX69:FX265),ROW(FX69:FX265),"")))</f>
        <v>10.24444444444444</v>
      </c>
      <c r="FZ69" s="12">
        <f>IF('Données projet'!$A$244&gt;35,FZ68+FY69-GH68,IF(A69&lt;'Données projet'!$A$244,$FW$205^A69,IF(A69='Données projet'!$A$244,'Données projet'!$B$244,FZ68+FY69-GH68)))</f>
        <v>239.51000000000008</v>
      </c>
      <c r="GA69" s="17">
        <f>FZ69*VLOOKUP('Données projet'!$B$17,Paramètres!$A$1:$I$89,3,0)*VLOOKUP('Données projet'!$B$17,Paramètres!$A$1:$I$89,5,0)</f>
        <v>205.49958000000009</v>
      </c>
      <c r="GB69" s="13">
        <f t="shared" ref="GB69:GB132" si="103">EXP(-1.0587+0.8836*LN(GA69)+0.284)</f>
        <v>50.950894181249069</v>
      </c>
      <c r="GC69" s="20">
        <f t="shared" si="79"/>
        <v>446.65124253234222</v>
      </c>
      <c r="GD69" s="59">
        <f t="shared" si="80"/>
        <v>714.85873729762829</v>
      </c>
      <c r="GE69" s="59">
        <f ca="1">AVERAGE(OFFSET($GD$3,0,0,'Données projet'!$E$17+1,1))-AVERAGE(OFFSET($H$3,0,0,'Données projet'!$E$17+1,1))</f>
        <v>460.46300302025099</v>
      </c>
      <c r="GF69" s="59">
        <f t="shared" ref="GF69:GF132" si="104">$GF$3</f>
        <v>340.22534554615879</v>
      </c>
      <c r="GG69" s="15">
        <f>IF(ISNA(VLOOKUP(A69,'Données projet'!$A$243:$I$263,3,0)),0,VLOOKUP(A69,'Données projet'!$A$243:$I$263,3,0))</f>
        <v>2</v>
      </c>
      <c r="GH69" s="15">
        <f>IF(ISNA(VLOOKUP(A69,'Données projet'!$A$243:$I$263,4,0)),0,VLOOKUP(A69,'Données projet'!$A$243:$I$263,4,0))</f>
        <v>71.91</v>
      </c>
      <c r="GI69" s="16">
        <f>IF(ISNA(VLOOKUP(A69,'Données projet'!$A$243:$I$263,5,0)),0%,VLOOKUP(A69,'Données projet'!$A$243:$I$263,5,0)*VLOOKUP('Données projet'!$B$17,Paramètres!$A$1:$I$89,7,0))</f>
        <v>0.318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39.598401413180106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39.598401413180106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63.147498572350756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1.1368683772161603E-13</v>
      </c>
      <c r="GV69" s="17">
        <f>GU69*VLOOKUP('Données projet'!$B$18,Paramètres!$A$1:$I$89,3,0)*VLOOKUP('Données projet'!$B$18,Paramètres!$A$1:$I$89,5,0)</f>
        <v>6.7984728957526396E-14</v>
      </c>
      <c r="GW69" s="13">
        <f t="shared" ref="GW69:GW132" si="105">EXP(-1.0587+0.8836*LN(GV69)+0.284)</f>
        <v>1.0682447123141398E-12</v>
      </c>
      <c r="GX69" s="20">
        <f t="shared" si="82"/>
        <v>1.978932943548152E-12</v>
      </c>
      <c r="GY69" s="59">
        <f t="shared" si="83"/>
        <v>268.20749476528806</v>
      </c>
      <c r="GZ69" s="59">
        <f ca="1">AVERAGE(OFFSET($GY$3,0,0,'Données projet'!$E$18+1,1))-AVERAGE(OFFSET($H$3,0,0,'Données projet'!$E$18+1,1))</f>
        <v>-15.950000000000017</v>
      </c>
      <c r="HA69" s="59">
        <f t="shared" ref="HA69:HA132" si="106">$HA$3</f>
        <v>-15.950000000000017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136.79856481825718</v>
      </c>
      <c r="HH69" s="21">
        <f>EXP(-LN(2)/25)*HH68+(1-EXP(-LN(2)/25))/(LN(2)/25)*Calculateur!HC69*Calculateur!HE69*VLOOKUP('Données projet'!$B$18,Paramètres!$A$1:$I$89,3,0)*0.475*44/12</f>
        <v>86.456229078384879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223.25479389664207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4.3499999999999996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15.949999999999998</v>
      </c>
      <c r="H70" s="67">
        <f t="shared" si="56"/>
        <v>192.86666666666667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11.53125</v>
      </c>
      <c r="N70" s="13">
        <f>IF('Données projet'!$A$36&gt;35,N69+M70-V69,IF(A70&lt;'Données projet'!$A$36,$K$205^A70,IF(A70='Données projet'!$A$36,'Données projet'!$B$36,N69+M70-V69)))</f>
        <v>408.05624999999992</v>
      </c>
      <c r="O70" s="13">
        <f>N70*VLOOKUP('Données projet'!$B$9,Paramètres!$A$1:$I$89,3,0)*VLOOKUP('Données projet'!$B$9,Paramètres!$A$1:$I$89,5,0)</f>
        <v>356.47793999999999</v>
      </c>
      <c r="P70" s="13">
        <f t="shared" si="87"/>
        <v>82.894959325871184</v>
      </c>
      <c r="Q70" s="20">
        <f t="shared" si="54"/>
        <v>765.24113299255896</v>
      </c>
      <c r="R70" s="59">
        <f t="shared" si="55"/>
        <v>1033.884504884041</v>
      </c>
      <c r="S70" s="59">
        <f ca="1">AVERAGE(OFFSET($R$3,0,0,'Données projet'!$E$9+1,1))-AVERAGE(OFFSET($H$3,0,0,'Données projet'!$E$9+1,1))</f>
        <v>433.46721010558042</v>
      </c>
      <c r="T70" s="59">
        <f t="shared" si="88"/>
        <v>306.18862295347509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27.841540663788596</v>
      </c>
      <c r="AA70" s="21">
        <f>EXP(-LN(2)/25)*AA69+(1-EXP(-LN(2)/25))/(LN(2)/25)*Calculateur!V70*Calculateur!X70*VLOOKUP('Données projet'!$B$9,Paramètres!$A$1:$I$89,3,0)*0.475*44/12</f>
        <v>13.452331957080524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41.293872620869124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268.64337189148398</v>
      </c>
      <c r="AN70" s="59">
        <f ca="1">AVERAGE(OFFSET($AM$3,0,0,'Données projet'!$E$10+1,1))-AVERAGE(OFFSET($H$3,0,0,'Données projet'!$E$10+1,1))</f>
        <v>400.1942260113168</v>
      </c>
      <c r="AO70" s="59">
        <f t="shared" si="90"/>
        <v>497.04866930593926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134.11602840105678</v>
      </c>
      <c r="AV70" s="21">
        <f>EXP(-LN(2)/25)*AV69+(1-EXP(-LN(2)/25))/(LN(2)/25)*Calculateur!AQ70*Calculateur!AS70*VLOOKUP('Données projet'!$B$10,Paramètres!$A$1:$I$89,3,0)*0.475*44/12</f>
        <v>84.092078947700955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218.20810734875772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284.78505691662588</v>
      </c>
      <c r="BJ70" s="59">
        <f t="shared" si="92"/>
        <v>664.42623058686308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380.64318988568527</v>
      </c>
      <c r="CE70" s="59">
        <f t="shared" si="94"/>
        <v>885.24651320439159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76.525834107622316</v>
      </c>
      <c r="CL70" s="21">
        <f>EXP(-LN(2)/25)*CL69+(1-EXP(-LN(2)/25))/(LN(2)/25)*Calculateur!CG70*Calculateur!CI70*VLOOKUP('Données projet'!$B$12,Paramètres!$A$1:$I$89,3,0)*0.475*44/12</f>
        <v>14.689580413795657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91.215414521417969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16.649999999999995</v>
      </c>
      <c r="CT70" s="12">
        <f>IF('Données projet'!$A$140&gt;35,CT69+CS70-DB69,IF(A70&lt;'Données projet'!$A$140,$CQ$205^A70,IF(A70='Données projet'!$A$140,'Données projet'!$B$140,CT69+CS70-DB69)))</f>
        <v>536.1099999999999</v>
      </c>
      <c r="CU70" s="17">
        <f>CT70*VLOOKUP('Données projet'!$B$13,Paramètres!$A$1:$I$89,3,0)*VLOOKUP('Données projet'!$B$13,Paramètres!$A$1:$I$89,5,0)</f>
        <v>299.68548999999996</v>
      </c>
      <c r="CV70" s="13">
        <f t="shared" si="95"/>
        <v>71.110526074734537</v>
      </c>
      <c r="CW70" s="20">
        <f t="shared" si="67"/>
        <v>645.80306133016256</v>
      </c>
      <c r="CX70" s="59">
        <f t="shared" si="68"/>
        <v>914.44643322164461</v>
      </c>
      <c r="CY70" s="59">
        <f ca="1">AVERAGE(OFFSET($CX$3,0,0,'Données projet'!$E$13+1,1))-AVERAGE(OFFSET($H$3,0,0,'Données projet'!$E$13+1,1))</f>
        <v>404.10467005188889</v>
      </c>
      <c r="CZ70" s="59">
        <f t="shared" si="96"/>
        <v>372.70490129557845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73.018462947238504</v>
      </c>
      <c r="DG70" s="21">
        <f>EXP(-LN(2)/25)*DG69+(1-EXP(-LN(2)/25))/(LN(2)/25)*Calculateur!DB70*Calculateur!DD70*VLOOKUP('Données projet'!$B$13,Paramètres!$A$1:$I$89,3,0)*0.475*44/12</f>
        <v>63.954059265856472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136.97252221309498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6.315555555555556</v>
      </c>
      <c r="DO70" s="12">
        <f>IF('Données projet'!$A$166&gt;35,DO69+DN70-DW69,IF(A70&lt;'Données projet'!$A$166,$DL$205^A70,IF(A70='Données projet'!$A$166,'Données projet'!$B$166,DO69+DN70-DW69)))</f>
        <v>164.93888888888867</v>
      </c>
      <c r="DP70" s="17">
        <f>DO70*VLOOKUP('Données projet'!$B$14,Paramètres!$A$1:$I$89,3,0)*VLOOKUP('Données projet'!$B$14,Paramètres!$A$1:$I$89,5,0)</f>
        <v>149.23670666666646</v>
      </c>
      <c r="DQ70" s="13">
        <f t="shared" si="97"/>
        <v>38.40507300246189</v>
      </c>
      <c r="DR70" s="20">
        <f t="shared" si="70"/>
        <v>326.80943292373189</v>
      </c>
      <c r="DS70" s="59">
        <f t="shared" si="71"/>
        <v>595.45280481521388</v>
      </c>
      <c r="DT70" s="59">
        <f ca="1">AVERAGE(OFFSET($DS$3,0,0,'Données projet'!$E$14+1,1))-AVERAGE(OFFSET($H$3,0,0,'Données projet'!$E$14+1,1))</f>
        <v>479.53113328461268</v>
      </c>
      <c r="DU70" s="59">
        <f t="shared" si="98"/>
        <v>244.6360664588118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15.689808389577392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15.689808389577392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2.2737367544323206E-13</v>
      </c>
      <c r="EK70" s="17">
        <f>EJ70*VLOOKUP('Données projet'!$B$15,Paramètres!$A$1:$I$89,3,0)*VLOOKUP('Données projet'!$B$15,Paramètres!$A$1:$I$89,5,0)</f>
        <v>1.0049916454590858E-13</v>
      </c>
      <c r="EL70" s="13">
        <f t="shared" si="99"/>
        <v>1.5089081593838289E-12</v>
      </c>
      <c r="EM70" s="20">
        <f t="shared" si="73"/>
        <v>2.8030510891776262E-12</v>
      </c>
      <c r="EN70" s="59">
        <f t="shared" si="74"/>
        <v>268.64337189148478</v>
      </c>
      <c r="EO70" s="59">
        <f ca="1">AVERAGE(OFFSET($EN$3,0,0,'Données projet'!$E$15+1,1))-AVERAGE(OFFSET($H$3,0,0,'Données projet'!$E$15+1,1))</f>
        <v>339.23049610652492</v>
      </c>
      <c r="EP70" s="59">
        <f t="shared" si="100"/>
        <v>448.85057640789785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143.68797451223958</v>
      </c>
      <c r="EW70" s="21">
        <f>EXP(-LN(2)/25)*EW69+(1-EXP(-LN(2)/25))/(LN(2)/25)*Calculateur!ER70*Calculateur!ET70*VLOOKUP('Données projet'!$B$15,Paramètres!$A$1:$I$89,3,0)*0.475*44/12</f>
        <v>96.69265757239954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240.3806320846391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11.868333333333334</v>
      </c>
      <c r="FE70" s="12">
        <f>IF('Données projet'!$A$218&gt;35,FE69+FD70-FM69,IF(A70&lt;'Données projet'!$A$218,$FB$205^A70,IF(A70='Données projet'!$A$218,'Données projet'!$B$218,FE69+FD70-FM69)))</f>
        <v>319.22000000000048</v>
      </c>
      <c r="FF70" s="17">
        <f>FE70*VLOOKUP('Données projet'!$B$16,Paramètres!$A$1:$I$89,3,0)*VLOOKUP('Données projet'!$B$16,Paramètres!$A$1:$I$89,5,0)</f>
        <v>149.39496000000022</v>
      </c>
      <c r="FG70" s="13">
        <f t="shared" si="101"/>
        <v>38.441055782895731</v>
      </c>
      <c r="FH70" s="20">
        <f t="shared" si="76"/>
        <v>327.14772748854381</v>
      </c>
      <c r="FI70" s="59">
        <f t="shared" si="77"/>
        <v>595.7910993800258</v>
      </c>
      <c r="FJ70" s="59">
        <f ca="1">AVERAGE(OFFSET($FI$3,0,0,'Données projet'!$E$16+1,1))-AVERAGE(OFFSET($H$3,0,0,'Données projet'!$E$16+1,1))</f>
        <v>365.63278362856033</v>
      </c>
      <c r="FK70" s="59">
        <f t="shared" si="102"/>
        <v>290.68267842697452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51.091445437501704</v>
      </c>
      <c r="FR70" s="21">
        <f>EXP(-LN(2)/25)*FR69+(1-EXP(-LN(2)/25))/(LN(2)/25)*Calculateur!FM70*Calculateur!FO70*VLOOKUP('Données projet'!$B$16,Paramètres!$A$1:$I$89,3,0)*0.475*44/12</f>
        <v>19.873086267222213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70.964531704723925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10.028888888888892</v>
      </c>
      <c r="FZ70" s="12">
        <f>IF('Données projet'!$A$244&gt;35,FZ69+FY70-GH69,IF(A70&lt;'Données projet'!$A$244,$FW$205^A70,IF(A70='Données projet'!$A$244,'Données projet'!$B$244,FZ69+FY70-GH69)))</f>
        <v>177.62888888888898</v>
      </c>
      <c r="GA70" s="17">
        <f>FZ70*VLOOKUP('Données projet'!$B$17,Paramètres!$A$1:$I$89,3,0)*VLOOKUP('Données projet'!$B$17,Paramètres!$A$1:$I$89,5,0)</f>
        <v>152.40558666666675</v>
      </c>
      <c r="GB70" s="13">
        <f t="shared" si="103"/>
        <v>39.124756590833101</v>
      </c>
      <c r="GC70" s="20">
        <f t="shared" si="79"/>
        <v>333.58201450681219</v>
      </c>
      <c r="GD70" s="59">
        <f t="shared" si="80"/>
        <v>602.22538639829418</v>
      </c>
      <c r="GE70" s="59">
        <f ca="1">AVERAGE(OFFSET($GD$3,0,0,'Données projet'!$E$17+1,1))-AVERAGE(OFFSET($H$3,0,0,'Données projet'!$E$17+1,1))</f>
        <v>460.46300302025099</v>
      </c>
      <c r="GF70" s="59">
        <f t="shared" si="104"/>
        <v>340.22534554615879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38.82190091410763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38.82190091410763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63.266374152222369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1.1368683772161603E-13</v>
      </c>
      <c r="GV70" s="17">
        <f>GU70*VLOOKUP('Données projet'!$B$18,Paramètres!$A$1:$I$89,3,0)*VLOOKUP('Données projet'!$B$18,Paramètres!$A$1:$I$89,5,0)</f>
        <v>6.7984728957526396E-14</v>
      </c>
      <c r="GW70" s="13">
        <f t="shared" si="105"/>
        <v>1.0682447123141398E-12</v>
      </c>
      <c r="GX70" s="20">
        <f t="shared" si="82"/>
        <v>1.978932943548152E-12</v>
      </c>
      <c r="GY70" s="59">
        <f t="shared" si="83"/>
        <v>268.64337189148398</v>
      </c>
      <c r="GZ70" s="59">
        <f ca="1">AVERAGE(OFFSET($GY$3,0,0,'Données projet'!$E$18+1,1))-AVERAGE(OFFSET($H$3,0,0,'Données projet'!$E$18+1,1))</f>
        <v>-15.950000000000017</v>
      </c>
      <c r="HA70" s="59">
        <f t="shared" si="106"/>
        <v>-15.950000000000017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134.11602840105678</v>
      </c>
      <c r="HH70" s="21">
        <f>EXP(-LN(2)/25)*HH69+(1-EXP(-LN(2)/25))/(LN(2)/25)*Calculateur!HC70*Calculateur!HE70*VLOOKUP('Données projet'!$B$18,Paramètres!$A$1:$I$89,3,0)*0.475*44/12</f>
        <v>84.092078947700955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218.20810734875772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4.3499999999999996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15.949999999999998</v>
      </c>
      <c r="H71" s="67">
        <f t="shared" si="56"/>
        <v>192.86666666666667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11.53125</v>
      </c>
      <c r="N71" s="13">
        <f>IF('Données projet'!$A$36&gt;35,N70+M71-V70,IF(A71&lt;'Données projet'!$A$36,$K$205^A71,IF(A71='Données projet'!$A$36,'Données projet'!$B$36,N70+M71-V70)))</f>
        <v>419.58749999999992</v>
      </c>
      <c r="O71" s="13">
        <f>N71*VLOOKUP('Données projet'!$B$9,Paramètres!$A$1:$I$89,3,0)*VLOOKUP('Données projet'!$B$9,Paramètres!$A$1:$I$89,5,0)</f>
        <v>366.55163999999996</v>
      </c>
      <c r="P71" s="13">
        <f t="shared" si="87"/>
        <v>84.961446607721712</v>
      </c>
      <c r="Q71" s="20">
        <f t="shared" si="54"/>
        <v>786.38529250844852</v>
      </c>
      <c r="R71" s="59">
        <f t="shared" si="55"/>
        <v>1055.4569800324623</v>
      </c>
      <c r="S71" s="59">
        <f ca="1">AVERAGE(OFFSET($R$3,0,0,'Données projet'!$E$9+1,1))-AVERAGE(OFFSET($H$3,0,0,'Données projet'!$E$9+1,1))</f>
        <v>433.46721010558042</v>
      </c>
      <c r="T71" s="59">
        <f t="shared" si="88"/>
        <v>306.18862295347509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27.295585033034705</v>
      </c>
      <c r="AA71" s="21">
        <f>EXP(-LN(2)/25)*AA70+(1-EXP(-LN(2)/25))/(LN(2)/25)*Calculateur!V71*Calculateur!X71*VLOOKUP('Données projet'!$B$9,Paramètres!$A$1:$I$89,3,0)*0.475*44/12</f>
        <v>13.084477232286766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40.38006226532147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269.07168752401572</v>
      </c>
      <c r="AN71" s="59">
        <f ca="1">AVERAGE(OFFSET($AM$3,0,0,'Données projet'!$E$10+1,1))-AVERAGE(OFFSET($H$3,0,0,'Données projet'!$E$10+1,1))</f>
        <v>400.1942260113168</v>
      </c>
      <c r="AO71" s="59">
        <f t="shared" si="90"/>
        <v>497.04866930593926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131.48609488681203</v>
      </c>
      <c r="AV71" s="21">
        <f>EXP(-LN(2)/25)*AV70+(1-EXP(-LN(2)/25))/(LN(2)/25)*Calculateur!AQ71*Calculateur!AS71*VLOOKUP('Données projet'!$B$10,Paramètres!$A$1:$I$89,3,0)*0.475*44/12</f>
        <v>81.792576626665834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213.27867151347786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284.78505691662588</v>
      </c>
      <c r="BJ71" s="59">
        <f t="shared" si="92"/>
        <v>664.42623058686308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380.64318988568527</v>
      </c>
      <c r="CE71" s="59">
        <f t="shared" si="94"/>
        <v>885.24651320439159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75.025209176921763</v>
      </c>
      <c r="CL71" s="21">
        <f>EXP(-LN(2)/25)*CL70+(1-EXP(-LN(2)/25))/(LN(2)/25)*Calculateur!CG71*Calculateur!CI71*VLOOKUP('Données projet'!$B$12,Paramètres!$A$1:$I$89,3,0)*0.475*44/12</f>
        <v>14.287893064888953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89.313102241810711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16.649999999999995</v>
      </c>
      <c r="CT71" s="12">
        <f>IF('Données projet'!$A$140&gt;35,CT70+CS71-DB70,IF(A71&lt;'Données projet'!$A$140,$CQ$205^A71,IF(A71='Données projet'!$A$140,'Données projet'!$B$140,CT70+CS71-DB70)))</f>
        <v>552.75999999999988</v>
      </c>
      <c r="CU71" s="17">
        <f>CT71*VLOOKUP('Données projet'!$B$13,Paramètres!$A$1:$I$89,3,0)*VLOOKUP('Données projet'!$B$13,Paramètres!$A$1:$I$89,5,0)</f>
        <v>308.99283999999994</v>
      </c>
      <c r="CV71" s="13">
        <f t="shared" si="95"/>
        <v>73.058455258084479</v>
      </c>
      <c r="CW71" s="20">
        <f t="shared" si="67"/>
        <v>665.40600590783038</v>
      </c>
      <c r="CX71" s="59">
        <f t="shared" si="68"/>
        <v>934.47769343184405</v>
      </c>
      <c r="CY71" s="59">
        <f ca="1">AVERAGE(OFFSET($CX$3,0,0,'Données projet'!$E$13+1,1))-AVERAGE(OFFSET($H$3,0,0,'Données projet'!$E$13+1,1))</f>
        <v>404.10467005188889</v>
      </c>
      <c r="CZ71" s="59">
        <f t="shared" si="96"/>
        <v>372.70490129557845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71.586615425707905</v>
      </c>
      <c r="DG71" s="21">
        <f>EXP(-LN(2)/25)*DG70+(1-EXP(-LN(2)/25))/(LN(2)/25)*Calculateur!DB71*Calculateur!DD71*VLOOKUP('Données projet'!$B$13,Paramètres!$A$1:$I$89,3,0)*0.475*44/12</f>
        <v>62.205232152033815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133.79184757774172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6.315555555555556</v>
      </c>
      <c r="DO71" s="12">
        <f>IF('Données projet'!$A$166&gt;35,DO70+DN71-DW70,IF(A71&lt;'Données projet'!$A$166,$DL$205^A71,IF(A71='Données projet'!$A$166,'Données projet'!$B$166,DO70+DN71-DW70)))</f>
        <v>171.25444444444423</v>
      </c>
      <c r="DP71" s="17">
        <f>DO71*VLOOKUP('Données projet'!$B$14,Paramètres!$A$1:$I$89,3,0)*VLOOKUP('Données projet'!$B$14,Paramètres!$A$1:$I$89,5,0)</f>
        <v>154.95102133333313</v>
      </c>
      <c r="DQ71" s="13">
        <f t="shared" si="97"/>
        <v>39.701587694070071</v>
      </c>
      <c r="DR71" s="20">
        <f t="shared" si="70"/>
        <v>339.01996072272726</v>
      </c>
      <c r="DS71" s="59">
        <f t="shared" si="71"/>
        <v>608.09164824674099</v>
      </c>
      <c r="DT71" s="59">
        <f ca="1">AVERAGE(OFFSET($DS$3,0,0,'Données projet'!$E$14+1,1))-AVERAGE(OFFSET($H$3,0,0,'Données projet'!$E$14+1,1))</f>
        <v>479.53113328461268</v>
      </c>
      <c r="DU71" s="59">
        <f t="shared" si="98"/>
        <v>244.6360664588118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15.382140816895953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15.382140816895953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2.2737367544323206E-13</v>
      </c>
      <c r="EK71" s="17">
        <f>EJ71*VLOOKUP('Données projet'!$B$15,Paramètres!$A$1:$I$89,3,0)*VLOOKUP('Données projet'!$B$15,Paramètres!$A$1:$I$89,5,0)</f>
        <v>1.0049916454590858E-13</v>
      </c>
      <c r="EL71" s="13">
        <f t="shared" si="99"/>
        <v>1.5089081593838289E-12</v>
      </c>
      <c r="EM71" s="20">
        <f t="shared" si="73"/>
        <v>2.8030510891776262E-12</v>
      </c>
      <c r="EN71" s="59">
        <f t="shared" si="74"/>
        <v>269.07168752401651</v>
      </c>
      <c r="EO71" s="59">
        <f ca="1">AVERAGE(OFFSET($EN$3,0,0,'Données projet'!$E$15+1,1))-AVERAGE(OFFSET($H$3,0,0,'Données projet'!$E$15+1,1))</f>
        <v>339.23049610652492</v>
      </c>
      <c r="EP71" s="59">
        <f t="shared" si="100"/>
        <v>448.85057640789785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140.87034097306517</v>
      </c>
      <c r="EW71" s="21">
        <f>EXP(-LN(2)/25)*EW70+(1-EXP(-LN(2)/25))/(LN(2)/25)*Calculateur!ER71*Calculateur!ET71*VLOOKUP('Données projet'!$B$15,Paramètres!$A$1:$I$89,3,0)*0.475*44/12</f>
        <v>94.048591766236413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234.91893273930157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11.868333333333334</v>
      </c>
      <c r="FE71" s="12">
        <f>IF('Données projet'!$A$218&gt;35,FE70+FD71-FM70,IF(A71&lt;'Données projet'!$A$218,$FB$205^A71,IF(A71='Données projet'!$A$218,'Données projet'!$B$218,FE70+FD71-FM70)))</f>
        <v>331.08833333333382</v>
      </c>
      <c r="FF71" s="17">
        <f>FE71*VLOOKUP('Données projet'!$B$16,Paramètres!$A$1:$I$89,3,0)*VLOOKUP('Données projet'!$B$16,Paramètres!$A$1:$I$89,5,0)</f>
        <v>154.94934000000023</v>
      </c>
      <c r="FG71" s="13">
        <f t="shared" si="101"/>
        <v>39.701207046347101</v>
      </c>
      <c r="FH71" s="20">
        <f t="shared" si="76"/>
        <v>339.01636943905493</v>
      </c>
      <c r="FI71" s="59">
        <f t="shared" si="77"/>
        <v>608.08805696306865</v>
      </c>
      <c r="FJ71" s="59">
        <f ca="1">AVERAGE(OFFSET($FI$3,0,0,'Données projet'!$E$16+1,1))-AVERAGE(OFFSET($H$3,0,0,'Données projet'!$E$16+1,1))</f>
        <v>365.63278362856033</v>
      </c>
      <c r="FK71" s="59">
        <f t="shared" si="102"/>
        <v>290.68267842697452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50.089573355176952</v>
      </c>
      <c r="FR71" s="21">
        <f>EXP(-LN(2)/25)*FR70+(1-EXP(-LN(2)/25))/(LN(2)/25)*Calculateur!FM71*Calculateur!FO71*VLOOKUP('Données projet'!$B$16,Paramètres!$A$1:$I$89,3,0)*0.475*44/12</f>
        <v>19.329655678164837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69.419229033341793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10.028888888888892</v>
      </c>
      <c r="FZ71" s="12">
        <f>IF('Données projet'!$A$244&gt;35,FZ70+FY71-GH70,IF(A71&lt;'Données projet'!$A$244,$FW$205^A71,IF(A71='Données projet'!$A$244,'Données projet'!$B$244,FZ70+FY71-GH70)))</f>
        <v>187.65777777777788</v>
      </c>
      <c r="GA71" s="17">
        <f>FZ71*VLOOKUP('Données projet'!$B$17,Paramètres!$A$1:$I$89,3,0)*VLOOKUP('Données projet'!$B$17,Paramètres!$A$1:$I$89,5,0)</f>
        <v>161.01037333333343</v>
      </c>
      <c r="GB71" s="13">
        <f t="shared" si="103"/>
        <v>41.070324372672808</v>
      </c>
      <c r="GC71" s="20">
        <f t="shared" si="79"/>
        <v>351.95721517129419</v>
      </c>
      <c r="GD71" s="59">
        <f t="shared" si="80"/>
        <v>621.02890269530792</v>
      </c>
      <c r="GE71" s="59">
        <f ca="1">AVERAGE(OFFSET($GD$3,0,0,'Données projet'!$E$17+1,1))-AVERAGE(OFFSET($H$3,0,0,'Données projet'!$E$17+1,1))</f>
        <v>460.46300302025099</v>
      </c>
      <c r="GF71" s="59">
        <f t="shared" si="104"/>
        <v>340.22534554615879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38.060627116203428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38.060627116203428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63.383187506549191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1.1368683772161603E-13</v>
      </c>
      <c r="GV71" s="17">
        <f>GU71*VLOOKUP('Données projet'!$B$18,Paramètres!$A$1:$I$89,3,0)*VLOOKUP('Données projet'!$B$18,Paramètres!$A$1:$I$89,5,0)</f>
        <v>6.7984728957526396E-14</v>
      </c>
      <c r="GW71" s="13">
        <f t="shared" si="105"/>
        <v>1.0682447123141398E-12</v>
      </c>
      <c r="GX71" s="20">
        <f t="shared" si="82"/>
        <v>1.978932943548152E-12</v>
      </c>
      <c r="GY71" s="59">
        <f t="shared" si="83"/>
        <v>269.07168752401572</v>
      </c>
      <c r="GZ71" s="59">
        <f ca="1">AVERAGE(OFFSET($GY$3,0,0,'Données projet'!$E$18+1,1))-AVERAGE(OFFSET($H$3,0,0,'Données projet'!$E$18+1,1))</f>
        <v>-15.950000000000017</v>
      </c>
      <c r="HA71" s="59">
        <f t="shared" si="106"/>
        <v>-15.950000000000017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131.48609488681203</v>
      </c>
      <c r="HH71" s="21">
        <f>EXP(-LN(2)/25)*HH70+(1-EXP(-LN(2)/25))/(LN(2)/25)*Calculateur!HC71*Calculateur!HE71*VLOOKUP('Données projet'!$B$18,Paramètres!$A$1:$I$89,3,0)*0.475*44/12</f>
        <v>81.792576626665834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213.27867151347786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4.3499999999999996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15.949999999999998</v>
      </c>
      <c r="H72" s="67">
        <f t="shared" si="56"/>
        <v>192.86666666666667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11.53125</v>
      </c>
      <c r="N72" s="13">
        <f>IF('Données projet'!$A$36&gt;35,N71+M72-V71,IF(A72&lt;'Données projet'!$A$36,$K$205^A72,IF(A72='Données projet'!$A$36,'Données projet'!$B$36,N71+M72-V71)))</f>
        <v>431.11874999999992</v>
      </c>
      <c r="O72" s="13">
        <f>N72*VLOOKUP('Données projet'!$B$9,Paramètres!$A$1:$I$89,3,0)*VLOOKUP('Données projet'!$B$9,Paramètres!$A$1:$I$89,5,0)</f>
        <v>376.62533999999999</v>
      </c>
      <c r="P72" s="13">
        <f t="shared" si="87"/>
        <v>87.021332993744224</v>
      </c>
      <c r="Q72" s="20">
        <f t="shared" si="54"/>
        <v>807.51795546410449</v>
      </c>
      <c r="R72" s="59">
        <f t="shared" si="55"/>
        <v>1077.0105283019957</v>
      </c>
      <c r="S72" s="59">
        <f ca="1">AVERAGE(OFFSET($R$3,0,0,'Données projet'!$E$9+1,1))-AVERAGE(OFFSET($H$3,0,0,'Données projet'!$E$9+1,1))</f>
        <v>433.46721010558042</v>
      </c>
      <c r="T72" s="59">
        <f t="shared" si="88"/>
        <v>306.18862295347509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26.760335259199845</v>
      </c>
      <c r="AA72" s="21">
        <f>EXP(-LN(2)/25)*AA71+(1-EXP(-LN(2)/25))/(LN(2)/25)*Calculateur!V72*Calculateur!X72*VLOOKUP('Données projet'!$B$9,Paramètres!$A$1:$I$89,3,0)*0.475*44/12</f>
        <v>12.726681514287131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39.487016773486978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269.49257283789319</v>
      </c>
      <c r="AN72" s="59">
        <f ca="1">AVERAGE(OFFSET($AM$3,0,0,'Données projet'!$E$10+1,1))-AVERAGE(OFFSET($H$3,0,0,'Données projet'!$E$10+1,1))</f>
        <v>400.1942260113168</v>
      </c>
      <c r="AO72" s="59">
        <f t="shared" si="90"/>
        <v>497.04866930593926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128.90773276468056</v>
      </c>
      <c r="AV72" s="21">
        <f>EXP(-LN(2)/25)*AV71+(1-EXP(-LN(2)/25))/(LN(2)/25)*Calculateur!AQ72*Calculateur!AS72*VLOOKUP('Données projet'!$B$10,Paramètres!$A$1:$I$89,3,0)*0.475*44/12</f>
        <v>79.555954317524993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208.46368708220555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284.78505691662588</v>
      </c>
      <c r="BJ72" s="59">
        <f t="shared" si="92"/>
        <v>664.42623058686308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380.64318988568527</v>
      </c>
      <c r="CE72" s="59">
        <f t="shared" si="94"/>
        <v>885.24651320439159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73.554010585821416</v>
      </c>
      <c r="CL72" s="21">
        <f>EXP(-LN(2)/25)*CL71+(1-EXP(-LN(2)/25))/(LN(2)/25)*Calculateur!CG72*Calculateur!CI72*VLOOKUP('Données projet'!$B$12,Paramètres!$A$1:$I$89,3,0)*0.475*44/12</f>
        <v>13.897189877661924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87.451200463483346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16.649999999999995</v>
      </c>
      <c r="CT72" s="12">
        <f>IF('Données projet'!$A$140&gt;35,CT71+CS72-DB71,IF(A72&lt;'Données projet'!$A$140,$CQ$205^A72,IF(A72='Données projet'!$A$140,'Données projet'!$B$140,CT71+CS72-DB71)))</f>
        <v>569.40999999999985</v>
      </c>
      <c r="CU72" s="17">
        <f>CT72*VLOOKUP('Données projet'!$B$13,Paramètres!$A$1:$I$89,3,0)*VLOOKUP('Données projet'!$B$13,Paramètres!$A$1:$I$89,5,0)</f>
        <v>318.30018999999993</v>
      </c>
      <c r="CV72" s="13">
        <f t="shared" si="95"/>
        <v>74.999565577256092</v>
      </c>
      <c r="CW72" s="20">
        <f t="shared" si="67"/>
        <v>684.99707429705416</v>
      </c>
      <c r="CX72" s="59">
        <f t="shared" si="68"/>
        <v>954.48964713494536</v>
      </c>
      <c r="CY72" s="59">
        <f ca="1">AVERAGE(OFFSET($CX$3,0,0,'Données projet'!$E$13+1,1))-AVERAGE(OFFSET($H$3,0,0,'Données projet'!$E$13+1,1))</f>
        <v>404.10467005188889</v>
      </c>
      <c r="CZ72" s="59">
        <f t="shared" si="96"/>
        <v>372.70490129557845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70.182845560733767</v>
      </c>
      <c r="DG72" s="21">
        <f>EXP(-LN(2)/25)*DG71+(1-EXP(-LN(2)/25))/(LN(2)/25)*Calculateur!DB72*Calculateur!DD72*VLOOKUP('Données projet'!$B$13,Paramètres!$A$1:$I$89,3,0)*0.475*44/12</f>
        <v>60.504226807605463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130.68707236833922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177.57</v>
      </c>
      <c r="DM72" s="12">
        <f>VLOOKUP(A72,'Données projet'!$A$165:$I$185,9,0)</f>
        <v>6.315555555555556</v>
      </c>
      <c r="DN72" s="12">
        <f t="array" ref="DN72">INDEX(DM:DM,MIN(IF(ISNUMBER(DM72:DM268),ROW(DM72:DM268),"")))</f>
        <v>6.315555555555556</v>
      </c>
      <c r="DO72" s="12">
        <f>IF('Données projet'!$A$166&gt;35,DO71+DN72-DW71,IF(A72&lt;'Données projet'!$A$166,$DL$205^A72,IF(A72='Données projet'!$A$166,'Données projet'!$B$166,DO71+DN72-DW71)))</f>
        <v>177.56999999999979</v>
      </c>
      <c r="DP72" s="17">
        <f>DO72*VLOOKUP('Données projet'!$B$14,Paramètres!$A$1:$I$89,3,0)*VLOOKUP('Données projet'!$B$14,Paramètres!$A$1:$I$89,5,0)</f>
        <v>160.6653359999998</v>
      </c>
      <c r="DQ72" s="13">
        <f t="shared" si="97"/>
        <v>40.992547535801819</v>
      </c>
      <c r="DR72" s="20">
        <f t="shared" si="70"/>
        <v>351.22081382485447</v>
      </c>
      <c r="DS72" s="59">
        <f t="shared" si="71"/>
        <v>620.71338666274573</v>
      </c>
      <c r="DT72" s="59">
        <f ca="1">AVERAGE(OFFSET($DS$3,0,0,'Données projet'!$E$14+1,1))-AVERAGE(OFFSET($H$3,0,0,'Données projet'!$E$14+1,1))</f>
        <v>479.53113328461268</v>
      </c>
      <c r="DU72" s="59">
        <f t="shared" si="98"/>
        <v>244.6360664588118</v>
      </c>
      <c r="DV72" s="15">
        <f>IF(ISNA(VLOOKUP(A72,'Données projet'!$A$165:$I$185,3,0)),0,VLOOKUP(A72,'Données projet'!$A$165:$I$185,3,0))</f>
        <v>2</v>
      </c>
      <c r="DW72" s="15">
        <f>IF(ISNA(VLOOKUP(A72,'Données projet'!$A$165:$I$185,4,0)),0,VLOOKUP(A72,'Données projet'!$A$165:$I$185,4,0))</f>
        <v>39.35</v>
      </c>
      <c r="DX72" s="16">
        <f>IF(ISNA(VLOOKUP(A72,'Données projet'!$A$165:$I$185,5,0)),0%,VLOOKUP(A72,'Données projet'!$A$165:$I$185,5,0)*VLOOKUP('Données projet'!$B$14,Paramètres!$A$1:$I$89,7,0))</f>
        <v>0.25800000000000001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25.235137379659079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25.235137379659079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2.2737367544323206E-13</v>
      </c>
      <c r="EK72" s="17">
        <f>EJ72*VLOOKUP('Données projet'!$B$15,Paramètres!$A$1:$I$89,3,0)*VLOOKUP('Données projet'!$B$15,Paramètres!$A$1:$I$89,5,0)</f>
        <v>1.0049916454590858E-13</v>
      </c>
      <c r="EL72" s="13">
        <f t="shared" si="99"/>
        <v>1.5089081593838289E-12</v>
      </c>
      <c r="EM72" s="20">
        <f t="shared" si="73"/>
        <v>2.8030510891776262E-12</v>
      </c>
      <c r="EN72" s="59">
        <f t="shared" si="74"/>
        <v>269.49257283789399</v>
      </c>
      <c r="EO72" s="59">
        <f ca="1">AVERAGE(OFFSET($EN$3,0,0,'Données projet'!$E$15+1,1))-AVERAGE(OFFSET($H$3,0,0,'Données projet'!$E$15+1,1))</f>
        <v>339.23049610652492</v>
      </c>
      <c r="EP72" s="59">
        <f t="shared" si="100"/>
        <v>448.85057640789785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138.10795950900723</v>
      </c>
      <c r="EW72" s="21">
        <f>EXP(-LN(2)/25)*EW71+(1-EXP(-LN(2)/25))/(LN(2)/25)*Calculateur!ER72*Calculateur!ET72*VLOOKUP('Données projet'!$B$15,Paramètres!$A$1:$I$89,3,0)*0.475*44/12</f>
        <v>91.476828078588184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229.58478758759543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11.868333333333334</v>
      </c>
      <c r="FE72" s="12">
        <f>IF('Données projet'!$A$218&gt;35,FE71+FD72-FM71,IF(A72&lt;'Données projet'!$A$218,$FB$205^A72,IF(A72='Données projet'!$A$218,'Données projet'!$B$218,FE71+FD72-FM71)))</f>
        <v>342.95666666666716</v>
      </c>
      <c r="FF72" s="17">
        <f>FE72*VLOOKUP('Données projet'!$B$16,Paramètres!$A$1:$I$89,3,0)*VLOOKUP('Données projet'!$B$16,Paramètres!$A$1:$I$89,5,0)</f>
        <v>160.50372000000021</v>
      </c>
      <c r="FG72" s="13">
        <f t="shared" si="101"/>
        <v>40.956110065545921</v>
      </c>
      <c r="FH72" s="20">
        <f t="shared" si="76"/>
        <v>350.87587069749287</v>
      </c>
      <c r="FI72" s="59">
        <f t="shared" si="77"/>
        <v>620.36844353538413</v>
      </c>
      <c r="FJ72" s="59">
        <f ca="1">AVERAGE(OFFSET($FI$3,0,0,'Données projet'!$E$16+1,1))-AVERAGE(OFFSET($H$3,0,0,'Données projet'!$E$16+1,1))</f>
        <v>365.63278362856033</v>
      </c>
      <c r="FK72" s="59">
        <f t="shared" si="102"/>
        <v>290.68267842697452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49.107347373304954</v>
      </c>
      <c r="FR72" s="21">
        <f>EXP(-LN(2)/25)*FR71+(1-EXP(-LN(2)/25))/(LN(2)/25)*Calculateur!FM72*Calculateur!FO72*VLOOKUP('Données projet'!$B$16,Paramètres!$A$1:$I$89,3,0)*0.475*44/12</f>
        <v>18.801085227143005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67.908432600447952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10.028888888888892</v>
      </c>
      <c r="FZ72" s="12">
        <f>IF('Données projet'!$A$244&gt;35,FZ71+FY72-GH71,IF(A72&lt;'Données projet'!$A$244,$FW$205^A72,IF(A72='Données projet'!$A$244,'Données projet'!$B$244,FZ71+FY72-GH71)))</f>
        <v>197.68666666666678</v>
      </c>
      <c r="GA72" s="17">
        <f>FZ72*VLOOKUP('Données projet'!$B$17,Paramètres!$A$1:$I$89,3,0)*VLOOKUP('Données projet'!$B$17,Paramètres!$A$1:$I$89,5,0)</f>
        <v>169.61516000000012</v>
      </c>
      <c r="GB72" s="13">
        <f t="shared" si="103"/>
        <v>43.003820861879198</v>
      </c>
      <c r="GC72" s="20">
        <f t="shared" si="79"/>
        <v>370.31139166777308</v>
      </c>
      <c r="GD72" s="59">
        <f t="shared" si="80"/>
        <v>639.80396450566423</v>
      </c>
      <c r="GE72" s="59">
        <f ca="1">AVERAGE(OFFSET($GD$3,0,0,'Données projet'!$E$17+1,1))-AVERAGE(OFFSET($H$3,0,0,'Données projet'!$E$17+1,1))</f>
        <v>460.46300302025099</v>
      </c>
      <c r="GF72" s="59">
        <f t="shared" si="104"/>
        <v>340.22534554615879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37.314281433144956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37.314281433144956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63.497974410333974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1.1368683772161603E-13</v>
      </c>
      <c r="GV72" s="17">
        <f>GU72*VLOOKUP('Données projet'!$B$18,Paramètres!$A$1:$I$89,3,0)*VLOOKUP('Données projet'!$B$18,Paramètres!$A$1:$I$89,5,0)</f>
        <v>6.7984728957526396E-14</v>
      </c>
      <c r="GW72" s="13">
        <f t="shared" si="105"/>
        <v>1.0682447123141398E-12</v>
      </c>
      <c r="GX72" s="20">
        <f t="shared" si="82"/>
        <v>1.978932943548152E-12</v>
      </c>
      <c r="GY72" s="59">
        <f t="shared" si="83"/>
        <v>269.49257283789319</v>
      </c>
      <c r="GZ72" s="59">
        <f ca="1">AVERAGE(OFFSET($GY$3,0,0,'Données projet'!$E$18+1,1))-AVERAGE(OFFSET($H$3,0,0,'Données projet'!$E$18+1,1))</f>
        <v>-15.950000000000017</v>
      </c>
      <c r="HA72" s="59">
        <f t="shared" si="106"/>
        <v>-15.950000000000017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128.90773276468056</v>
      </c>
      <c r="HH72" s="21">
        <f>EXP(-LN(2)/25)*HH71+(1-EXP(-LN(2)/25))/(LN(2)/25)*Calculateur!HC72*Calculateur!HE72*VLOOKUP('Données projet'!$B$18,Paramètres!$A$1:$I$89,3,0)*0.475*44/12</f>
        <v>79.555954317524993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208.46368708220555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4.3499999999999996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15.949999999999998</v>
      </c>
      <c r="H73" s="67">
        <f t="shared" si="56"/>
        <v>192.86666666666667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11.53125</v>
      </c>
      <c r="N73" s="13">
        <f>IF('Données projet'!$A$36&gt;35,N72+M73-V72,IF(A73&lt;'Données projet'!$A$36,$K$205^A73,IF(A73='Données projet'!$A$36,'Données projet'!$B$36,N72+M73-V72)))</f>
        <v>442.64999999999992</v>
      </c>
      <c r="O73" s="13">
        <f>N73*VLOOKUP('Données projet'!$B$9,Paramètres!$A$1:$I$89,3,0)*VLOOKUP('Données projet'!$B$9,Paramètres!$A$1:$I$89,5,0)</f>
        <v>386.69903999999997</v>
      </c>
      <c r="P73" s="13">
        <f t="shared" si="87"/>
        <v>89.074815332006366</v>
      </c>
      <c r="Q73" s="20">
        <f t="shared" si="54"/>
        <v>828.63946470324436</v>
      </c>
      <c r="R73" s="59">
        <f t="shared" si="55"/>
        <v>1098.545621435776</v>
      </c>
      <c r="S73" s="59">
        <f ca="1">AVERAGE(OFFSET($R$3,0,0,'Données projet'!$E$9+1,1))-AVERAGE(OFFSET($H$3,0,0,'Données projet'!$E$9+1,1))</f>
        <v>433.46721010558042</v>
      </c>
      <c r="T73" s="59">
        <f t="shared" si="88"/>
        <v>306.18862295347509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26.23558140695976</v>
      </c>
      <c r="AA73" s="21">
        <f>EXP(-LN(2)/25)*AA72+(1-EXP(-LN(2)/25))/(LN(2)/25)*Calculateur!V73*Calculateur!X73*VLOOKUP('Données projet'!$B$9,Paramètres!$A$1:$I$89,3,0)*0.475*44/12</f>
        <v>12.378669739011857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38.614251145971615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269.90615673253359</v>
      </c>
      <c r="AN73" s="59">
        <f ca="1">AVERAGE(OFFSET($AM$3,0,0,'Données projet'!$E$10+1,1))-AVERAGE(OFFSET($H$3,0,0,'Données projet'!$E$10+1,1))</f>
        <v>400.1942260113168</v>
      </c>
      <c r="AO73" s="59">
        <f t="shared" si="90"/>
        <v>497.04866930593926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126.37993075111849</v>
      </c>
      <c r="AV73" s="21">
        <f>EXP(-LN(2)/25)*AV72+(1-EXP(-LN(2)/25))/(LN(2)/25)*Calculateur!AQ73*Calculateur!AS73*VLOOKUP('Données projet'!$B$10,Paramètres!$A$1:$I$89,3,0)*0.475*44/12</f>
        <v>77.38049256304646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203.76042331416494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284.78505691662588</v>
      </c>
      <c r="BJ73" s="59">
        <f t="shared" si="92"/>
        <v>664.42623058686308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380.64318988568527</v>
      </c>
      <c r="CE73" s="59">
        <f t="shared" si="94"/>
        <v>885.24651320439159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72.111661301750004</v>
      </c>
      <c r="CL73" s="21">
        <f>EXP(-LN(2)/25)*CL72+(1-EXP(-LN(2)/25))/(LN(2)/25)*Calculateur!CG73*Calculateur!CI73*VLOOKUP('Données projet'!$B$12,Paramètres!$A$1:$I$89,3,0)*0.475*44/12</f>
        <v>13.517170489635806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85.628831791385807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586.05999999999995</v>
      </c>
      <c r="CR73" s="12">
        <f>VLOOKUP(A73,'Données projet'!$A$139:$I$159,9,0)</f>
        <v>16.649999999999995</v>
      </c>
      <c r="CS73" s="12">
        <f t="array" ref="CS73">INDEX(CR:CR,MIN(IF(ISNUMBER(CR73:CR269),ROW(CR73:CR269),"")))</f>
        <v>16.649999999999995</v>
      </c>
      <c r="CT73" s="12">
        <f>IF('Données projet'!$A$140&gt;35,CT72+CS73-DB72,IF(A73&lt;'Données projet'!$A$140,$CQ$205^A73,IF(A73='Données projet'!$A$140,'Données projet'!$B$140,CT72+CS73-DB72)))</f>
        <v>586.05999999999983</v>
      </c>
      <c r="CU73" s="17">
        <f>CT73*VLOOKUP('Données projet'!$B$13,Paramètres!$A$1:$I$89,3,0)*VLOOKUP('Données projet'!$B$13,Paramètres!$A$1:$I$89,5,0)</f>
        <v>327.60753999999991</v>
      </c>
      <c r="CV73" s="13">
        <f t="shared" si="95"/>
        <v>76.934079315946775</v>
      </c>
      <c r="CW73" s="20">
        <f t="shared" si="67"/>
        <v>704.57665364194054</v>
      </c>
      <c r="CX73" s="59">
        <f t="shared" si="68"/>
        <v>974.48281037447214</v>
      </c>
      <c r="CY73" s="59">
        <f ca="1">AVERAGE(OFFSET($CX$3,0,0,'Données projet'!$E$13+1,1))-AVERAGE(OFFSET($H$3,0,0,'Données projet'!$E$13+1,1))</f>
        <v>404.10467005188889</v>
      </c>
      <c r="CZ73" s="59">
        <f t="shared" si="96"/>
        <v>372.70490129557845</v>
      </c>
      <c r="DA73" s="15">
        <f>IF(ISNA(VLOOKUP(A73,'Données projet'!$A$139:$I$159,3,0)),0,VLOOKUP(A73,'Données projet'!$A$139:$I$159,3,0))</f>
        <v>8</v>
      </c>
      <c r="DB73" s="15">
        <f>IF(ISNA(VLOOKUP(A73,'Données projet'!$A$139:$I$159,4,0)),0,VLOOKUP(A73,'Données projet'!$A$139:$I$159,4,0))</f>
        <v>586.05999999999995</v>
      </c>
      <c r="DC73" s="16">
        <f>IF(ISNA(VLOOKUP(A73,'Données projet'!$A$139:$I$159,5,0)),0%,VLOOKUP(A73,'Données projet'!$A$139:$I$159,5,0)*VLOOKUP('Données projet'!$B$13,Paramètres!$A$1:$I$89,7,0))</f>
        <v>0.38500000000000001</v>
      </c>
      <c r="DD73" s="16">
        <f>IF(ISNA(VLOOKUP(A73,'Données projet'!$A$139:$I$159,6,0)),0%,VLOOKUP(A73,'Données projet'!$A$139:$I$159,6,0)*VLOOKUP('Données projet'!$B$13,Paramètres!$A$1:$I$89,7,0))</f>
        <v>0.16500000000000001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236.1247221573218</v>
      </c>
      <c r="DG73" s="21">
        <f>EXP(-LN(2)/25)*DG72+(1-EXP(-LN(2)/25))/(LN(2)/25)*Calculateur!DB73*Calculateur!DD73*VLOOKUP('Données projet'!$B$13,Paramètres!$A$1:$I$89,3,0)*0.475*44/12</f>
        <v>130.27516020155056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366.39988235887233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6.1312500000000014</v>
      </c>
      <c r="DO73" s="12">
        <f>IF('Données projet'!$A$166&gt;35,DO72+DN73-DW72,IF(A73&lt;'Données projet'!$A$166,$DL$205^A73,IF(A73='Données projet'!$A$166,'Données projet'!$B$166,DO72+DN73-DW72)))</f>
        <v>144.35124999999979</v>
      </c>
      <c r="DP73" s="17">
        <f>DO73*VLOOKUP('Données projet'!$B$14,Paramètres!$A$1:$I$89,3,0)*VLOOKUP('Données projet'!$B$14,Paramètres!$A$1:$I$89,5,0)</f>
        <v>130.60901099999981</v>
      </c>
      <c r="DQ73" s="13">
        <f t="shared" si="97"/>
        <v>34.137045591683581</v>
      </c>
      <c r="DR73" s="20">
        <f t="shared" si="70"/>
        <v>286.93271523051521</v>
      </c>
      <c r="DS73" s="59">
        <f t="shared" si="71"/>
        <v>556.83887196304681</v>
      </c>
      <c r="DT73" s="59">
        <f ca="1">AVERAGE(OFFSET($DS$3,0,0,'Données projet'!$E$14+1,1))-AVERAGE(OFFSET($H$3,0,0,'Données projet'!$E$14+1,1))</f>
        <v>479.53113328461268</v>
      </c>
      <c r="DU73" s="59">
        <f t="shared" si="98"/>
        <v>244.6360664588118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24.740291727557942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24.740291727557942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2.2737367544323206E-13</v>
      </c>
      <c r="EK73" s="17">
        <f>EJ73*VLOOKUP('Données projet'!$B$15,Paramètres!$A$1:$I$89,3,0)*VLOOKUP('Données projet'!$B$15,Paramètres!$A$1:$I$89,5,0)</f>
        <v>1.0049916454590858E-13</v>
      </c>
      <c r="EL73" s="13">
        <f t="shared" si="99"/>
        <v>1.5089081593838289E-12</v>
      </c>
      <c r="EM73" s="20">
        <f t="shared" si="73"/>
        <v>2.8030510891776262E-12</v>
      </c>
      <c r="EN73" s="59">
        <f t="shared" si="74"/>
        <v>269.90615673253438</v>
      </c>
      <c r="EO73" s="59">
        <f ca="1">AVERAGE(OFFSET($EN$3,0,0,'Données projet'!$E$15+1,1))-AVERAGE(OFFSET($H$3,0,0,'Données projet'!$E$15+1,1))</f>
        <v>339.23049610652492</v>
      </c>
      <c r="EP73" s="59">
        <f t="shared" si="100"/>
        <v>448.85057640789785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135.39974666057313</v>
      </c>
      <c r="EW73" s="21">
        <f>EXP(-LN(2)/25)*EW72+(1-EXP(-LN(2)/25))/(LN(2)/25)*Calculateur!ER73*Calculateur!ET73*VLOOKUP('Données projet'!$B$15,Paramètres!$A$1:$I$89,3,0)*0.475*44/12</f>
        <v>88.975389404221872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224.37513606479502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11.868333333333334</v>
      </c>
      <c r="FE73" s="12">
        <f>IF('Données projet'!$A$218&gt;35,FE72+FD73-FM72,IF(A73&lt;'Données projet'!$A$218,$FB$205^A73,IF(A73='Données projet'!$A$218,'Données projet'!$B$218,FE72+FD73-FM72)))</f>
        <v>354.8250000000005</v>
      </c>
      <c r="FF73" s="17">
        <f>FE73*VLOOKUP('Données projet'!$B$16,Paramètres!$A$1:$I$89,3,0)*VLOOKUP('Données projet'!$B$16,Paramètres!$A$1:$I$89,5,0)</f>
        <v>166.05810000000025</v>
      </c>
      <c r="FG73" s="13">
        <f t="shared" si="101"/>
        <v>42.205967275752947</v>
      </c>
      <c r="FH73" s="20">
        <f t="shared" si="76"/>
        <v>362.72658383860352</v>
      </c>
      <c r="FI73" s="59">
        <f t="shared" si="77"/>
        <v>632.63274057113517</v>
      </c>
      <c r="FJ73" s="59">
        <f ca="1">AVERAGE(OFFSET($FI$3,0,0,'Données projet'!$E$16+1,1))-AVERAGE(OFFSET($H$3,0,0,'Données projet'!$E$16+1,1))</f>
        <v>365.63278362856033</v>
      </c>
      <c r="FK73" s="59">
        <f t="shared" si="102"/>
        <v>290.68267842697452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48.144382243838777</v>
      </c>
      <c r="FR73" s="21">
        <f>EXP(-LN(2)/25)*FR72+(1-EXP(-LN(2)/25))/(LN(2)/25)*Calculateur!FM73*Calculateur!FO73*VLOOKUP('Données projet'!$B$16,Paramètres!$A$1:$I$89,3,0)*0.475*44/12</f>
        <v>18.286968562900679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66.431350806739459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10.028888888888892</v>
      </c>
      <c r="FZ73" s="12">
        <f>IF('Données projet'!$A$244&gt;35,FZ72+FY73-GH72,IF(A73&lt;'Données projet'!$A$244,$FW$205^A73,IF(A73='Données projet'!$A$244,'Données projet'!$B$244,FZ72+FY73-GH72)))</f>
        <v>207.71555555555568</v>
      </c>
      <c r="GA73" s="17">
        <f>FZ73*VLOOKUP('Données projet'!$B$17,Paramètres!$A$1:$I$89,3,0)*VLOOKUP('Données projet'!$B$17,Paramètres!$A$1:$I$89,5,0)</f>
        <v>178.2199466666668</v>
      </c>
      <c r="GB73" s="13">
        <f t="shared" si="103"/>
        <v>44.925928317435456</v>
      </c>
      <c r="GC73" s="20">
        <f t="shared" si="79"/>
        <v>388.64573226397806</v>
      </c>
      <c r="GD73" s="59">
        <f t="shared" si="80"/>
        <v>658.55188899650966</v>
      </c>
      <c r="GE73" s="59">
        <f ca="1">AVERAGE(OFFSET($GD$3,0,0,'Données projet'!$E$17+1,1))-AVERAGE(OFFSET($H$3,0,0,'Données projet'!$E$17+1,1))</f>
        <v>460.46300302025099</v>
      </c>
      <c r="GF73" s="59">
        <f t="shared" si="104"/>
        <v>340.22534554615879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36.582571133705343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36.582571133705343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63.610770017963162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1.1368683772161603E-13</v>
      </c>
      <c r="GV73" s="17">
        <f>GU73*VLOOKUP('Données projet'!$B$18,Paramètres!$A$1:$I$89,3,0)*VLOOKUP('Données projet'!$B$18,Paramètres!$A$1:$I$89,5,0)</f>
        <v>6.7984728957526396E-14</v>
      </c>
      <c r="GW73" s="13">
        <f t="shared" si="105"/>
        <v>1.0682447123141398E-12</v>
      </c>
      <c r="GX73" s="20">
        <f t="shared" si="82"/>
        <v>1.978932943548152E-12</v>
      </c>
      <c r="GY73" s="59">
        <f t="shared" si="83"/>
        <v>269.90615673253359</v>
      </c>
      <c r="GZ73" s="59">
        <f ca="1">AVERAGE(OFFSET($GY$3,0,0,'Données projet'!$E$18+1,1))-AVERAGE(OFFSET($H$3,0,0,'Données projet'!$E$18+1,1))</f>
        <v>-15.950000000000017</v>
      </c>
      <c r="HA73" s="59">
        <f t="shared" si="106"/>
        <v>-15.950000000000017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126.37993075111849</v>
      </c>
      <c r="HH73" s="21">
        <f>EXP(-LN(2)/25)*HH72+(1-EXP(-LN(2)/25))/(LN(2)/25)*Calculateur!HC73*Calculateur!HE73*VLOOKUP('Données projet'!$B$18,Paramètres!$A$1:$I$89,3,0)*0.475*44/12</f>
        <v>77.38049256304646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203.76042331416494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4.3499999999999996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15.949999999999998</v>
      </c>
      <c r="H74" s="67">
        <f t="shared" si="56"/>
        <v>192.86666666666667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11.53125</v>
      </c>
      <c r="N74" s="13">
        <f>IF('Données projet'!$A$36&gt;35,N73+M74-V73,IF(A74&lt;'Données projet'!$A$36,$K$205^A74,IF(A74='Données projet'!$A$36,'Données projet'!$B$36,N73+M74-V73)))</f>
        <v>454.18124999999992</v>
      </c>
      <c r="O74" s="13">
        <f>N74*VLOOKUP('Données projet'!$B$9,Paramètres!$A$1:$I$89,3,0)*VLOOKUP('Données projet'!$B$9,Paramètres!$A$1:$I$89,5,0)</f>
        <v>396.77273999999994</v>
      </c>
      <c r="P74" s="13">
        <f t="shared" si="87"/>
        <v>91.122079630437298</v>
      </c>
      <c r="Q74" s="20">
        <f t="shared" si="54"/>
        <v>849.75014418967828</v>
      </c>
      <c r="R74" s="59">
        <f t="shared" si="55"/>
        <v>1120.0627100609133</v>
      </c>
      <c r="S74" s="59">
        <f ca="1">AVERAGE(OFFSET($R$3,0,0,'Données projet'!$E$9+1,1))-AVERAGE(OFFSET($H$3,0,0,'Données projet'!$E$9+1,1))</f>
        <v>433.46721010558042</v>
      </c>
      <c r="T74" s="59">
        <f t="shared" si="88"/>
        <v>306.18862295347509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25.72111765769386</v>
      </c>
      <c r="AA74" s="21">
        <f>EXP(-LN(2)/25)*AA73+(1-EXP(-LN(2)/25))/(LN(2)/25)*Calculateur!V74*Calculateur!X74*VLOOKUP('Données projet'!$B$9,Paramètres!$A$1:$I$89,3,0)*0.475*44/12</f>
        <v>12.040174364032628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37.76129202172649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270.31256587123704</v>
      </c>
      <c r="AN74" s="59">
        <f ca="1">AVERAGE(OFFSET($AM$3,0,0,'Données projet'!$E$10+1,1))-AVERAGE(OFFSET($H$3,0,0,'Données projet'!$E$10+1,1))</f>
        <v>400.1942260113168</v>
      </c>
      <c r="AO74" s="59">
        <f t="shared" si="90"/>
        <v>497.04866930593926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123.90169739323539</v>
      </c>
      <c r="AV74" s="21">
        <f>EXP(-LN(2)/25)*AV73+(1-EXP(-LN(2)/25))/(LN(2)/25)*Calculateur!AQ74*Calculateur!AS74*VLOOKUP('Données projet'!$B$10,Paramètres!$A$1:$I$89,3,0)*0.475*44/12</f>
        <v>75.264518924646708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199.16621631788212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284.78505691662588</v>
      </c>
      <c r="BJ74" s="59">
        <f t="shared" si="92"/>
        <v>664.42623058686308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380.64318988568527</v>
      </c>
      <c r="CE74" s="59">
        <f t="shared" si="94"/>
        <v>885.24651320439159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70.69759560739304</v>
      </c>
      <c r="CL74" s="21">
        <f>EXP(-LN(2)/25)*CL73+(1-EXP(-LN(2)/25))/(LN(2)/25)*Calculateur!CG74*Calculateur!CI74*VLOOKUP('Données projet'!$B$12,Paramètres!$A$1:$I$89,3,0)*0.475*44/12</f>
        <v>13.147542751759612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83.845138359152656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-1.1368683772161603E-13</v>
      </c>
      <c r="CU74" s="17">
        <f>CT74*VLOOKUP('Données projet'!$B$13,Paramètres!$A$1:$I$89,3,0)*VLOOKUP('Données projet'!$B$13,Paramètres!$A$1:$I$89,5,0)</f>
        <v>-6.3550942286383367E-14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404.10467005188889</v>
      </c>
      <c r="CZ74" s="59">
        <f t="shared" si="96"/>
        <v>372.70490129557845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231.49446037767626</v>
      </c>
      <c r="DG74" s="21">
        <f>EXP(-LN(2)/25)*DG73+(1-EXP(-LN(2)/25))/(LN(2)/25)*Calculateur!DB74*Calculateur!DD74*VLOOKUP('Données projet'!$B$13,Paramètres!$A$1:$I$89,3,0)*0.475*44/12</f>
        <v>126.71277909496624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358.20723947264253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6.1312500000000014</v>
      </c>
      <c r="DO74" s="12">
        <f>IF('Données projet'!$A$166&gt;35,DO73+DN74-DW73,IF(A74&lt;'Données projet'!$A$166,$DL$205^A74,IF(A74='Données projet'!$A$166,'Données projet'!$B$166,DO73+DN74-DW73)))</f>
        <v>150.48249999999979</v>
      </c>
      <c r="DP74" s="17">
        <f>DO74*VLOOKUP('Données projet'!$B$14,Paramètres!$A$1:$I$89,3,0)*VLOOKUP('Données projet'!$B$14,Paramètres!$A$1:$I$89,5,0)</f>
        <v>136.1565659999998</v>
      </c>
      <c r="DQ74" s="13">
        <f t="shared" si="97"/>
        <v>35.415107352593132</v>
      </c>
      <c r="DR74" s="20">
        <f t="shared" si="70"/>
        <v>298.82066442243269</v>
      </c>
      <c r="DS74" s="59">
        <f t="shared" si="71"/>
        <v>569.13323029366779</v>
      </c>
      <c r="DT74" s="59">
        <f ca="1">AVERAGE(OFFSET($DS$3,0,0,'Données projet'!$E$14+1,1))-AVERAGE(OFFSET($H$3,0,0,'Données projet'!$E$14+1,1))</f>
        <v>479.53113328461268</v>
      </c>
      <c r="DU74" s="59">
        <f t="shared" si="98"/>
        <v>244.6360664588118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24.255149696868461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24.255149696868461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2.2737367544323206E-13</v>
      </c>
      <c r="EK74" s="17">
        <f>EJ74*VLOOKUP('Données projet'!$B$15,Paramètres!$A$1:$I$89,3,0)*VLOOKUP('Données projet'!$B$15,Paramètres!$A$1:$I$89,5,0)</f>
        <v>1.0049916454590858E-13</v>
      </c>
      <c r="EL74" s="13">
        <f t="shared" si="99"/>
        <v>1.5089081593838289E-12</v>
      </c>
      <c r="EM74" s="20">
        <f t="shared" si="73"/>
        <v>2.8030510891776262E-12</v>
      </c>
      <c r="EN74" s="59">
        <f t="shared" si="74"/>
        <v>270.31256587123784</v>
      </c>
      <c r="EO74" s="59">
        <f ca="1">AVERAGE(OFFSET($EN$3,0,0,'Données projet'!$E$15+1,1))-AVERAGE(OFFSET($H$3,0,0,'Données projet'!$E$15+1,1))</f>
        <v>339.23049610652492</v>
      </c>
      <c r="EP74" s="59">
        <f t="shared" si="100"/>
        <v>448.85057640789785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132.7446402142501</v>
      </c>
      <c r="EW74" s="21">
        <f>EXP(-LN(2)/25)*EW73+(1-EXP(-LN(2)/25))/(LN(2)/25)*Calculateur!ER74*Calculateur!ET74*VLOOKUP('Données projet'!$B$15,Paramètres!$A$1:$I$89,3,0)*0.475*44/12</f>
        <v>86.542352701951046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219.28699291620114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11.868333333333334</v>
      </c>
      <c r="FE74" s="12">
        <f>IF('Données projet'!$A$218&gt;35,FE73+FD74-FM73,IF(A74&lt;'Données projet'!$A$218,$FB$205^A74,IF(A74='Données projet'!$A$218,'Données projet'!$B$218,FE73+FD74-FM73)))</f>
        <v>366.69333333333384</v>
      </c>
      <c r="FF74" s="17">
        <f>FE74*VLOOKUP('Données projet'!$B$16,Paramètres!$A$1:$I$89,3,0)*VLOOKUP('Données projet'!$B$16,Paramètres!$A$1:$I$89,5,0)</f>
        <v>171.61248000000023</v>
      </c>
      <c r="FG74" s="13">
        <f t="shared" si="101"/>
        <v>43.450966801537291</v>
      </c>
      <c r="FH74" s="20">
        <f t="shared" si="76"/>
        <v>374.56883651267782</v>
      </c>
      <c r="FI74" s="59">
        <f t="shared" si="77"/>
        <v>644.88140238391293</v>
      </c>
      <c r="FJ74" s="59">
        <f ca="1">AVERAGE(OFFSET($FI$3,0,0,'Données projet'!$E$16+1,1))-AVERAGE(OFFSET($H$3,0,0,'Données projet'!$E$16+1,1))</f>
        <v>365.63278362856033</v>
      </c>
      <c r="FK74" s="59">
        <f t="shared" si="102"/>
        <v>290.68267842697452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47.200300273210701</v>
      </c>
      <c r="FR74" s="21">
        <f>EXP(-LN(2)/25)*FR73+(1-EXP(-LN(2)/25))/(LN(2)/25)*Calculateur!FM74*Calculateur!FO74*VLOOKUP('Données projet'!$B$16,Paramètres!$A$1:$I$89,3,0)*0.475*44/12</f>
        <v>17.786910445878277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64.987210719088978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10.028888888888892</v>
      </c>
      <c r="FZ74" s="12">
        <f>IF('Données projet'!$A$244&gt;35,FZ73+FY74-GH73,IF(A74&lt;'Données projet'!$A$244,$FW$205^A74,IF(A74='Données projet'!$A$244,'Données projet'!$B$244,FZ73+FY74-GH73)))</f>
        <v>217.74444444444458</v>
      </c>
      <c r="GA74" s="17">
        <f>FZ74*VLOOKUP('Données projet'!$B$17,Paramètres!$A$1:$I$89,3,0)*VLOOKUP('Données projet'!$B$17,Paramètres!$A$1:$I$89,5,0)</f>
        <v>186.82473333333346</v>
      </c>
      <c r="GB74" s="13">
        <f t="shared" si="103"/>
        <v>46.837259394558174</v>
      </c>
      <c r="GC74" s="20">
        <f t="shared" si="79"/>
        <v>406.96130400107791</v>
      </c>
      <c r="GD74" s="59">
        <f t="shared" si="80"/>
        <v>677.27386987231296</v>
      </c>
      <c r="GE74" s="59">
        <f ca="1">AVERAGE(OFFSET($GD$3,0,0,'Données projet'!$E$17+1,1))-AVERAGE(OFFSET($H$3,0,0,'Données projet'!$E$17+1,1))</f>
        <v>460.46300302025099</v>
      </c>
      <c r="GF74" s="59">
        <f t="shared" si="104"/>
        <v>340.22534554615879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35.865209226938532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35.865209226938532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63.721608873973189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1.1368683772161603E-13</v>
      </c>
      <c r="GV74" s="17">
        <f>GU74*VLOOKUP('Données projet'!$B$18,Paramètres!$A$1:$I$89,3,0)*VLOOKUP('Données projet'!$B$18,Paramètres!$A$1:$I$89,5,0)</f>
        <v>6.7984728957526396E-14</v>
      </c>
      <c r="GW74" s="13">
        <f t="shared" si="105"/>
        <v>1.0682447123141398E-12</v>
      </c>
      <c r="GX74" s="20">
        <f t="shared" si="82"/>
        <v>1.978932943548152E-12</v>
      </c>
      <c r="GY74" s="59">
        <f t="shared" si="83"/>
        <v>270.31256587123704</v>
      </c>
      <c r="GZ74" s="59">
        <f ca="1">AVERAGE(OFFSET($GY$3,0,0,'Données projet'!$E$18+1,1))-AVERAGE(OFFSET($H$3,0,0,'Données projet'!$E$18+1,1))</f>
        <v>-15.950000000000017</v>
      </c>
      <c r="HA74" s="59">
        <f t="shared" si="106"/>
        <v>-15.950000000000017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123.90169739323539</v>
      </c>
      <c r="HH74" s="21">
        <f>EXP(-LN(2)/25)*HH73+(1-EXP(-LN(2)/25))/(LN(2)/25)*Calculateur!HC74*Calculateur!HE74*VLOOKUP('Données projet'!$B$18,Paramètres!$A$1:$I$89,3,0)*0.475*44/12</f>
        <v>75.264518924646708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199.16621631788212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4.3499999999999996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15.949999999999998</v>
      </c>
      <c r="H75" s="67">
        <f t="shared" si="56"/>
        <v>192.86666666666667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11.53125</v>
      </c>
      <c r="N75" s="13">
        <f>IF('Données projet'!$A$36&gt;35,N74+M75-V74,IF(A75&lt;'Données projet'!$A$36,$K$205^A75,IF(A75='Données projet'!$A$36,'Données projet'!$B$36,N74+M75-V74)))</f>
        <v>465.71249999999992</v>
      </c>
      <c r="O75" s="13">
        <f>N75*VLOOKUP('Données projet'!$B$9,Paramètres!$A$1:$I$89,3,0)*VLOOKUP('Données projet'!$B$9,Paramètres!$A$1:$I$89,5,0)</f>
        <v>406.84643999999997</v>
      </c>
      <c r="P75" s="13">
        <f t="shared" si="87"/>
        <v>93.163301913633518</v>
      </c>
      <c r="Q75" s="20">
        <f t="shared" si="54"/>
        <v>870.85030049957822</v>
      </c>
      <c r="R75" s="59">
        <f t="shared" si="55"/>
        <v>1141.5622252195549</v>
      </c>
      <c r="S75" s="59">
        <f ca="1">AVERAGE(OFFSET($R$3,0,0,'Données projet'!$E$9+1,1))-AVERAGE(OFFSET($H$3,0,0,'Données projet'!$E$9+1,1))</f>
        <v>433.46721010558042</v>
      </c>
      <c r="T75" s="59">
        <f t="shared" si="88"/>
        <v>306.18862295347509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25.216742228759159</v>
      </c>
      <c r="AA75" s="21">
        <f>EXP(-LN(2)/25)*AA74+(1-EXP(-LN(2)/25))/(LN(2)/25)*Calculateur!V75*Calculateur!X75*VLOOKUP('Données projet'!$B$9,Paramètres!$A$1:$I$89,3,0)*0.475*44/12</f>
        <v>11.710935162882905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36.927677391642064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270.71192471997864</v>
      </c>
      <c r="AN75" s="59">
        <f ca="1">AVERAGE(OFFSET($AM$3,0,0,'Données projet'!$E$10+1,1))-AVERAGE(OFFSET($H$3,0,0,'Données projet'!$E$10+1,1))</f>
        <v>400.1942260113168</v>
      </c>
      <c r="AO75" s="59">
        <f t="shared" si="90"/>
        <v>497.04866930593926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121.47206067992728</v>
      </c>
      <c r="AV75" s="21">
        <f>EXP(-LN(2)/25)*AV74+(1-EXP(-LN(2)/25))/(LN(2)/25)*Calculateur!AQ75*Calculateur!AS75*VLOOKUP('Données projet'!$B$10,Paramètres!$A$1:$I$89,3,0)*0.475*44/12</f>
        <v>73.206406696663208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194.6784673765905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284.78505691662588</v>
      </c>
      <c r="BJ75" s="59">
        <f t="shared" si="92"/>
        <v>664.42623058686308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380.64318988568527</v>
      </c>
      <c r="CE75" s="59">
        <f t="shared" si="94"/>
        <v>885.24651320439159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69.311258878807507</v>
      </c>
      <c r="CL75" s="21">
        <f>EXP(-LN(2)/25)*CL74+(1-EXP(-LN(2)/25))/(LN(2)/25)*Calculateur!CG75*Calculateur!CI75*VLOOKUP('Données projet'!$B$12,Paramètres!$A$1:$I$89,3,0)*0.475*44/12</f>
        <v>12.788022503813522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82.099281382621029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-1.1368683772161603E-13</v>
      </c>
      <c r="CU75" s="17">
        <f>CT75*VLOOKUP('Données projet'!$B$13,Paramètres!$A$1:$I$89,3,0)*VLOOKUP('Données projet'!$B$13,Paramètres!$A$1:$I$89,5,0)</f>
        <v>-6.3550942286383367E-14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404.10467005188889</v>
      </c>
      <c r="CZ75" s="59">
        <f t="shared" si="96"/>
        <v>372.70490129557845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226.95499520734876</v>
      </c>
      <c r="DG75" s="21">
        <f>EXP(-LN(2)/25)*DG74+(1-EXP(-LN(2)/25))/(LN(2)/25)*Calculateur!DB75*Calculateur!DD75*VLOOKUP('Données projet'!$B$13,Paramètres!$A$1:$I$89,3,0)*0.475*44/12</f>
        <v>123.24781148707893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350.20280669442769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6.1312500000000014</v>
      </c>
      <c r="DO75" s="12">
        <f>IF('Données projet'!$A$166&gt;35,DO74+DN75-DW74,IF(A75&lt;'Données projet'!$A$166,$DL$205^A75,IF(A75='Données projet'!$A$166,'Données projet'!$B$166,DO74+DN75-DW74)))</f>
        <v>156.61374999999978</v>
      </c>
      <c r="DP75" s="17">
        <f>DO75*VLOOKUP('Données projet'!$B$14,Paramètres!$A$1:$I$89,3,0)*VLOOKUP('Données projet'!$B$14,Paramètres!$A$1:$I$89,5,0)</f>
        <v>141.70412099999979</v>
      </c>
      <c r="DQ75" s="13">
        <f t="shared" si="97"/>
        <v>36.687120367674019</v>
      </c>
      <c r="DR75" s="20">
        <f t="shared" si="70"/>
        <v>310.69807871536523</v>
      </c>
      <c r="DS75" s="59">
        <f t="shared" si="71"/>
        <v>581.41000343534188</v>
      </c>
      <c r="DT75" s="59">
        <f ca="1">AVERAGE(OFFSET($DS$3,0,0,'Données projet'!$E$14+1,1))-AVERAGE(OFFSET($H$3,0,0,'Données projet'!$E$14+1,1))</f>
        <v>479.53113328461268</v>
      </c>
      <c r="DU75" s="59">
        <f t="shared" si="98"/>
        <v>244.6360664588118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23.779521005493383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23.779521005493383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2.2737367544323206E-13</v>
      </c>
      <c r="EK75" s="17">
        <f>EJ75*VLOOKUP('Données projet'!$B$15,Paramètres!$A$1:$I$89,3,0)*VLOOKUP('Données projet'!$B$15,Paramètres!$A$1:$I$89,5,0)</f>
        <v>1.0049916454590858E-13</v>
      </c>
      <c r="EL75" s="13">
        <f t="shared" si="99"/>
        <v>1.5089081593838289E-12</v>
      </c>
      <c r="EM75" s="20">
        <f t="shared" si="73"/>
        <v>2.8030510891776262E-12</v>
      </c>
      <c r="EN75" s="59">
        <f t="shared" si="74"/>
        <v>270.71192471997944</v>
      </c>
      <c r="EO75" s="59">
        <f ca="1">AVERAGE(OFFSET($EN$3,0,0,'Données projet'!$E$15+1,1))-AVERAGE(OFFSET($H$3,0,0,'Données projet'!$E$15+1,1))</f>
        <v>339.23049610652492</v>
      </c>
      <c r="EP75" s="59">
        <f t="shared" si="100"/>
        <v>448.85057640789785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130.14159878588444</v>
      </c>
      <c r="EW75" s="21">
        <f>EXP(-LN(2)/25)*EW74+(1-EXP(-LN(2)/25))/(LN(2)/25)*Calculateur!ER75*Calculateur!ET75*VLOOKUP('Données projet'!$B$15,Paramètres!$A$1:$I$89,3,0)*0.475*44/12</f>
        <v>84.175847516251665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214.31744630213609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11.868333333333334</v>
      </c>
      <c r="FE75" s="12">
        <f>IF('Données projet'!$A$218&gt;35,FE74+FD75-FM74,IF(A75&lt;'Données projet'!$A$218,$FB$205^A75,IF(A75='Données projet'!$A$218,'Données projet'!$B$218,FE74+FD75-FM74)))</f>
        <v>378.56166666666718</v>
      </c>
      <c r="FF75" s="17">
        <f>FE75*VLOOKUP('Données projet'!$B$16,Paramètres!$A$1:$I$89,3,0)*VLOOKUP('Données projet'!$B$16,Paramètres!$A$1:$I$89,5,0)</f>
        <v>177.16686000000024</v>
      </c>
      <c r="FG75" s="13">
        <f t="shared" si="101"/>
        <v>44.691283898534451</v>
      </c>
      <c r="FH75" s="20">
        <f t="shared" si="76"/>
        <v>386.40293395661462</v>
      </c>
      <c r="FI75" s="59">
        <f t="shared" si="77"/>
        <v>657.11485867659121</v>
      </c>
      <c r="FJ75" s="59">
        <f ca="1">AVERAGE(OFFSET($FI$3,0,0,'Données projet'!$E$16+1,1))-AVERAGE(OFFSET($H$3,0,0,'Données projet'!$E$16+1,1))</f>
        <v>365.63278362856033</v>
      </c>
      <c r="FK75" s="59">
        <f t="shared" si="102"/>
        <v>290.68267842697452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46.274731174193491</v>
      </c>
      <c r="FR75" s="21">
        <f>EXP(-LN(2)/25)*FR74+(1-EXP(-LN(2)/25))/(LN(2)/25)*Calculateur!FM75*Calculateur!FO75*VLOOKUP('Données projet'!$B$16,Paramètres!$A$1:$I$89,3,0)*0.475*44/12</f>
        <v>17.300526444362767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63.575257618556257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10.028888888888892</v>
      </c>
      <c r="FZ75" s="12">
        <f>IF('Données projet'!$A$244&gt;35,FZ74+FY75-GH74,IF(A75&lt;'Données projet'!$A$244,$FW$205^A75,IF(A75='Données projet'!$A$244,'Données projet'!$B$244,FZ74+FY75-GH74)))</f>
        <v>227.77333333333348</v>
      </c>
      <c r="GA75" s="17">
        <f>FZ75*VLOOKUP('Données projet'!$B$17,Paramètres!$A$1:$I$89,3,0)*VLOOKUP('Données projet'!$B$17,Paramètres!$A$1:$I$89,5,0)</f>
        <v>195.42952000000014</v>
      </c>
      <c r="GB75" s="13">
        <f t="shared" si="103"/>
        <v>48.738367123302332</v>
      </c>
      <c r="GC75" s="20">
        <f t="shared" si="79"/>
        <v>425.25907007308507</v>
      </c>
      <c r="GD75" s="59">
        <f t="shared" si="80"/>
        <v>695.97099479306166</v>
      </c>
      <c r="GE75" s="59">
        <f ca="1">AVERAGE(OFFSET($GD$3,0,0,'Données projet'!$E$17+1,1))-AVERAGE(OFFSET($H$3,0,0,'Données projet'!$E$17+1,1))</f>
        <v>460.46300302025099</v>
      </c>
      <c r="GF75" s="59">
        <f t="shared" si="104"/>
        <v>340.22534554615879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35.161914349615856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35.161914349615856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63.830524923629994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1.1368683772161603E-13</v>
      </c>
      <c r="GV75" s="17">
        <f>GU75*VLOOKUP('Données projet'!$B$18,Paramètres!$A$1:$I$89,3,0)*VLOOKUP('Données projet'!$B$18,Paramètres!$A$1:$I$89,5,0)</f>
        <v>6.7984728957526396E-14</v>
      </c>
      <c r="GW75" s="13">
        <f t="shared" si="105"/>
        <v>1.0682447123141398E-12</v>
      </c>
      <c r="GX75" s="20">
        <f t="shared" si="82"/>
        <v>1.978932943548152E-12</v>
      </c>
      <c r="GY75" s="59">
        <f t="shared" si="83"/>
        <v>270.71192471997864</v>
      </c>
      <c r="GZ75" s="59">
        <f ca="1">AVERAGE(OFFSET($GY$3,0,0,'Données projet'!$E$18+1,1))-AVERAGE(OFFSET($H$3,0,0,'Données projet'!$E$18+1,1))</f>
        <v>-15.950000000000017</v>
      </c>
      <c r="HA75" s="59">
        <f t="shared" si="106"/>
        <v>-15.950000000000017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121.47206067992728</v>
      </c>
      <c r="HH75" s="21">
        <f>EXP(-LN(2)/25)*HH74+(1-EXP(-LN(2)/25))/(LN(2)/25)*Calculateur!HC75*Calculateur!HE75*VLOOKUP('Données projet'!$B$18,Paramètres!$A$1:$I$89,3,0)*0.475*44/12</f>
        <v>73.206406696663208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194.6784673765905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4.3499999999999996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15.949999999999998</v>
      </c>
      <c r="H76" s="67">
        <f t="shared" si="56"/>
        <v>192.86666666666667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11.53125</v>
      </c>
      <c r="N76" s="13">
        <f>IF('Données projet'!$A$36&gt;35,N75+M76-V75,IF(A76&lt;'Données projet'!$A$36,$K$205^A76,IF(A76='Données projet'!$A$36,'Données projet'!$B$36,N75+M76-V75)))</f>
        <v>477.24374999999992</v>
      </c>
      <c r="O76" s="13">
        <f>N76*VLOOKUP('Données projet'!$B$9,Paramètres!$A$1:$I$89,3,0)*VLOOKUP('Données projet'!$B$9,Paramètres!$A$1:$I$89,5,0)</f>
        <v>416.92013999999995</v>
      </c>
      <c r="P76" s="13">
        <f t="shared" si="87"/>
        <v>95.198648992414618</v>
      </c>
      <c r="Q76" s="20">
        <f t="shared" si="54"/>
        <v>891.94022416178871</v>
      </c>
      <c r="R76" s="59">
        <f t="shared" si="55"/>
        <v>1163.0445797473139</v>
      </c>
      <c r="S76" s="59">
        <f ca="1">AVERAGE(OFFSET($R$3,0,0,'Données projet'!$E$9+1,1))-AVERAGE(OFFSET($H$3,0,0,'Données projet'!$E$9+1,1))</f>
        <v>433.46721010558042</v>
      </c>
      <c r="T76" s="59">
        <f t="shared" si="88"/>
        <v>306.18862295347509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24.722257294347234</v>
      </c>
      <c r="AA76" s="21">
        <f>EXP(-LN(2)/25)*AA75+(1-EXP(-LN(2)/25))/(LN(2)/25)*Calculateur!V76*Calculateur!X76*VLOOKUP('Données projet'!$B$9,Paramètres!$A$1:$I$89,3,0)*0.475*44/12</f>
        <v>11.390699025002558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36.112956319349792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271.10435558552723</v>
      </c>
      <c r="AN76" s="59">
        <f ca="1">AVERAGE(OFFSET($AM$3,0,0,'Données projet'!$E$10+1,1))-AVERAGE(OFFSET($H$3,0,0,'Données projet'!$E$10+1,1))</f>
        <v>400.1942260113168</v>
      </c>
      <c r="AO76" s="59">
        <f t="shared" si="90"/>
        <v>497.04866930593926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119.09006766063509</v>
      </c>
      <c r="AV76" s="21">
        <f>EXP(-LN(2)/25)*AV75+(1-EXP(-LN(2)/25))/(LN(2)/25)*Calculateur!AQ76*Calculateur!AS76*VLOOKUP('Données projet'!$B$10,Paramètres!$A$1:$I$89,3,0)*0.475*44/12</f>
        <v>71.204573655785339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190.29464131642044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284.78505691662588</v>
      </c>
      <c r="BJ76" s="59">
        <f t="shared" si="92"/>
        <v>664.42623058686308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380.64318988568527</v>
      </c>
      <c r="CE76" s="59">
        <f t="shared" si="94"/>
        <v>885.24651320439159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67.952107367887635</v>
      </c>
      <c r="CL76" s="21">
        <f>EXP(-LN(2)/25)*CL75+(1-EXP(-LN(2)/25))/(LN(2)/25)*Calculateur!CG76*Calculateur!CI76*VLOOKUP('Données projet'!$B$12,Paramètres!$A$1:$I$89,3,0)*0.475*44/12</f>
        <v>12.438333355953866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80.390440723841493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-1.1368683772161603E-13</v>
      </c>
      <c r="CU76" s="17">
        <f>CT76*VLOOKUP('Données projet'!$B$13,Paramètres!$A$1:$I$89,3,0)*VLOOKUP('Données projet'!$B$13,Paramètres!$A$1:$I$89,5,0)</f>
        <v>-6.3550942286383367E-14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404.10467005188889</v>
      </c>
      <c r="CZ76" s="59">
        <f t="shared" si="96"/>
        <v>372.70490129557845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222.50454618021101</v>
      </c>
      <c r="DG76" s="21">
        <f>EXP(-LN(2)/25)*DG75+(1-EXP(-LN(2)/25))/(LN(2)/25)*Calculateur!DB76*Calculateur!DD76*VLOOKUP('Données projet'!$B$13,Paramètres!$A$1:$I$89,3,0)*0.475*44/12</f>
        <v>119.87759360064405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342.38213978085503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6.1312500000000014</v>
      </c>
      <c r="DO76" s="12">
        <f>IF('Données projet'!$A$166&gt;35,DO75+DN76-DW75,IF(A76&lt;'Données projet'!$A$166,$DL$205^A76,IF(A76='Données projet'!$A$166,'Données projet'!$B$166,DO75+DN76-DW75)))</f>
        <v>162.74499999999978</v>
      </c>
      <c r="DP76" s="17">
        <f>DO76*VLOOKUP('Données projet'!$B$14,Paramètres!$A$1:$I$89,3,0)*VLOOKUP('Données projet'!$B$14,Paramètres!$A$1:$I$89,5,0)</f>
        <v>147.2516759999998</v>
      </c>
      <c r="DQ76" s="13">
        <f t="shared" si="97"/>
        <v>37.953348538016527</v>
      </c>
      <c r="DR76" s="20">
        <f t="shared" si="70"/>
        <v>322.5654177370451</v>
      </c>
      <c r="DS76" s="59">
        <f t="shared" si="71"/>
        <v>593.66977332257034</v>
      </c>
      <c r="DT76" s="59">
        <f ca="1">AVERAGE(OFFSET($DS$3,0,0,'Données projet'!$E$14+1,1))-AVERAGE(OFFSET($H$3,0,0,'Données projet'!$E$14+1,1))</f>
        <v>479.53113328461268</v>
      </c>
      <c r="DU76" s="59">
        <f t="shared" si="98"/>
        <v>244.6360664588118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23.313219102651313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23.313219102651313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2.2737367544323206E-13</v>
      </c>
      <c r="EK76" s="17">
        <f>EJ76*VLOOKUP('Données projet'!$B$15,Paramètres!$A$1:$I$89,3,0)*VLOOKUP('Données projet'!$B$15,Paramètres!$A$1:$I$89,5,0)</f>
        <v>1.0049916454590858E-13</v>
      </c>
      <c r="EL76" s="13">
        <f t="shared" si="99"/>
        <v>1.5089081593838289E-12</v>
      </c>
      <c r="EM76" s="20">
        <f t="shared" si="73"/>
        <v>2.8030510891776262E-12</v>
      </c>
      <c r="EN76" s="59">
        <f t="shared" si="74"/>
        <v>271.10435558552803</v>
      </c>
      <c r="EO76" s="59">
        <f ca="1">AVERAGE(OFFSET($EN$3,0,0,'Données projet'!$E$15+1,1))-AVERAGE(OFFSET($H$3,0,0,'Données projet'!$E$15+1,1))</f>
        <v>339.23049610652492</v>
      </c>
      <c r="EP76" s="59">
        <f t="shared" si="100"/>
        <v>448.85057640789785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127.58960141223052</v>
      </c>
      <c r="EW76" s="21">
        <f>EXP(-LN(2)/25)*EW75+(1-EXP(-LN(2)/25))/(LN(2)/25)*Calculateur!ER76*Calculateur!ET76*VLOOKUP('Données projet'!$B$15,Paramètres!$A$1:$I$89,3,0)*0.475*44/12</f>
        <v>81.874054539304325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209.46365595153486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>
        <f>VLOOKUP(A76,'Données projet'!$A$217:$I$237,2,0)</f>
        <v>390.43</v>
      </c>
      <c r="FC76" s="12">
        <f>VLOOKUP(A76,'Données projet'!$A$217:$I$237,9,0)</f>
        <v>11.868333333333334</v>
      </c>
      <c r="FD76" s="12">
        <f t="array" ref="FD76">INDEX(FC:FC,MIN(IF(ISNUMBER(FC76:FC272),ROW(FC76:FC272),"")))</f>
        <v>11.868333333333334</v>
      </c>
      <c r="FE76" s="12">
        <f>IF('Données projet'!$A$218&gt;35,FE75+FD76-FM75,IF(A76&lt;'Données projet'!$A$218,$FB$205^A76,IF(A76='Données projet'!$A$218,'Données projet'!$B$218,FE75+FD76-FM75)))</f>
        <v>390.43000000000052</v>
      </c>
      <c r="FF76" s="17">
        <f>FE76*VLOOKUP('Données projet'!$B$16,Paramètres!$A$1:$I$89,3,0)*VLOOKUP('Données projet'!$B$16,Paramètres!$A$1:$I$89,5,0)</f>
        <v>182.72124000000022</v>
      </c>
      <c r="FG76" s="13">
        <f t="shared" si="101"/>
        <v>45.927082209321831</v>
      </c>
      <c r="FH76" s="20">
        <f t="shared" si="76"/>
        <v>398.2291611812359</v>
      </c>
      <c r="FI76" s="59">
        <f t="shared" si="77"/>
        <v>669.33351676676114</v>
      </c>
      <c r="FJ76" s="59">
        <f ca="1">AVERAGE(OFFSET($FI$3,0,0,'Données projet'!$E$16+1,1))-AVERAGE(OFFSET($H$3,0,0,'Données projet'!$E$16+1,1))</f>
        <v>365.63278362856033</v>
      </c>
      <c r="FK76" s="59">
        <f t="shared" si="102"/>
        <v>290.68267842697452</v>
      </c>
      <c r="FL76" s="15">
        <f>IF(ISNA(VLOOKUP(A76,'Données projet'!$A$217:$I$237,3,0)),0,VLOOKUP(A76,'Données projet'!$A$217:$I$237,3,0))</f>
        <v>3</v>
      </c>
      <c r="FM76" s="15">
        <f>IF(ISNA(VLOOKUP(A76,'Données projet'!$A$217:$I$237,4,0)),0,VLOOKUP(A76,'Données projet'!$A$217:$I$237,4,0))</f>
        <v>102.1</v>
      </c>
      <c r="FN76" s="16">
        <f>IF(ISNA(VLOOKUP(A76,'Données projet'!$A$217:$I$237,5,0)),0%,VLOOKUP(A76,'Données projet'!$A$217:$I$237,5,0)*VLOOKUP('Données projet'!$B$16,Paramètres!$A$1:$I$89,7,0))</f>
        <v>0.38500000000000001</v>
      </c>
      <c r="FO76" s="16">
        <f>IF(ISNA(VLOOKUP(A76,'Données projet'!$A$217:$I$237,6,0)),0%,VLOOKUP(A76,'Données projet'!$A$217:$I$237,6,0)*VLOOKUP('Données projet'!$B$16,Paramètres!$A$1:$I$89,7,0))</f>
        <v>0.16500000000000001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69.771293084296545</v>
      </c>
      <c r="FR76" s="21">
        <f>EXP(-LN(2)/25)*FR75+(1-EXP(-LN(2)/25))/(LN(2)/25)*Calculateur!FM76*Calculateur!FO76*VLOOKUP('Données projet'!$B$16,Paramètres!$A$1:$I$89,3,0)*0.475*44/12</f>
        <v>27.245111235150624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97.016404319447162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10.028888888888892</v>
      </c>
      <c r="FZ76" s="12">
        <f>IF('Données projet'!$A$244&gt;35,FZ75+FY76-GH75,IF(A76&lt;'Données projet'!$A$244,$FW$205^A76,IF(A76='Données projet'!$A$244,'Données projet'!$B$244,FZ75+FY76-GH75)))</f>
        <v>237.80222222222238</v>
      </c>
      <c r="GA76" s="17">
        <f>FZ76*VLOOKUP('Données projet'!$B$17,Paramètres!$A$1:$I$89,3,0)*VLOOKUP('Données projet'!$B$17,Paramètres!$A$1:$I$89,5,0)</f>
        <v>204.03430666666685</v>
      </c>
      <c r="GB76" s="13">
        <f t="shared" si="103"/>
        <v>50.629753080116259</v>
      </c>
      <c r="GC76" s="20">
        <f t="shared" si="79"/>
        <v>443.53990405898054</v>
      </c>
      <c r="GD76" s="59">
        <f t="shared" si="80"/>
        <v>714.64425964450584</v>
      </c>
      <c r="GE76" s="59">
        <f ca="1">AVERAGE(OFFSET($GD$3,0,0,'Données projet'!$E$17+1,1))-AVERAGE(OFFSET($H$3,0,0,'Données projet'!$E$17+1,1))</f>
        <v>460.46300302025099</v>
      </c>
      <c r="GF76" s="59">
        <f t="shared" si="104"/>
        <v>340.22534554615879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34.472410655869965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34.472410655869965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63.93755152332507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1.1368683772161603E-13</v>
      </c>
      <c r="GV76" s="17">
        <f>GU76*VLOOKUP('Données projet'!$B$18,Paramètres!$A$1:$I$89,3,0)*VLOOKUP('Données projet'!$B$18,Paramètres!$A$1:$I$89,5,0)</f>
        <v>6.7984728957526396E-14</v>
      </c>
      <c r="GW76" s="13">
        <f t="shared" si="105"/>
        <v>1.0682447123141398E-12</v>
      </c>
      <c r="GX76" s="20">
        <f t="shared" si="82"/>
        <v>1.978932943548152E-12</v>
      </c>
      <c r="GY76" s="59">
        <f t="shared" si="83"/>
        <v>271.10435558552723</v>
      </c>
      <c r="GZ76" s="59">
        <f ca="1">AVERAGE(OFFSET($GY$3,0,0,'Données projet'!$E$18+1,1))-AVERAGE(OFFSET($H$3,0,0,'Données projet'!$E$18+1,1))</f>
        <v>-15.950000000000017</v>
      </c>
      <c r="HA76" s="59">
        <f t="shared" si="106"/>
        <v>-15.950000000000017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119.09006766063509</v>
      </c>
      <c r="HH76" s="21">
        <f>EXP(-LN(2)/25)*HH75+(1-EXP(-LN(2)/25))/(LN(2)/25)*Calculateur!HC76*Calculateur!HE76*VLOOKUP('Données projet'!$B$18,Paramètres!$A$1:$I$89,3,0)*0.475*44/12</f>
        <v>71.204573655785339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190.29464131642044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4.3499999999999996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15.949999999999998</v>
      </c>
      <c r="H77" s="67">
        <f t="shared" si="56"/>
        <v>192.86666666666667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11.53125</v>
      </c>
      <c r="N77" s="13">
        <f>IF('Données projet'!$A$36&gt;35,N76+M77-V76,IF(A77&lt;'Données projet'!$A$36,$K$205^A77,IF(A77='Données projet'!$A$36,'Données projet'!$B$36,N76+M77-V76)))</f>
        <v>488.77499999999992</v>
      </c>
      <c r="O77" s="13">
        <f>N77*VLOOKUP('Données projet'!$B$9,Paramètres!$A$1:$I$89,3,0)*VLOOKUP('Données projet'!$B$9,Paramètres!$A$1:$I$89,5,0)</f>
        <v>426.99384000000003</v>
      </c>
      <c r="P77" s="13">
        <f t="shared" si="87"/>
        <v>97.228279156909025</v>
      </c>
      <c r="Q77" s="20">
        <f t="shared" si="54"/>
        <v>913.02019086494977</v>
      </c>
      <c r="R77" s="59">
        <f t="shared" si="55"/>
        <v>1184.5101695178503</v>
      </c>
      <c r="S77" s="59">
        <f ca="1">AVERAGE(OFFSET($R$3,0,0,'Données projet'!$E$9+1,1))-AVERAGE(OFFSET($H$3,0,0,'Données projet'!$E$9+1,1))</f>
        <v>433.46721010558042</v>
      </c>
      <c r="T77" s="59">
        <f t="shared" si="88"/>
        <v>306.18862295347509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24.237468907893099</v>
      </c>
      <c r="AA77" s="21">
        <f>EXP(-LN(2)/25)*AA76+(1-EXP(-LN(2)/25))/(LN(2)/25)*Calculateur!V77*Calculateur!X77*VLOOKUP('Données projet'!$B$9,Paramètres!$A$1:$I$89,3,0)*0.475*44/12</f>
        <v>11.079219761153036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35.316688669046137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271.48997865290249</v>
      </c>
      <c r="AN77" s="59">
        <f ca="1">AVERAGE(OFFSET($AM$3,0,0,'Données projet'!$E$10+1,1))-AVERAGE(OFFSET($H$3,0,0,'Données projet'!$E$10+1,1))</f>
        <v>400.1942260113168</v>
      </c>
      <c r="AO77" s="59">
        <f t="shared" si="90"/>
        <v>497.04866930593926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116.75478407157892</v>
      </c>
      <c r="AV77" s="21">
        <f>EXP(-LN(2)/25)*AV76+(1-EXP(-LN(2)/25))/(LN(2)/25)*Calculateur!AQ77*Calculateur!AS77*VLOOKUP('Données projet'!$B$10,Paramètres!$A$1:$I$89,3,0)*0.475*44/12</f>
        <v>69.257480844682107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186.01226491626102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284.78505691662588</v>
      </c>
      <c r="BJ77" s="59">
        <f t="shared" si="92"/>
        <v>664.42623058686308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380.64318988568527</v>
      </c>
      <c r="CE77" s="59">
        <f t="shared" si="94"/>
        <v>885.24651320439159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66.619607989096338</v>
      </c>
      <c r="CL77" s="21">
        <f>EXP(-LN(2)/25)*CL76+(1-EXP(-LN(2)/25))/(LN(2)/25)*Calculateur!CG77*Calculateur!CI77*VLOOKUP('Données projet'!$B$12,Paramètres!$A$1:$I$89,3,0)*0.475*44/12</f>
        <v>12.098206476231784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78.717814465328118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-1.1368683772161603E-13</v>
      </c>
      <c r="CU77" s="17">
        <f>CT77*VLOOKUP('Données projet'!$B$13,Paramètres!$A$1:$I$89,3,0)*VLOOKUP('Données projet'!$B$13,Paramètres!$A$1:$I$89,5,0)</f>
        <v>-6.3550942286383367E-14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404.10467005188889</v>
      </c>
      <c r="CZ77" s="59">
        <f t="shared" si="96"/>
        <v>372.70490129557845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218.14136774398955</v>
      </c>
      <c r="DG77" s="21">
        <f>EXP(-LN(2)/25)*DG76+(1-EXP(-LN(2)/25))/(LN(2)/25)*Calculateur!DB77*Calculateur!DD77*VLOOKUP('Données projet'!$B$13,Paramètres!$A$1:$I$89,3,0)*0.475*44/12</f>
        <v>116.59953449954577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334.74090224353529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6.1312500000000014</v>
      </c>
      <c r="DO77" s="12">
        <f>IF('Données projet'!$A$166&gt;35,DO76+DN77-DW76,IF(A77&lt;'Données projet'!$A$166,$DL$205^A77,IF(A77='Données projet'!$A$166,'Données projet'!$B$166,DO76+DN77-DW76)))</f>
        <v>168.87624999999977</v>
      </c>
      <c r="DP77" s="17">
        <f>DO77*VLOOKUP('Données projet'!$B$14,Paramètres!$A$1:$I$89,3,0)*VLOOKUP('Données projet'!$B$14,Paramètres!$A$1:$I$89,5,0)</f>
        <v>152.79923099999979</v>
      </c>
      <c r="DQ77" s="13">
        <f t="shared" si="97"/>
        <v>39.214034753922192</v>
      </c>
      <c r="DR77" s="20">
        <f t="shared" si="70"/>
        <v>334.42310452141413</v>
      </c>
      <c r="DS77" s="59">
        <f t="shared" si="71"/>
        <v>605.91308317431458</v>
      </c>
      <c r="DT77" s="59">
        <f ca="1">AVERAGE(OFFSET($DS$3,0,0,'Données projet'!$E$14+1,1))-AVERAGE(OFFSET($H$3,0,0,'Données projet'!$E$14+1,1))</f>
        <v>479.53113328461268</v>
      </c>
      <c r="DU77" s="59">
        <f t="shared" si="98"/>
        <v>244.6360664588118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22.856061095707901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22.856061095707901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2.2737367544323206E-13</v>
      </c>
      <c r="EK77" s="17">
        <f>EJ77*VLOOKUP('Données projet'!$B$15,Paramètres!$A$1:$I$89,3,0)*VLOOKUP('Données projet'!$B$15,Paramètres!$A$1:$I$89,5,0)</f>
        <v>1.0049916454590858E-13</v>
      </c>
      <c r="EL77" s="13">
        <f t="shared" si="99"/>
        <v>1.5089081593838289E-12</v>
      </c>
      <c r="EM77" s="20">
        <f t="shared" si="73"/>
        <v>2.8030510891776262E-12</v>
      </c>
      <c r="EN77" s="59">
        <f t="shared" si="74"/>
        <v>271.48997865290329</v>
      </c>
      <c r="EO77" s="59">
        <f ca="1">AVERAGE(OFFSET($EN$3,0,0,'Données projet'!$E$15+1,1))-AVERAGE(OFFSET($H$3,0,0,'Données projet'!$E$15+1,1))</f>
        <v>339.23049610652492</v>
      </c>
      <c r="EP77" s="59">
        <f t="shared" si="100"/>
        <v>448.85057640789785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125.08764715050926</v>
      </c>
      <c r="EW77" s="21">
        <f>EXP(-LN(2)/25)*EW76+(1-EXP(-LN(2)/25))/(LN(2)/25)*Calculateur!ER77*Calculateur!ET77*VLOOKUP('Données projet'!$B$15,Paramètres!$A$1:$I$89,3,0)*0.475*44/12</f>
        <v>79.63520421235765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204.72285136286689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10.985833333333332</v>
      </c>
      <c r="FE77" s="12">
        <f>IF('Données projet'!$A$218&gt;35,FE76+FD77-FM76,IF(A77&lt;'Données projet'!$A$218,$FB$205^A77,IF(A77='Données projet'!$A$218,'Données projet'!$B$218,FE76+FD77-FM76)))</f>
        <v>299.3158333333339</v>
      </c>
      <c r="FF77" s="17">
        <f>FE77*VLOOKUP('Données projet'!$B$16,Paramètres!$A$1:$I$89,3,0)*VLOOKUP('Données projet'!$B$16,Paramètres!$A$1:$I$89,5,0)</f>
        <v>140.07981000000026</v>
      </c>
      <c r="FG77" s="13">
        <f t="shared" si="101"/>
        <v>36.315288238799972</v>
      </c>
      <c r="FH77" s="20">
        <f t="shared" si="76"/>
        <v>307.22146276591042</v>
      </c>
      <c r="FI77" s="59">
        <f t="shared" si="77"/>
        <v>578.71144141881086</v>
      </c>
      <c r="FJ77" s="59">
        <f ca="1">AVERAGE(OFFSET($FI$3,0,0,'Données projet'!$E$16+1,1))-AVERAGE(OFFSET($H$3,0,0,'Données projet'!$E$16+1,1))</f>
        <v>365.63278362856033</v>
      </c>
      <c r="FK77" s="59">
        <f t="shared" si="102"/>
        <v>290.68267842697452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68.403120583200192</v>
      </c>
      <c r="FR77" s="21">
        <f>EXP(-LN(2)/25)*FR76+(1-EXP(-LN(2)/25))/(LN(2)/25)*Calculateur!FM77*Calculateur!FO77*VLOOKUP('Données projet'!$B$16,Paramètres!$A$1:$I$89,3,0)*0.475*44/12</f>
        <v>26.500092235667299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94.903212818867487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10.028888888888892</v>
      </c>
      <c r="FZ77" s="12">
        <f>IF('Données projet'!$A$244&gt;35,FZ76+FY77-GH76,IF(A77&lt;'Données projet'!$A$244,$FW$205^A77,IF(A77='Données projet'!$A$244,'Données projet'!$B$244,FZ76+FY77-GH76)))</f>
        <v>247.83111111111128</v>
      </c>
      <c r="GA77" s="17">
        <f>FZ77*VLOOKUP('Données projet'!$B$17,Paramètres!$A$1:$I$89,3,0)*VLOOKUP('Données projet'!$B$17,Paramètres!$A$1:$I$89,5,0)</f>
        <v>212.63909333333351</v>
      </c>
      <c r="GB77" s="13">
        <f t="shared" si="103"/>
        <v>52.511874142056044</v>
      </c>
      <c r="GC77" s="20">
        <f t="shared" si="79"/>
        <v>461.80460168630344</v>
      </c>
      <c r="GD77" s="59">
        <f t="shared" si="80"/>
        <v>733.294580339204</v>
      </c>
      <c r="GE77" s="59">
        <f ca="1">AVERAGE(OFFSET($GD$3,0,0,'Données projet'!$E$17+1,1))-AVERAGE(OFFSET($H$3,0,0,'Données projet'!$E$17+1,1))</f>
        <v>460.46300302025099</v>
      </c>
      <c r="GF77" s="59">
        <f t="shared" si="104"/>
        <v>340.22534554615879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33.7964277090027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33.7964277090027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64.042721450791049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1.1368683772161603E-13</v>
      </c>
      <c r="GV77" s="17">
        <f>GU77*VLOOKUP('Données projet'!$B$18,Paramètres!$A$1:$I$89,3,0)*VLOOKUP('Données projet'!$B$18,Paramètres!$A$1:$I$89,5,0)</f>
        <v>6.7984728957526396E-14</v>
      </c>
      <c r="GW77" s="13">
        <f t="shared" si="105"/>
        <v>1.0682447123141398E-12</v>
      </c>
      <c r="GX77" s="20">
        <f t="shared" si="82"/>
        <v>1.978932943548152E-12</v>
      </c>
      <c r="GY77" s="59">
        <f t="shared" si="83"/>
        <v>271.48997865290249</v>
      </c>
      <c r="GZ77" s="59">
        <f ca="1">AVERAGE(OFFSET($GY$3,0,0,'Données projet'!$E$18+1,1))-AVERAGE(OFFSET($H$3,0,0,'Données projet'!$E$18+1,1))</f>
        <v>-15.950000000000017</v>
      </c>
      <c r="HA77" s="59">
        <f t="shared" si="106"/>
        <v>-15.950000000000017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116.75478407157892</v>
      </c>
      <c r="HH77" s="21">
        <f>EXP(-LN(2)/25)*HH76+(1-EXP(-LN(2)/25))/(LN(2)/25)*Calculateur!HC77*Calculateur!HE77*VLOOKUP('Données projet'!$B$18,Paramètres!$A$1:$I$89,3,0)*0.475*44/12</f>
        <v>69.257480844682107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186.01226491626102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4.3499999999999996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15.949999999999998</v>
      </c>
      <c r="H78" s="67">
        <f t="shared" si="56"/>
        <v>192.86666666666667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11.53125</v>
      </c>
      <c r="N78" s="13">
        <f>IF('Données projet'!$A$36&gt;35,N77+M78-V77,IF(A78&lt;'Données projet'!$A$36,$K$205^A78,IF(A78='Données projet'!$A$36,'Données projet'!$B$36,N77+M78-V77)))</f>
        <v>500.30624999999992</v>
      </c>
      <c r="O78" s="13">
        <f>N78*VLOOKUP('Données projet'!$B$9,Paramètres!$A$1:$I$89,3,0)*VLOOKUP('Données projet'!$B$9,Paramètres!$A$1:$I$89,5,0)</f>
        <v>437.06754000000001</v>
      </c>
      <c r="P78" s="13">
        <f t="shared" si="87"/>
        <v>99.252342802391027</v>
      </c>
      <c r="Q78" s="20">
        <f t="shared" si="54"/>
        <v>934.09046254749762</v>
      </c>
      <c r="R78" s="59">
        <f t="shared" si="55"/>
        <v>1205.9593745696786</v>
      </c>
      <c r="S78" s="59">
        <f ca="1">AVERAGE(OFFSET($R$3,0,0,'Données projet'!$E$9+1,1))-AVERAGE(OFFSET($H$3,0,0,'Données projet'!$E$9+1,1))</f>
        <v>433.46721010558042</v>
      </c>
      <c r="T78" s="59">
        <f t="shared" si="88"/>
        <v>306.18862295347509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23.762186926005612</v>
      </c>
      <c r="AA78" s="21">
        <f>EXP(-LN(2)/25)*AA77+(1-EXP(-LN(2)/25))/(LN(2)/25)*Calculateur!V78*Calculateur!X78*VLOOKUP('Données projet'!$B$9,Paramètres!$A$1:$I$89,3,0)*0.475*44/12</f>
        <v>10.776257914153462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34.538444840159073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271.86891202218294</v>
      </c>
      <c r="AN78" s="59">
        <f ca="1">AVERAGE(OFFSET($AM$3,0,0,'Données projet'!$E$10+1,1))-AVERAGE(OFFSET($H$3,0,0,'Données projet'!$E$10+1,1))</f>
        <v>400.1942260113168</v>
      </c>
      <c r="AO78" s="59">
        <f t="shared" si="90"/>
        <v>497.04866930593926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114.46529396932181</v>
      </c>
      <c r="AV78" s="21">
        <f>EXP(-LN(2)/25)*AV77+(1-EXP(-LN(2)/25))/(LN(2)/25)*Calculateur!AQ78*Calculateur!AS78*VLOOKUP('Données projet'!$B$10,Paramètres!$A$1:$I$89,3,0)*0.475*44/12</f>
        <v>67.363631388891648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181.82892535821344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284.78505691662588</v>
      </c>
      <c r="BJ78" s="59">
        <f t="shared" si="92"/>
        <v>664.42623058686308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380.64318988568527</v>
      </c>
      <c r="CE78" s="59">
        <f t="shared" si="94"/>
        <v>885.24651320439159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65.313238110378762</v>
      </c>
      <c r="CL78" s="21">
        <f>EXP(-LN(2)/25)*CL77+(1-EXP(-LN(2)/25))/(LN(2)/25)*Calculateur!CG78*Calculateur!CI78*VLOOKUP('Données projet'!$B$12,Paramètres!$A$1:$I$89,3,0)*0.475*44/12</f>
        <v>11.767380383922198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77.080618494300964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-1.1368683772161603E-13</v>
      </c>
      <c r="CU78" s="17">
        <f>CT78*VLOOKUP('Données projet'!$B$13,Paramètres!$A$1:$I$89,3,0)*VLOOKUP('Données projet'!$B$13,Paramètres!$A$1:$I$89,5,0)</f>
        <v>-6.3550942286383367E-14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404.10467005188889</v>
      </c>
      <c r="CZ78" s="59">
        <f t="shared" si="96"/>
        <v>372.70490129557845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213.86374857562635</v>
      </c>
      <c r="DG78" s="21">
        <f>EXP(-LN(2)/25)*DG77+(1-EXP(-LN(2)/25))/(LN(2)/25)*Calculateur!DB78*Calculateur!DD78*VLOOKUP('Données projet'!$B$13,Paramètres!$A$1:$I$89,3,0)*0.475*44/12</f>
        <v>113.41111409695266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327.27486267257899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6.1312500000000014</v>
      </c>
      <c r="DO78" s="12">
        <f>IF('Données projet'!$A$166&gt;35,DO77+DN78-DW77,IF(A78&lt;'Données projet'!$A$166,$DL$205^A78,IF(A78='Données projet'!$A$166,'Données projet'!$B$166,DO77+DN78-DW77)))</f>
        <v>175.00749999999977</v>
      </c>
      <c r="DP78" s="17">
        <f>DO78*VLOOKUP('Données projet'!$B$14,Paramètres!$A$1:$I$89,3,0)*VLOOKUP('Données projet'!$B$14,Paramètres!$A$1:$I$89,5,0)</f>
        <v>158.34678599999978</v>
      </c>
      <c r="DQ78" s="13">
        <f t="shared" si="97"/>
        <v>40.469403269286829</v>
      </c>
      <c r="DR78" s="20">
        <f t="shared" si="70"/>
        <v>346.27152964400744</v>
      </c>
      <c r="DS78" s="59">
        <f t="shared" si="71"/>
        <v>618.14044166618839</v>
      </c>
      <c r="DT78" s="59">
        <f ca="1">AVERAGE(OFFSET($DS$3,0,0,'Données projet'!$E$14+1,1))-AVERAGE(OFFSET($H$3,0,0,'Données projet'!$E$14+1,1))</f>
        <v>479.53113328461268</v>
      </c>
      <c r="DU78" s="59">
        <f t="shared" si="98"/>
        <v>244.6360664588118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22.407867678441796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22.407867678441796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2.2737367544323206E-13</v>
      </c>
      <c r="EK78" s="17">
        <f>EJ78*VLOOKUP('Données projet'!$B$15,Paramètres!$A$1:$I$89,3,0)*VLOOKUP('Données projet'!$B$15,Paramètres!$A$1:$I$89,5,0)</f>
        <v>1.0049916454590858E-13</v>
      </c>
      <c r="EL78" s="13">
        <f t="shared" si="99"/>
        <v>1.5089081593838289E-12</v>
      </c>
      <c r="EM78" s="20">
        <f t="shared" si="73"/>
        <v>2.8030510891776262E-12</v>
      </c>
      <c r="EN78" s="59">
        <f t="shared" si="74"/>
        <v>271.86891202218374</v>
      </c>
      <c r="EO78" s="59">
        <f ca="1">AVERAGE(OFFSET($EN$3,0,0,'Données projet'!$E$15+1,1))-AVERAGE(OFFSET($H$3,0,0,'Données projet'!$E$15+1,1))</f>
        <v>339.23049610652492</v>
      </c>
      <c r="EP78" s="59">
        <f t="shared" si="100"/>
        <v>448.85057640789785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122.63475468581893</v>
      </c>
      <c r="EW78" s="21">
        <f>EXP(-LN(2)/25)*EW77+(1-EXP(-LN(2)/25))/(LN(2)/25)*Calculateur!ER78*Calculateur!ET78*VLOOKUP('Données projet'!$B$15,Paramètres!$A$1:$I$89,3,0)*0.475*44/12</f>
        <v>77.457575365337348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200.0923300511563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10.985833333333332</v>
      </c>
      <c r="FE78" s="12">
        <f>IF('Données projet'!$A$218&gt;35,FE77+FD78-FM77,IF(A78&lt;'Données projet'!$A$218,$FB$205^A78,IF(A78='Données projet'!$A$218,'Données projet'!$B$218,FE77+FD78-FM77)))</f>
        <v>310.30166666666724</v>
      </c>
      <c r="FF78" s="17">
        <f>FE78*VLOOKUP('Données projet'!$B$16,Paramètres!$A$1:$I$89,3,0)*VLOOKUP('Données projet'!$B$16,Paramètres!$A$1:$I$89,5,0)</f>
        <v>145.22118000000026</v>
      </c>
      <c r="FG78" s="13">
        <f t="shared" si="101"/>
        <v>37.490543694625295</v>
      </c>
      <c r="FH78" s="20">
        <f t="shared" si="76"/>
        <v>318.22291876813949</v>
      </c>
      <c r="FI78" s="59">
        <f t="shared" si="77"/>
        <v>590.0918307903205</v>
      </c>
      <c r="FJ78" s="59">
        <f ca="1">AVERAGE(OFFSET($FI$3,0,0,'Données projet'!$E$16+1,1))-AVERAGE(OFFSET($H$3,0,0,'Données projet'!$E$16+1,1))</f>
        <v>365.63278362856033</v>
      </c>
      <c r="FK78" s="59">
        <f t="shared" si="102"/>
        <v>290.68267842697452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67.061777110347506</v>
      </c>
      <c r="FR78" s="21">
        <f>EXP(-LN(2)/25)*FR77+(1-EXP(-LN(2)/25))/(LN(2)/25)*Calculateur!FM78*Calculateur!FO78*VLOOKUP('Données projet'!$B$16,Paramètres!$A$1:$I$89,3,0)*0.475*44/12</f>
        <v>25.775445819903695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92.837222930251201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257.86</v>
      </c>
      <c r="FX78" s="12">
        <f>VLOOKUP(A78,'Données projet'!$A$243:$I$263,9,0)</f>
        <v>10.028888888888892</v>
      </c>
      <c r="FY78" s="12">
        <f t="array" ref="FY78">INDEX(FX:FX,MIN(IF(ISNUMBER(FX78:FX274),ROW(FX78:FX274),"")))</f>
        <v>10.028888888888892</v>
      </c>
      <c r="FZ78" s="12">
        <f>IF('Données projet'!$A$244&gt;35,FZ77+FY78-GH77,IF(A78&lt;'Données projet'!$A$244,$FW$205^A78,IF(A78='Données projet'!$A$244,'Données projet'!$B$244,FZ77+FY78-GH77)))</f>
        <v>257.86000000000018</v>
      </c>
      <c r="GA78" s="17">
        <f>FZ78*VLOOKUP('Données projet'!$B$17,Paramètres!$A$1:$I$89,3,0)*VLOOKUP('Données projet'!$B$17,Paramètres!$A$1:$I$89,5,0)</f>
        <v>221.24388000000019</v>
      </c>
      <c r="GB78" s="13">
        <f t="shared" si="103"/>
        <v>54.385148116935618</v>
      </c>
      <c r="GC78" s="20">
        <f t="shared" si="79"/>
        <v>480.05389063699653</v>
      </c>
      <c r="GD78" s="59">
        <f t="shared" si="80"/>
        <v>751.92280265917748</v>
      </c>
      <c r="GE78" s="59">
        <f ca="1">AVERAGE(OFFSET($GD$3,0,0,'Données projet'!$E$17+1,1))-AVERAGE(OFFSET($H$3,0,0,'Données projet'!$E$17+1,1))</f>
        <v>460.46300302025099</v>
      </c>
      <c r="GF78" s="59">
        <f t="shared" si="104"/>
        <v>340.22534554615879</v>
      </c>
      <c r="GG78" s="15">
        <f>IF(ISNA(VLOOKUP(A78,'Données projet'!$A$243:$I$263,3,0)),0,VLOOKUP(A78,'Données projet'!$A$243:$I$263,3,0))</f>
        <v>3</v>
      </c>
      <c r="GH78" s="15">
        <f>IF(ISNA(VLOOKUP(A78,'Données projet'!$A$243:$I$263,4,0)),0,VLOOKUP(A78,'Données projet'!$A$243:$I$263,4,0))</f>
        <v>68.540000000000006</v>
      </c>
      <c r="GI78" s="16">
        <f>IF(ISNA(VLOOKUP(A78,'Données projet'!$A$243:$I$263,5,0)),0%,VLOOKUP(A78,'Données projet'!$A$243:$I$263,5,0)*VLOOKUP('Données projet'!$B$17,Paramètres!$A$1:$I$89,7,0))</f>
        <v>0.318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53.806800989804202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53.806800989804202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64.146066915140253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1.1368683772161603E-13</v>
      </c>
      <c r="GV78" s="17">
        <f>GU78*VLOOKUP('Données projet'!$B$18,Paramètres!$A$1:$I$89,3,0)*VLOOKUP('Données projet'!$B$18,Paramètres!$A$1:$I$89,5,0)</f>
        <v>6.7984728957526396E-14</v>
      </c>
      <c r="GW78" s="13">
        <f t="shared" si="105"/>
        <v>1.0682447123141398E-12</v>
      </c>
      <c r="GX78" s="20">
        <f t="shared" si="82"/>
        <v>1.978932943548152E-12</v>
      </c>
      <c r="GY78" s="59">
        <f t="shared" si="83"/>
        <v>271.86891202218294</v>
      </c>
      <c r="GZ78" s="59">
        <f ca="1">AVERAGE(OFFSET($GY$3,0,0,'Données projet'!$E$18+1,1))-AVERAGE(OFFSET($H$3,0,0,'Données projet'!$E$18+1,1))</f>
        <v>-15.950000000000017</v>
      </c>
      <c r="HA78" s="59">
        <f t="shared" si="106"/>
        <v>-15.950000000000017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114.46529396932181</v>
      </c>
      <c r="HH78" s="21">
        <f>EXP(-LN(2)/25)*HH77+(1-EXP(-LN(2)/25))/(LN(2)/25)*Calculateur!HC78*Calculateur!HE78*VLOOKUP('Données projet'!$B$18,Paramètres!$A$1:$I$89,3,0)*0.475*44/12</f>
        <v>67.363631388891648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181.82892535821344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4.3499999999999996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15.949999999999998</v>
      </c>
      <c r="H79" s="67">
        <f t="shared" si="56"/>
        <v>192.86666666666667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11.53125</v>
      </c>
      <c r="N79" s="13">
        <f>IF('Données projet'!$A$36&gt;35,N78+M79-V78,IF(A79&lt;'Données projet'!$A$36,$K$205^A79,IF(A79='Données projet'!$A$36,'Données projet'!$B$36,N78+M79-V78)))</f>
        <v>511.83749999999992</v>
      </c>
      <c r="O79" s="13">
        <f>N79*VLOOKUP('Données projet'!$B$9,Paramètres!$A$1:$I$89,3,0)*VLOOKUP('Données projet'!$B$9,Paramètres!$A$1:$I$89,5,0)</f>
        <v>447.14123999999998</v>
      </c>
      <c r="P79" s="13">
        <f t="shared" si="87"/>
        <v>101.2709829957939</v>
      </c>
      <c r="Q79" s="20">
        <f t="shared" si="54"/>
        <v>955.151288384341</v>
      </c>
      <c r="R79" s="59">
        <f t="shared" si="55"/>
        <v>1227.3925601290134</v>
      </c>
      <c r="S79" s="59">
        <f ca="1">AVERAGE(OFFSET($R$3,0,0,'Données projet'!$E$9+1,1))-AVERAGE(OFFSET($H$3,0,0,'Données projet'!$E$9+1,1))</f>
        <v>433.46721010558042</v>
      </c>
      <c r="T79" s="59">
        <f t="shared" si="88"/>
        <v>306.18862295347509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23.296224933889551</v>
      </c>
      <c r="AA79" s="21">
        <f>EXP(-LN(2)/25)*AA78+(1-EXP(-LN(2)/25))/(LN(2)/25)*Calculateur!V79*Calculateur!X79*VLOOKUP('Données projet'!$B$9,Paramètres!$A$1:$I$89,3,0)*0.475*44/12</f>
        <v>10.481580574792162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33.777805508681709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272.24127174467435</v>
      </c>
      <c r="AN79" s="59">
        <f ca="1">AVERAGE(OFFSET($AM$3,0,0,'Données projet'!$E$10+1,1))-AVERAGE(OFFSET($H$3,0,0,'Données projet'!$E$10+1,1))</f>
        <v>400.1942260113168</v>
      </c>
      <c r="AO79" s="59">
        <f t="shared" si="90"/>
        <v>497.04866930593926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112.22069937151888</v>
      </c>
      <c r="AV79" s="21">
        <f>EXP(-LN(2)/25)*AV78+(1-EXP(-LN(2)/25))/(LN(2)/25)*Calculateur!AQ79*Calculateur!AS79*VLOOKUP('Données projet'!$B$10,Paramètres!$A$1:$I$89,3,0)*0.475*44/12</f>
        <v>65.521569346062989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177.74226871758185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284.78505691662588</v>
      </c>
      <c r="BJ79" s="59">
        <f t="shared" si="92"/>
        <v>664.42623058686308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380.64318988568527</v>
      </c>
      <c r="CE79" s="59">
        <f t="shared" si="94"/>
        <v>885.24651320439159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64.032485348175896</v>
      </c>
      <c r="CL79" s="21">
        <f>EXP(-LN(2)/25)*CL78+(1-EXP(-LN(2)/25))/(LN(2)/25)*Calculateur!CG79*Calculateur!CI79*VLOOKUP('Données projet'!$B$12,Paramètres!$A$1:$I$89,3,0)*0.475*44/12</f>
        <v>11.445600748504207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75.478086096680101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-1.1368683772161603E-13</v>
      </c>
      <c r="CU79" s="17">
        <f>CT79*VLOOKUP('Données projet'!$B$13,Paramètres!$A$1:$I$89,3,0)*VLOOKUP('Données projet'!$B$13,Paramètres!$A$1:$I$89,5,0)</f>
        <v>-6.3550942286383367E-14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404.10467005188889</v>
      </c>
      <c r="CZ79" s="59">
        <f t="shared" si="96"/>
        <v>372.70490129557845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209.67001091006466</v>
      </c>
      <c r="DG79" s="21">
        <f>EXP(-LN(2)/25)*DG78+(1-EXP(-LN(2)/25))/(LN(2)/25)*Calculateur!DB79*Calculateur!DD79*VLOOKUP('Données projet'!$B$13,Paramètres!$A$1:$I$89,3,0)*0.475*44/12</f>
        <v>110.3098812179402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319.97989212800485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6.1312500000000014</v>
      </c>
      <c r="DO79" s="12">
        <f>IF('Données projet'!$A$166&gt;35,DO78+DN79-DW78,IF(A79&lt;'Données projet'!$A$166,$DL$205^A79,IF(A79='Données projet'!$A$166,'Données projet'!$B$166,DO78+DN79-DW78)))</f>
        <v>181.13874999999976</v>
      </c>
      <c r="DP79" s="17">
        <f>DO79*VLOOKUP('Données projet'!$B$14,Paramètres!$A$1:$I$89,3,0)*VLOOKUP('Données projet'!$B$14,Paramètres!$A$1:$I$89,5,0)</f>
        <v>163.89434099999977</v>
      </c>
      <c r="DQ79" s="13">
        <f t="shared" si="97"/>
        <v>41.719661733895947</v>
      </c>
      <c r="DR79" s="20">
        <f t="shared" si="70"/>
        <v>358.11105476153506</v>
      </c>
      <c r="DS79" s="59">
        <f t="shared" si="71"/>
        <v>630.35232650620742</v>
      </c>
      <c r="DT79" s="59">
        <f ca="1">AVERAGE(OFFSET($DS$3,0,0,'Données projet'!$E$14+1,1))-AVERAGE(OFFSET($H$3,0,0,'Données projet'!$E$14+1,1))</f>
        <v>479.53113328461268</v>
      </c>
      <c r="DU79" s="59">
        <f t="shared" si="98"/>
        <v>244.6360664588118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21.968463060717287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21.968463060717287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2.2737367544323206E-13</v>
      </c>
      <c r="EK79" s="17">
        <f>EJ79*VLOOKUP('Données projet'!$B$15,Paramètres!$A$1:$I$89,3,0)*VLOOKUP('Données projet'!$B$15,Paramètres!$A$1:$I$89,5,0)</f>
        <v>1.0049916454590858E-13</v>
      </c>
      <c r="EL79" s="13">
        <f t="shared" si="99"/>
        <v>1.5089081593838289E-12</v>
      </c>
      <c r="EM79" s="20">
        <f t="shared" si="73"/>
        <v>2.8030510891776262E-12</v>
      </c>
      <c r="EN79" s="59">
        <f t="shared" si="74"/>
        <v>272.24127174467515</v>
      </c>
      <c r="EO79" s="59">
        <f ca="1">AVERAGE(OFFSET($EN$3,0,0,'Données projet'!$E$15+1,1))-AVERAGE(OFFSET($H$3,0,0,'Données projet'!$E$15+1,1))</f>
        <v>339.23049610652492</v>
      </c>
      <c r="EP79" s="59">
        <f t="shared" si="100"/>
        <v>448.85057640789785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120.22996194624452</v>
      </c>
      <c r="EW79" s="21">
        <f>EXP(-LN(2)/25)*EW78+(1-EXP(-LN(2)/25))/(LN(2)/25)*Calculateur!ER79*Calculateur!ET79*VLOOKUP('Données projet'!$B$15,Paramètres!$A$1:$I$89,3,0)*0.475*44/12</f>
        <v>75.339493893655344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195.56945583989986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10.985833333333332</v>
      </c>
      <c r="FE79" s="12">
        <f>IF('Données projet'!$A$218&gt;35,FE78+FD79-FM78,IF(A79&lt;'Données projet'!$A$218,$FB$205^A79,IF(A79='Données projet'!$A$218,'Données projet'!$B$218,FE78+FD79-FM78)))</f>
        <v>321.28750000000059</v>
      </c>
      <c r="FF79" s="17">
        <f>FE79*VLOOKUP('Données projet'!$B$16,Paramètres!$A$1:$I$89,3,0)*VLOOKUP('Données projet'!$B$16,Paramètres!$A$1:$I$89,5,0)</f>
        <v>150.36255000000028</v>
      </c>
      <c r="FG79" s="13">
        <f t="shared" si="101"/>
        <v>38.660964829863467</v>
      </c>
      <c r="FH79" s="20">
        <f t="shared" si="76"/>
        <v>329.21595499534607</v>
      </c>
      <c r="FI79" s="59">
        <f t="shared" si="77"/>
        <v>601.45722674001843</v>
      </c>
      <c r="FJ79" s="59">
        <f ca="1">AVERAGE(OFFSET($FI$3,0,0,'Données projet'!$E$16+1,1))-AVERAGE(OFFSET($H$3,0,0,'Données projet'!$E$16+1,1))</f>
        <v>365.63278362856033</v>
      </c>
      <c r="FK79" s="59">
        <f t="shared" si="102"/>
        <v>290.68267842697452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65.746736564858736</v>
      </c>
      <c r="FR79" s="21">
        <f>EXP(-LN(2)/25)*FR78+(1-EXP(-LN(2)/25))/(LN(2)/25)*Calculateur!FM79*Calculateur!FO79*VLOOKUP('Données projet'!$B$16,Paramètres!$A$1:$I$89,3,0)*0.475*44/12</f>
        <v>25.070614898486642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90.817351463345375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9.5455555555555591</v>
      </c>
      <c r="FZ79" s="12">
        <f>IF('Données projet'!$A$244&gt;35,FZ78+FY79-GH78,IF(A79&lt;'Données projet'!$A$244,$FW$205^A79,IF(A79='Données projet'!$A$244,'Données projet'!$B$244,FZ78+FY79-GH78)))</f>
        <v>198.86555555555572</v>
      </c>
      <c r="GA79" s="17">
        <f>FZ79*VLOOKUP('Données projet'!$B$17,Paramètres!$A$1:$I$89,3,0)*VLOOKUP('Données projet'!$B$17,Paramètres!$A$1:$I$89,5,0)</f>
        <v>170.62664666666683</v>
      </c>
      <c r="GB79" s="13">
        <f t="shared" si="103"/>
        <v>43.230341524594934</v>
      </c>
      <c r="GC79" s="20">
        <f t="shared" si="79"/>
        <v>372.46758776644748</v>
      </c>
      <c r="GD79" s="59">
        <f t="shared" si="80"/>
        <v>644.70885951111984</v>
      </c>
      <c r="GE79" s="59">
        <f ca="1">AVERAGE(OFFSET($GD$3,0,0,'Données projet'!$E$17+1,1))-AVERAGE(OFFSET($H$3,0,0,'Données projet'!$E$17+1,1))</f>
        <v>460.46300302025099</v>
      </c>
      <c r="GF79" s="59">
        <f t="shared" si="104"/>
        <v>340.22534554615879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52.751682441302151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52.751682441302151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64.247619566728829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1.1368683772161603E-13</v>
      </c>
      <c r="GV79" s="17">
        <f>GU79*VLOOKUP('Données projet'!$B$18,Paramètres!$A$1:$I$89,3,0)*VLOOKUP('Données projet'!$B$18,Paramètres!$A$1:$I$89,5,0)</f>
        <v>6.7984728957526396E-14</v>
      </c>
      <c r="GW79" s="13">
        <f t="shared" si="105"/>
        <v>1.0682447123141398E-12</v>
      </c>
      <c r="GX79" s="20">
        <f t="shared" si="82"/>
        <v>1.978932943548152E-12</v>
      </c>
      <c r="GY79" s="59">
        <f t="shared" si="83"/>
        <v>272.24127174467435</v>
      </c>
      <c r="GZ79" s="59">
        <f ca="1">AVERAGE(OFFSET($GY$3,0,0,'Données projet'!$E$18+1,1))-AVERAGE(OFFSET($H$3,0,0,'Données projet'!$E$18+1,1))</f>
        <v>-15.950000000000017</v>
      </c>
      <c r="HA79" s="59">
        <f t="shared" si="106"/>
        <v>-15.950000000000017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112.22069937151888</v>
      </c>
      <c r="HH79" s="21">
        <f>EXP(-LN(2)/25)*HH78+(1-EXP(-LN(2)/25))/(LN(2)/25)*Calculateur!HC79*Calculateur!HE79*VLOOKUP('Données projet'!$B$18,Paramètres!$A$1:$I$89,3,0)*0.475*44/12</f>
        <v>65.521569346062989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177.74226871758185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4.3499999999999996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15.949999999999998</v>
      </c>
      <c r="H80" s="67">
        <f t="shared" si="56"/>
        <v>192.86666666666667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11.53125</v>
      </c>
      <c r="N80" s="13">
        <f>IF('Données projet'!$A$36&gt;35,N79+M80-V79,IF(A80&lt;'Données projet'!$A$36,$K$205^A80,IF(A80='Données projet'!$A$36,'Données projet'!$B$36,N79+M80-V79)))</f>
        <v>523.36874999999986</v>
      </c>
      <c r="O80" s="13">
        <f>N80*VLOOKUP('Données projet'!$B$9,Paramètres!$A$1:$I$89,3,0)*VLOOKUP('Données projet'!$B$9,Paramètres!$A$1:$I$89,5,0)</f>
        <v>457.21493999999996</v>
      </c>
      <c r="P80" s="13">
        <f t="shared" si="87"/>
        <v>103.28433598973167</v>
      </c>
      <c r="Q80" s="20">
        <f t="shared" si="54"/>
        <v>976.20290568211578</v>
      </c>
      <c r="R80" s="59">
        <f t="shared" si="55"/>
        <v>1248.810077540566</v>
      </c>
      <c r="S80" s="59">
        <f ca="1">AVERAGE(OFFSET($R$3,0,0,'Données projet'!$E$9+1,1))-AVERAGE(OFFSET($H$3,0,0,'Données projet'!$E$9+1,1))</f>
        <v>433.46721010558042</v>
      </c>
      <c r="T80" s="59">
        <f t="shared" si="88"/>
        <v>306.18862295347509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22.839400172230135</v>
      </c>
      <c r="AA80" s="21">
        <f>EXP(-LN(2)/25)*AA79+(1-EXP(-LN(2)/25))/(LN(2)/25)*Calculateur!V80*Calculateur!X80*VLOOKUP('Données projet'!$B$9,Paramètres!$A$1:$I$89,3,0)*0.475*44/12</f>
        <v>10.194961202772104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33.034361375002241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272.60717185845226</v>
      </c>
      <c r="AN80" s="59">
        <f ca="1">AVERAGE(OFFSET($AM$3,0,0,'Données projet'!$E$10+1,1))-AVERAGE(OFFSET($H$3,0,0,'Données projet'!$E$10+1,1))</f>
        <v>400.1942260113168</v>
      </c>
      <c r="AO80" s="59">
        <f t="shared" si="90"/>
        <v>497.04866930593926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110.02011990471134</v>
      </c>
      <c r="AV80" s="21">
        <f>EXP(-LN(2)/25)*AV79+(1-EXP(-LN(2)/25))/(LN(2)/25)*Calculateur!AQ80*Calculateur!AS80*VLOOKUP('Données projet'!$B$10,Paramètres!$A$1:$I$89,3,0)*0.475*44/12</f>
        <v>63.729878586665315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173.74999849137666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284.78505691662588</v>
      </c>
      <c r="BJ80" s="59">
        <f t="shared" si="92"/>
        <v>664.42623058686308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380.64318988568527</v>
      </c>
      <c r="CE80" s="59">
        <f t="shared" si="94"/>
        <v>885.24651320439159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62.776847366457773</v>
      </c>
      <c r="CL80" s="21">
        <f>EXP(-LN(2)/25)*CL79+(1-EXP(-LN(2)/25))/(LN(2)/25)*Calculateur!CG80*Calculateur!CI80*VLOOKUP('Données projet'!$B$12,Paramètres!$A$1:$I$89,3,0)*0.475*44/12</f>
        <v>11.132620194138376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73.909467560596141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-1.1368683772161603E-13</v>
      </c>
      <c r="CU80" s="17">
        <f>CT80*VLOOKUP('Données projet'!$B$13,Paramètres!$A$1:$I$89,3,0)*VLOOKUP('Données projet'!$B$13,Paramètres!$A$1:$I$89,5,0)</f>
        <v>-6.3550942286383367E-14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404.10467005188889</v>
      </c>
      <c r="CZ80" s="59">
        <f t="shared" si="96"/>
        <v>372.70490129557845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205.55850988219726</v>
      </c>
      <c r="DG80" s="21">
        <f>EXP(-LN(2)/25)*DG79+(1-EXP(-LN(2)/25))/(LN(2)/25)*Calculateur!DB80*Calculateur!DD80*VLOOKUP('Données projet'!$B$13,Paramètres!$A$1:$I$89,3,0)*0.475*44/12</f>
        <v>107.29345171509109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312.85196159728832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>
        <f>VLOOKUP(A80,'Données projet'!$A$165:$I$185,2,0)</f>
        <v>187.27</v>
      </c>
      <c r="DM80" s="12">
        <f>VLOOKUP(A80,'Données projet'!$A$165:$I$185,9,0)</f>
        <v>6.1312500000000014</v>
      </c>
      <c r="DN80" s="12">
        <f t="array" ref="DN80">INDEX(DM:DM,MIN(IF(ISNUMBER(DM80:DM276),ROW(DM80:DM276),"")))</f>
        <v>6.1312500000000014</v>
      </c>
      <c r="DO80" s="12">
        <f>IF('Données projet'!$A$166&gt;35,DO79+DN80-DW79,IF(A80&lt;'Données projet'!$A$166,$DL$205^A80,IF(A80='Données projet'!$A$166,'Données projet'!$B$166,DO79+DN80-DW79)))</f>
        <v>187.26999999999975</v>
      </c>
      <c r="DP80" s="17">
        <f>DO80*VLOOKUP('Données projet'!$B$14,Paramètres!$A$1:$I$89,3,0)*VLOOKUP('Données projet'!$B$14,Paramètres!$A$1:$I$89,5,0)</f>
        <v>169.44189599999976</v>
      </c>
      <c r="DQ80" s="13">
        <f t="shared" si="97"/>
        <v>42.965002942830701</v>
      </c>
      <c r="DR80" s="20">
        <f t="shared" si="70"/>
        <v>369.94201565876301</v>
      </c>
      <c r="DS80" s="59">
        <f t="shared" si="71"/>
        <v>642.54918751721334</v>
      </c>
      <c r="DT80" s="59">
        <f ca="1">AVERAGE(OFFSET($DS$3,0,0,'Données projet'!$E$14+1,1))-AVERAGE(OFFSET($H$3,0,0,'Données projet'!$E$14+1,1))</f>
        <v>479.53113328461268</v>
      </c>
      <c r="DU80" s="59">
        <f t="shared" si="98"/>
        <v>244.6360664588118</v>
      </c>
      <c r="DV80" s="15">
        <f>IF(ISNA(VLOOKUP(A80,'Données projet'!$A$165:$I$185,3,0)),0,VLOOKUP(A80,'Données projet'!$A$165:$I$185,3,0))</f>
        <v>3</v>
      </c>
      <c r="DW80" s="15">
        <f>IF(ISNA(VLOOKUP(A80,'Données projet'!$A$165:$I$185,4,0)),0,VLOOKUP(A80,'Données projet'!$A$165:$I$185,4,0))</f>
        <v>31.56</v>
      </c>
      <c r="DX80" s="16">
        <f>IF(ISNA(VLOOKUP(A80,'Données projet'!$A$165:$I$185,5,0)),0%,VLOOKUP(A80,'Données projet'!$A$165:$I$185,5,0)*VLOOKUP('Données projet'!$B$14,Paramètres!$A$1:$I$89,7,0))</f>
        <v>0.25800000000000001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29.682024408070024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29.682024408070024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2.2737367544323206E-13</v>
      </c>
      <c r="EK80" s="17">
        <f>EJ80*VLOOKUP('Données projet'!$B$15,Paramètres!$A$1:$I$89,3,0)*VLOOKUP('Données projet'!$B$15,Paramètres!$A$1:$I$89,5,0)</f>
        <v>1.0049916454590858E-13</v>
      </c>
      <c r="EL80" s="13">
        <f t="shared" si="99"/>
        <v>1.5089081593838289E-12</v>
      </c>
      <c r="EM80" s="20">
        <f t="shared" si="73"/>
        <v>2.8030510891776262E-12</v>
      </c>
      <c r="EN80" s="59">
        <f t="shared" si="74"/>
        <v>272.60717185845306</v>
      </c>
      <c r="EO80" s="59">
        <f ca="1">AVERAGE(OFFSET($EN$3,0,0,'Données projet'!$E$15+1,1))-AVERAGE(OFFSET($H$3,0,0,'Données projet'!$E$15+1,1))</f>
        <v>339.23049610652492</v>
      </c>
      <c r="EP80" s="59">
        <f t="shared" si="100"/>
        <v>448.85057640789785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117.87232572551441</v>
      </c>
      <c r="EW80" s="21">
        <f>EXP(-LN(2)/25)*EW79+(1-EXP(-LN(2)/25))/(LN(2)/25)*Calculateur!ER80*Calculateur!ET80*VLOOKUP('Données projet'!$B$15,Paramètres!$A$1:$I$89,3,0)*0.475*44/12</f>
        <v>73.279331471201544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191.15165719671597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10.985833333333332</v>
      </c>
      <c r="FE80" s="12">
        <f>IF('Données projet'!$A$218&gt;35,FE79+FD80-FM79,IF(A80&lt;'Données projet'!$A$218,$FB$205^A80,IF(A80='Données projet'!$A$218,'Données projet'!$B$218,FE79+FD80-FM79)))</f>
        <v>332.27333333333394</v>
      </c>
      <c r="FF80" s="17">
        <f>FE80*VLOOKUP('Données projet'!$B$16,Paramètres!$A$1:$I$89,3,0)*VLOOKUP('Données projet'!$B$16,Paramètres!$A$1:$I$89,5,0)</f>
        <v>155.50392000000028</v>
      </c>
      <c r="FG80" s="13">
        <f t="shared" si="101"/>
        <v>39.826735892383049</v>
      </c>
      <c r="FH80" s="20">
        <f t="shared" si="76"/>
        <v>340.20089234590097</v>
      </c>
      <c r="FI80" s="59">
        <f t="shared" si="77"/>
        <v>612.80806420435124</v>
      </c>
      <c r="FJ80" s="59">
        <f ca="1">AVERAGE(OFFSET($FI$3,0,0,'Données projet'!$E$16+1,1))-AVERAGE(OFFSET($H$3,0,0,'Données projet'!$E$16+1,1))</f>
        <v>365.63278362856033</v>
      </c>
      <c r="FK80" s="59">
        <f t="shared" si="102"/>
        <v>290.68267842697452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64.45748316237146</v>
      </c>
      <c r="FR80" s="21">
        <f>EXP(-LN(2)/25)*FR79+(1-EXP(-LN(2)/25))/(LN(2)/25)*Calculateur!FM80*Calculateur!FO80*VLOOKUP('Données projet'!$B$16,Paramètres!$A$1:$I$89,3,0)*0.475*44/12</f>
        <v>24.385057615681188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88.842540778052651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9.5455555555555591</v>
      </c>
      <c r="FZ80" s="12">
        <f>IF('Données projet'!$A$244&gt;35,FZ79+FY80-GH79,IF(A80&lt;'Données projet'!$A$244,$FW$205^A80,IF(A80='Données projet'!$A$244,'Données projet'!$B$244,FZ79+FY80-GH79)))</f>
        <v>208.41111111111127</v>
      </c>
      <c r="GA80" s="17">
        <f>FZ80*VLOOKUP('Données projet'!$B$17,Paramètres!$A$1:$I$89,3,0)*VLOOKUP('Données projet'!$B$17,Paramètres!$A$1:$I$89,5,0)</f>
        <v>178.81673333333347</v>
      </c>
      <c r="GB80" s="13">
        <f t="shared" si="103"/>
        <v>45.058830167751566</v>
      </c>
      <c r="GC80" s="20">
        <f t="shared" si="79"/>
        <v>389.91660643105638</v>
      </c>
      <c r="GD80" s="59">
        <f t="shared" si="80"/>
        <v>662.52377828950671</v>
      </c>
      <c r="GE80" s="59">
        <f ca="1">AVERAGE(OFFSET($GD$3,0,0,'Données projet'!$E$17+1,1))-AVERAGE(OFFSET($H$3,0,0,'Données projet'!$E$17+1,1))</f>
        <v>460.46300302025099</v>
      </c>
      <c r="GF80" s="59">
        <f t="shared" si="104"/>
        <v>340.22534554615879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51.717254123977455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51.717254123977455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64.347410506850068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1.1368683772161603E-13</v>
      </c>
      <c r="GV80" s="17">
        <f>GU80*VLOOKUP('Données projet'!$B$18,Paramètres!$A$1:$I$89,3,0)*VLOOKUP('Données projet'!$B$18,Paramètres!$A$1:$I$89,5,0)</f>
        <v>6.7984728957526396E-14</v>
      </c>
      <c r="GW80" s="13">
        <f t="shared" si="105"/>
        <v>1.0682447123141398E-12</v>
      </c>
      <c r="GX80" s="20">
        <f t="shared" si="82"/>
        <v>1.978932943548152E-12</v>
      </c>
      <c r="GY80" s="59">
        <f t="shared" si="83"/>
        <v>272.60717185845226</v>
      </c>
      <c r="GZ80" s="59">
        <f ca="1">AVERAGE(OFFSET($GY$3,0,0,'Données projet'!$E$18+1,1))-AVERAGE(OFFSET($H$3,0,0,'Données projet'!$E$18+1,1))</f>
        <v>-15.950000000000017</v>
      </c>
      <c r="HA80" s="59">
        <f t="shared" si="106"/>
        <v>-15.950000000000017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110.02011990471134</v>
      </c>
      <c r="HH80" s="21">
        <f>EXP(-LN(2)/25)*HH79+(1-EXP(-LN(2)/25))/(LN(2)/25)*Calculateur!HC80*Calculateur!HE80*VLOOKUP('Données projet'!$B$18,Paramètres!$A$1:$I$89,3,0)*0.475*44/12</f>
        <v>63.729878586665315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173.74999849137666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4.3499999999999996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15.949999999999998</v>
      </c>
      <c r="H81" s="67">
        <f t="shared" si="56"/>
        <v>192.86666666666667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>
        <f>VLOOKUP(A81,'Données projet'!$A$35:$I$55,2,0)</f>
        <v>534.9</v>
      </c>
      <c r="L81" s="12">
        <f>VLOOKUP(A81,'Données projet'!$A$35:$I$55,9,0)</f>
        <v>11.53125</v>
      </c>
      <c r="M81" s="12">
        <f t="array" ref="M81">INDEX(L:L,MIN(IF(ISNUMBER(L81:L277),ROW(L81:L277),"")))</f>
        <v>11.53125</v>
      </c>
      <c r="N81" s="13">
        <f>IF('Données projet'!$A$36&gt;35,N80+M81-V80,IF(A81&lt;'Données projet'!$A$36,$K$205^A81,IF(A81='Données projet'!$A$36,'Données projet'!$B$36,N80+M81-V80)))</f>
        <v>534.89999999999986</v>
      </c>
      <c r="O81" s="13">
        <f>N81*VLOOKUP('Données projet'!$B$9,Paramètres!$A$1:$I$89,3,0)*VLOOKUP('Données projet'!$B$9,Paramètres!$A$1:$I$89,5,0)</f>
        <v>467.28863999999987</v>
      </c>
      <c r="P81" s="13">
        <f t="shared" si="87"/>
        <v>105.29253168994205</v>
      </c>
      <c r="Q81" s="20">
        <f t="shared" si="54"/>
        <v>997.24554069331555</v>
      </c>
      <c r="R81" s="59">
        <f t="shared" si="55"/>
        <v>1270.2122651165996</v>
      </c>
      <c r="S81" s="59">
        <f ca="1">AVERAGE(OFFSET($R$3,0,0,'Données projet'!$E$9+1,1))-AVERAGE(OFFSET($H$3,0,0,'Données projet'!$E$9+1,1))</f>
        <v>433.46721010558042</v>
      </c>
      <c r="T81" s="59">
        <f t="shared" si="88"/>
        <v>306.18862295347509</v>
      </c>
      <c r="U81" s="15">
        <f>IF(ISNA(VLOOKUP(A81,'Données projet'!$A$35:$I$55,3,0)),0,VLOOKUP(A81,'Données projet'!$A$35:$I$55,3,0))</f>
        <v>6</v>
      </c>
      <c r="V81" s="15">
        <f>IF(ISNA(VLOOKUP(A81,'Données projet'!$A$35:$I$55,4,0)),0,VLOOKUP(A81,'Données projet'!$A$35:$I$55,4,0))</f>
        <v>534.9</v>
      </c>
      <c r="W81" s="16">
        <f>IF(ISNA(VLOOKUP(A81,'Données projet'!$A$35:$I$55,5,0)),0%,VLOOKUP(A81,'Données projet'!$A$35:$I$55,5,0)*VLOOKUP('Données projet'!$B$9,Paramètres!$A$1:$I$89,7,0))</f>
        <v>0.25800000000000001</v>
      </c>
      <c r="X81" s="16">
        <f>IF(ISNA(VLOOKUP(A81,'Données projet'!$A$35:$I$55,6,0)),0%,VLOOKUP(A81,'Données projet'!$A$35:$I$55,6,0)*VLOOKUP('Données projet'!$B$9,Paramètres!$A$1:$I$89,7,0))</f>
        <v>0.129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155.66756102026821</v>
      </c>
      <c r="AA81" s="21">
        <f>EXP(-LN(2)/25)*AA80+(1-EXP(-LN(2)/25))/(LN(2)/25)*Calculateur!V81*Calculateur!X81*VLOOKUP('Données projet'!$B$9,Paramètres!$A$1:$I$89,3,0)*0.475*44/12</f>
        <v>76.29181397861565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231.95937499888385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272.96672442328611</v>
      </c>
      <c r="AN81" s="59">
        <f ca="1">AVERAGE(OFFSET($AM$3,0,0,'Données projet'!$E$10+1,1))-AVERAGE(OFFSET($H$3,0,0,'Données projet'!$E$10+1,1))</f>
        <v>400.1942260113168</v>
      </c>
      <c r="AO81" s="59">
        <f t="shared" si="90"/>
        <v>497.04866930593926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107.86269245902696</v>
      </c>
      <c r="AV81" s="21">
        <f>EXP(-LN(2)/25)*AV80+(1-EXP(-LN(2)/25))/(LN(2)/25)*Calculateur!AQ81*Calculateur!AS81*VLOOKUP('Données projet'!$B$10,Paramètres!$A$1:$I$89,3,0)*0.475*44/12</f>
        <v>61.987181705304295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169.84987416433125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284.78505691662588</v>
      </c>
      <c r="BJ81" s="59">
        <f t="shared" si="92"/>
        <v>664.42623058686308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380.64318988568527</v>
      </c>
      <c r="CE81" s="59">
        <f t="shared" si="94"/>
        <v>885.24651320439159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61.545831679697599</v>
      </c>
      <c r="CL81" s="21">
        <f>EXP(-LN(2)/25)*CL80+(1-EXP(-LN(2)/25))/(LN(2)/25)*Calculateur!CG81*Calculateur!CI81*VLOOKUP('Données projet'!$B$12,Paramètres!$A$1:$I$89,3,0)*0.475*44/12</f>
        <v>10.828198109490609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72.374029789188214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-1.1368683772161603E-13</v>
      </c>
      <c r="CU81" s="17">
        <f>CT81*VLOOKUP('Données projet'!$B$13,Paramètres!$A$1:$I$89,3,0)*VLOOKUP('Données projet'!$B$13,Paramètres!$A$1:$I$89,5,0)</f>
        <v>-6.3550942286383367E-14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404.10467005188889</v>
      </c>
      <c r="CZ81" s="59">
        <f t="shared" si="96"/>
        <v>372.70490129557845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201.52763288171832</v>
      </c>
      <c r="DG81" s="21">
        <f>EXP(-LN(2)/25)*DG80+(1-EXP(-LN(2)/25))/(LN(2)/25)*Calculateur!DB81*Calculateur!DD81*VLOOKUP('Données projet'!$B$13,Paramètres!$A$1:$I$89,3,0)*0.475*44/12</f>
        <v>104.35950663562453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305.88713951734286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6.0955555555555536</v>
      </c>
      <c r="DO81" s="12">
        <f>IF('Données projet'!$A$166&gt;35,DO80+DN81-DW80,IF(A81&lt;'Données projet'!$A$166,$DL$205^A81,IF(A81='Données projet'!$A$166,'Données projet'!$B$166,DO80+DN81-DW80)))</f>
        <v>161.80555555555532</v>
      </c>
      <c r="DP81" s="17">
        <f>DO81*VLOOKUP('Données projet'!$B$14,Paramètres!$A$1:$I$89,3,0)*VLOOKUP('Données projet'!$B$14,Paramètres!$A$1:$I$89,5,0)</f>
        <v>146.40166666666644</v>
      </c>
      <c r="DQ81" s="13">
        <f t="shared" si="97"/>
        <v>37.759699453248707</v>
      </c>
      <c r="DR81" s="20">
        <f t="shared" si="70"/>
        <v>320.74771265885221</v>
      </c>
      <c r="DS81" s="59">
        <f t="shared" si="71"/>
        <v>593.71443708213633</v>
      </c>
      <c r="DT81" s="59">
        <f ca="1">AVERAGE(OFFSET($DS$3,0,0,'Données projet'!$E$14+1,1))-AVERAGE(OFFSET($H$3,0,0,'Données projet'!$E$14+1,1))</f>
        <v>479.53113328461268</v>
      </c>
      <c r="DU81" s="59">
        <f t="shared" si="98"/>
        <v>244.6360664588118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29.099978013675013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29.099978013675013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2.2737367544323206E-13</v>
      </c>
      <c r="EK81" s="17">
        <f>EJ81*VLOOKUP('Données projet'!$B$15,Paramètres!$A$1:$I$89,3,0)*VLOOKUP('Données projet'!$B$15,Paramètres!$A$1:$I$89,5,0)</f>
        <v>1.0049916454590858E-13</v>
      </c>
      <c r="EL81" s="13">
        <f t="shared" si="99"/>
        <v>1.5089081593838289E-12</v>
      </c>
      <c r="EM81" s="20">
        <f t="shared" si="73"/>
        <v>2.8030510891776262E-12</v>
      </c>
      <c r="EN81" s="59">
        <f t="shared" si="74"/>
        <v>272.96672442328691</v>
      </c>
      <c r="EO81" s="59">
        <f ca="1">AVERAGE(OFFSET($EN$3,0,0,'Données projet'!$E$15+1,1))-AVERAGE(OFFSET($H$3,0,0,'Données projet'!$E$15+1,1))</f>
        <v>339.23049610652492</v>
      </c>
      <c r="EP81" s="59">
        <f t="shared" si="100"/>
        <v>448.85057640789785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115.56092131305672</v>
      </c>
      <c r="EW81" s="21">
        <f>EXP(-LN(2)/25)*EW80+(1-EXP(-LN(2)/25))/(LN(2)/25)*Calculateur!ER81*Calculateur!ET81*VLOOKUP('Données projet'!$B$15,Paramètres!$A$1:$I$89,3,0)*0.475*44/12</f>
        <v>71.275504298528972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186.8364256115857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10.985833333333332</v>
      </c>
      <c r="FE81" s="12">
        <f>IF('Données projet'!$A$218&gt;35,FE80+FD81-FM80,IF(A81&lt;'Données projet'!$A$218,$FB$205^A81,IF(A81='Données projet'!$A$218,'Données projet'!$B$218,FE80+FD81-FM80)))</f>
        <v>343.25916666666728</v>
      </c>
      <c r="FF81" s="17">
        <f>FE81*VLOOKUP('Données projet'!$B$16,Paramètres!$A$1:$I$89,3,0)*VLOOKUP('Données projet'!$B$16,Paramètres!$A$1:$I$89,5,0)</f>
        <v>160.64529000000027</v>
      </c>
      <c r="FG81" s="13">
        <f t="shared" si="101"/>
        <v>40.988028255180659</v>
      </c>
      <c r="FH81" s="20">
        <f t="shared" si="76"/>
        <v>351.17802929444014</v>
      </c>
      <c r="FI81" s="59">
        <f t="shared" si="77"/>
        <v>624.14475371772426</v>
      </c>
      <c r="FJ81" s="59">
        <f ca="1">AVERAGE(OFFSET($FI$3,0,0,'Données projet'!$E$16+1,1))-AVERAGE(OFFSET($H$3,0,0,'Données projet'!$E$16+1,1))</f>
        <v>365.63278362856033</v>
      </c>
      <c r="FK81" s="59">
        <f t="shared" si="102"/>
        <v>290.68267842697452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63.193511232740036</v>
      </c>
      <c r="FR81" s="21">
        <f>EXP(-LN(2)/25)*FR80+(1-EXP(-LN(2)/25))/(LN(2)/25)*Calculateur!FM81*Calculateur!FO81*VLOOKUP('Données projet'!$B$16,Paramètres!$A$1:$I$89,3,0)*0.475*44/12</f>
        <v>23.718246932825938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86.911758165565971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9.5455555555555591</v>
      </c>
      <c r="FZ81" s="12">
        <f>IF('Données projet'!$A$244&gt;35,FZ80+FY81-GH80,IF(A81&lt;'Données projet'!$A$244,$FW$205^A81,IF(A81='Données projet'!$A$244,'Données projet'!$B$244,FZ80+FY81-GH80)))</f>
        <v>217.95666666666682</v>
      </c>
      <c r="GA81" s="17">
        <f>FZ81*VLOOKUP('Données projet'!$B$17,Paramètres!$A$1:$I$89,3,0)*VLOOKUP('Données projet'!$B$17,Paramètres!$A$1:$I$89,5,0)</f>
        <v>187.00682000000015</v>
      </c>
      <c r="GB81" s="13">
        <f t="shared" si="103"/>
        <v>46.877592933569389</v>
      </c>
      <c r="GC81" s="20">
        <f t="shared" si="79"/>
        <v>407.3486858593003</v>
      </c>
      <c r="GD81" s="59">
        <f t="shared" si="80"/>
        <v>680.31541028258448</v>
      </c>
      <c r="GE81" s="59">
        <f ca="1">AVERAGE(OFFSET($GD$3,0,0,'Données projet'!$E$17+1,1))-AVERAGE(OFFSET($H$3,0,0,'Données projet'!$E$17+1,1))</f>
        <v>460.46300302025099</v>
      </c>
      <c r="GF81" s="59">
        <f t="shared" si="104"/>
        <v>340.22534554615879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50.703110315016524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50.703110315016524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64.445470297259305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1.1368683772161603E-13</v>
      </c>
      <c r="GV81" s="17">
        <f>GU81*VLOOKUP('Données projet'!$B$18,Paramètres!$A$1:$I$89,3,0)*VLOOKUP('Données projet'!$B$18,Paramètres!$A$1:$I$89,5,0)</f>
        <v>6.7984728957526396E-14</v>
      </c>
      <c r="GW81" s="13">
        <f t="shared" si="105"/>
        <v>1.0682447123141398E-12</v>
      </c>
      <c r="GX81" s="20">
        <f t="shared" si="82"/>
        <v>1.978932943548152E-12</v>
      </c>
      <c r="GY81" s="59">
        <f t="shared" si="83"/>
        <v>272.96672442328611</v>
      </c>
      <c r="GZ81" s="59">
        <f ca="1">AVERAGE(OFFSET($GY$3,0,0,'Données projet'!$E$18+1,1))-AVERAGE(OFFSET($H$3,0,0,'Données projet'!$E$18+1,1))</f>
        <v>-15.950000000000017</v>
      </c>
      <c r="HA81" s="59">
        <f t="shared" si="106"/>
        <v>-15.950000000000017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107.86269245902696</v>
      </c>
      <c r="HH81" s="21">
        <f>EXP(-LN(2)/25)*HH80+(1-EXP(-LN(2)/25))/(LN(2)/25)*Calculateur!HC81*Calculateur!HE81*VLOOKUP('Données projet'!$B$18,Paramètres!$A$1:$I$89,3,0)*0.475*44/12</f>
        <v>61.987181705304295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169.84987416433125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4.3499999999999996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15.949999999999998</v>
      </c>
      <c r="H82" s="67">
        <f t="shared" si="56"/>
        <v>192.86666666666667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-9.9316821433603781E-14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433.46721010558042</v>
      </c>
      <c r="T82" s="59">
        <f t="shared" si="88"/>
        <v>306.18862295347509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152.61501509649764</v>
      </c>
      <c r="AA82" s="21">
        <f>EXP(-LN(2)/25)*AA81+(1-EXP(-LN(2)/25))/(LN(2)/25)*Calculateur!V82*Calculateur!X82*VLOOKUP('Données projet'!$B$9,Paramètres!$A$1:$I$89,3,0)*0.475*44/12</f>
        <v>74.205610313358278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226.82062540985592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273.32003955495929</v>
      </c>
      <c r="AN82" s="59">
        <f ca="1">AVERAGE(OFFSET($AM$3,0,0,'Données projet'!$E$10+1,1))-AVERAGE(OFFSET($H$3,0,0,'Données projet'!$E$10+1,1))</f>
        <v>400.1942260113168</v>
      </c>
      <c r="AO82" s="59">
        <f t="shared" si="90"/>
        <v>497.04866930593926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105.74757084965164</v>
      </c>
      <c r="AV82" s="21">
        <f>EXP(-LN(2)/25)*AV81+(1-EXP(-LN(2)/25))/(LN(2)/25)*Calculateur!AQ82*Calculateur!AS82*VLOOKUP('Données projet'!$B$10,Paramètres!$A$1:$I$89,3,0)*0.475*44/12</f>
        <v>60.29213896180854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166.03970981146017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284.78505691662588</v>
      </c>
      <c r="BJ82" s="59">
        <f t="shared" si="92"/>
        <v>664.42623058686308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380.64318988568527</v>
      </c>
      <c r="CE82" s="59">
        <f t="shared" si="94"/>
        <v>885.24651320439159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60.338955459709361</v>
      </c>
      <c r="CL82" s="21">
        <f>EXP(-LN(2)/25)*CL81+(1-EXP(-LN(2)/25))/(LN(2)/25)*Calculateur!CG82*Calculateur!CI82*VLOOKUP('Données projet'!$B$12,Paramètres!$A$1:$I$89,3,0)*0.475*44/12</f>
        <v>10.532100462756398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70.871055922465757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-1.1368683772161603E-13</v>
      </c>
      <c r="CU82" s="17">
        <f>CT82*VLOOKUP('Données projet'!$B$13,Paramètres!$A$1:$I$89,3,0)*VLOOKUP('Données projet'!$B$13,Paramètres!$A$1:$I$89,5,0)</f>
        <v>-6.3550942286383367E-14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404.10467005188889</v>
      </c>
      <c r="CZ82" s="59">
        <f t="shared" si="96"/>
        <v>372.70490129557845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197.57579892062657</v>
      </c>
      <c r="DG82" s="21">
        <f>EXP(-LN(2)/25)*DG81+(1-EXP(-LN(2)/25))/(LN(2)/25)*Calculateur!DB82*Calculateur!DD82*VLOOKUP('Données projet'!$B$13,Paramètres!$A$1:$I$89,3,0)*0.475*44/12</f>
        <v>101.50579043864543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299.08158935927202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6.0955555555555536</v>
      </c>
      <c r="DO82" s="12">
        <f>IF('Données projet'!$A$166&gt;35,DO81+DN82-DW81,IF(A82&lt;'Données projet'!$A$166,$DL$205^A82,IF(A82='Données projet'!$A$166,'Données projet'!$B$166,DO81+DN82-DW81)))</f>
        <v>167.90111111111088</v>
      </c>
      <c r="DP82" s="17">
        <f>DO82*VLOOKUP('Données projet'!$B$14,Paramètres!$A$1:$I$89,3,0)*VLOOKUP('Données projet'!$B$14,Paramètres!$A$1:$I$89,5,0)</f>
        <v>151.91692533333313</v>
      </c>
      <c r="DQ82" s="13">
        <f t="shared" si="97"/>
        <v>39.013891306147663</v>
      </c>
      <c r="DR82" s="20">
        <f t="shared" si="70"/>
        <v>332.537838980429</v>
      </c>
      <c r="DS82" s="59">
        <f t="shared" si="71"/>
        <v>605.85787853538636</v>
      </c>
      <c r="DT82" s="59">
        <f ca="1">AVERAGE(OFFSET($DS$3,0,0,'Données projet'!$E$14+1,1))-AVERAGE(OFFSET($H$3,0,0,'Données projet'!$E$14+1,1))</f>
        <v>479.53113328461268</v>
      </c>
      <c r="DU82" s="59">
        <f t="shared" si="98"/>
        <v>244.6360664588118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28.529345194060845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28.529345194060845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2.2737367544323206E-13</v>
      </c>
      <c r="EK82" s="17">
        <f>EJ82*VLOOKUP('Données projet'!$B$15,Paramètres!$A$1:$I$89,3,0)*VLOOKUP('Données projet'!$B$15,Paramètres!$A$1:$I$89,5,0)</f>
        <v>1.0049916454590858E-13</v>
      </c>
      <c r="EL82" s="13">
        <f t="shared" si="99"/>
        <v>1.5089081593838289E-12</v>
      </c>
      <c r="EM82" s="20">
        <f t="shared" si="73"/>
        <v>2.8030510891776262E-12</v>
      </c>
      <c r="EN82" s="59">
        <f t="shared" si="74"/>
        <v>273.32003955496009</v>
      </c>
      <c r="EO82" s="59">
        <f ca="1">AVERAGE(OFFSET($EN$3,0,0,'Données projet'!$E$15+1,1))-AVERAGE(OFFSET($H$3,0,0,'Données projet'!$E$15+1,1))</f>
        <v>339.23049610652492</v>
      </c>
      <c r="EP82" s="59">
        <f t="shared" si="100"/>
        <v>448.85057640789785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113.29484213130985</v>
      </c>
      <c r="EW82" s="21">
        <f>EXP(-LN(2)/25)*EW81+(1-EXP(-LN(2)/25))/(LN(2)/25)*Calculateur!ER82*Calculateur!ET82*VLOOKUP('Données projet'!$B$15,Paramètres!$A$1:$I$89,3,0)*0.475*44/12</f>
        <v>69.326471885269825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182.62131401657967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10.985833333333332</v>
      </c>
      <c r="FE82" s="12">
        <f>IF('Données projet'!$A$218&gt;35,FE81+FD82-FM81,IF(A82&lt;'Données projet'!$A$218,$FB$205^A82,IF(A82='Données projet'!$A$218,'Données projet'!$B$218,FE81+FD82-FM81)))</f>
        <v>354.24500000000063</v>
      </c>
      <c r="FF82" s="17">
        <f>FE82*VLOOKUP('Données projet'!$B$16,Paramètres!$A$1:$I$89,3,0)*VLOOKUP('Données projet'!$B$16,Paramètres!$A$1:$I$89,5,0)</f>
        <v>165.7866600000003</v>
      </c>
      <c r="FG82" s="13">
        <f t="shared" si="101"/>
        <v>42.145001699009093</v>
      </c>
      <c r="FH82" s="20">
        <f t="shared" si="76"/>
        <v>362.14764412577466</v>
      </c>
      <c r="FI82" s="59">
        <f t="shared" si="77"/>
        <v>635.46768368073197</v>
      </c>
      <c r="FJ82" s="59">
        <f ca="1">AVERAGE(OFFSET($FI$3,0,0,'Données projet'!$E$16+1,1))-AVERAGE(OFFSET($H$3,0,0,'Données projet'!$E$16+1,1))</f>
        <v>365.63278362856033</v>
      </c>
      <c r="FK82" s="59">
        <f t="shared" si="102"/>
        <v>290.68267842697452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61.954325021701926</v>
      </c>
      <c r="FR82" s="21">
        <f>EXP(-LN(2)/25)*FR81+(1-EXP(-LN(2)/25))/(LN(2)/25)*Calculateur!FM82*Calculateur!FO82*VLOOKUP('Données projet'!$B$16,Paramètres!$A$1:$I$89,3,0)*0.475*44/12</f>
        <v>23.069670223159417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85.023995244861339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9.5455555555555591</v>
      </c>
      <c r="FZ82" s="12">
        <f>IF('Données projet'!$A$244&gt;35,FZ81+FY82-GH81,IF(A82&lt;'Données projet'!$A$244,$FW$205^A82,IF(A82='Données projet'!$A$244,'Données projet'!$B$244,FZ81+FY82-GH81)))</f>
        <v>227.50222222222237</v>
      </c>
      <c r="GA82" s="17">
        <f>FZ82*VLOOKUP('Données projet'!$B$17,Paramètres!$A$1:$I$89,3,0)*VLOOKUP('Données projet'!$B$17,Paramètres!$A$1:$I$89,5,0)</f>
        <v>195.19690666666682</v>
      </c>
      <c r="GB82" s="13">
        <f t="shared" si="103"/>
        <v>48.687104453720991</v>
      </c>
      <c r="GC82" s="20">
        <f t="shared" si="79"/>
        <v>424.76465270134207</v>
      </c>
      <c r="GD82" s="59">
        <f t="shared" si="80"/>
        <v>698.08469225629938</v>
      </c>
      <c r="GE82" s="59">
        <f ca="1">AVERAGE(OFFSET($GD$3,0,0,'Données projet'!$E$17+1,1))-AVERAGE(OFFSET($H$3,0,0,'Données projet'!$E$17+1,1))</f>
        <v>460.46300302025099</v>
      </c>
      <c r="GF82" s="59">
        <f t="shared" si="104"/>
        <v>340.22534554615879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49.708853247582667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49.708853247582667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64.54182896953381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1.1368683772161603E-13</v>
      </c>
      <c r="GV82" s="17">
        <f>GU82*VLOOKUP('Données projet'!$B$18,Paramètres!$A$1:$I$89,3,0)*VLOOKUP('Données projet'!$B$18,Paramètres!$A$1:$I$89,5,0)</f>
        <v>6.7984728957526396E-14</v>
      </c>
      <c r="GW82" s="13">
        <f t="shared" si="105"/>
        <v>1.0682447123141398E-12</v>
      </c>
      <c r="GX82" s="20">
        <f t="shared" si="82"/>
        <v>1.978932943548152E-12</v>
      </c>
      <c r="GY82" s="59">
        <f t="shared" si="83"/>
        <v>273.32003955495929</v>
      </c>
      <c r="GZ82" s="59">
        <f ca="1">AVERAGE(OFFSET($GY$3,0,0,'Données projet'!$E$18+1,1))-AVERAGE(OFFSET($H$3,0,0,'Données projet'!$E$18+1,1))</f>
        <v>-15.950000000000017</v>
      </c>
      <c r="HA82" s="59">
        <f t="shared" si="106"/>
        <v>-15.950000000000017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105.74757084965164</v>
      </c>
      <c r="HH82" s="21">
        <f>EXP(-LN(2)/25)*HH81+(1-EXP(-LN(2)/25))/(LN(2)/25)*Calculateur!HC82*Calculateur!HE82*VLOOKUP('Données projet'!$B$18,Paramètres!$A$1:$I$89,3,0)*0.475*44/12</f>
        <v>60.29213896180854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166.03970981146017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4.3499999999999996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15.949999999999998</v>
      </c>
      <c r="H83" s="67">
        <f t="shared" si="56"/>
        <v>192.86666666666667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-9.9316821433603781E-14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433.46721010558042</v>
      </c>
      <c r="T83" s="59">
        <f t="shared" si="88"/>
        <v>306.18862295347509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149.62232773642305</v>
      </c>
      <c r="AA83" s="21">
        <f>EXP(-LN(2)/25)*AA82+(1-EXP(-LN(2)/25))/(LN(2)/25)*Calculateur!V83*Calculateur!X83*VLOOKUP('Données projet'!$B$9,Paramètres!$A$1:$I$89,3,0)*0.475*44/12</f>
        <v>72.176453997036049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221.79878173345909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273.66722545899222</v>
      </c>
      <c r="AN83" s="59">
        <f ca="1">AVERAGE(OFFSET($AM$3,0,0,'Données projet'!$E$10+1,1))-AVERAGE(OFFSET($H$3,0,0,'Données projet'!$E$10+1,1))</f>
        <v>400.1942260113168</v>
      </c>
      <c r="AO83" s="59">
        <f t="shared" si="90"/>
        <v>497.04866930593926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103.67392548493937</v>
      </c>
      <c r="AV83" s="21">
        <f>EXP(-LN(2)/25)*AV82+(1-EXP(-LN(2)/25))/(LN(2)/25)*Calculateur!AQ83*Calculateur!AS83*VLOOKUP('Données projet'!$B$10,Paramètres!$A$1:$I$89,3,0)*0.475*44/12</f>
        <v>58.6434472512721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162.31737273621147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284.78505691662588</v>
      </c>
      <c r="BJ83" s="59">
        <f t="shared" si="92"/>
        <v>664.42623058686308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380.64318988568527</v>
      </c>
      <c r="CE83" s="59">
        <f t="shared" si="94"/>
        <v>885.24651320439159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59.155745346273285</v>
      </c>
      <c r="CL83" s="21">
        <f>EXP(-LN(2)/25)*CL82+(1-EXP(-LN(2)/25))/(LN(2)/25)*Calculateur!CG83*Calculateur!CI83*VLOOKUP('Données projet'!$B$12,Paramètres!$A$1:$I$89,3,0)*0.475*44/12</f>
        <v>10.244099621743233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69.399844968016524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-1.1368683772161603E-13</v>
      </c>
      <c r="CU83" s="17">
        <f>CT83*VLOOKUP('Données projet'!$B$13,Paramètres!$A$1:$I$89,3,0)*VLOOKUP('Données projet'!$B$13,Paramètres!$A$1:$I$89,5,0)</f>
        <v>-6.3550942286383367E-14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404.10467005188889</v>
      </c>
      <c r="CZ83" s="59">
        <f t="shared" si="96"/>
        <v>372.70490129557845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193.70145801313112</v>
      </c>
      <c r="DG83" s="21">
        <f>EXP(-LN(2)/25)*DG82+(1-EXP(-LN(2)/25))/(LN(2)/25)*Calculateur!DB83*Calculateur!DD83*VLOOKUP('Données projet'!$B$13,Paramètres!$A$1:$I$89,3,0)*0.475*44/12</f>
        <v>98.730109261143156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292.43156727427424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6.0955555555555536</v>
      </c>
      <c r="DO83" s="12">
        <f>IF('Données projet'!$A$166&gt;35,DO82+DN83-DW82,IF(A83&lt;'Données projet'!$A$166,$DL$205^A83,IF(A83='Données projet'!$A$166,'Données projet'!$B$166,DO82+DN83-DW82)))</f>
        <v>173.99666666666644</v>
      </c>
      <c r="DP83" s="17">
        <f>DO83*VLOOKUP('Données projet'!$B$14,Paramètres!$A$1:$I$89,3,0)*VLOOKUP('Données projet'!$B$14,Paramètres!$A$1:$I$89,5,0)</f>
        <v>157.43218399999981</v>
      </c>
      <c r="DQ83" s="13">
        <f t="shared" si="97"/>
        <v>40.262793104408381</v>
      </c>
      <c r="DR83" s="20">
        <f t="shared" si="70"/>
        <v>344.3187517901776</v>
      </c>
      <c r="DS83" s="59">
        <f t="shared" si="71"/>
        <v>617.98597724916783</v>
      </c>
      <c r="DT83" s="59">
        <f ca="1">AVERAGE(OFFSET($DS$3,0,0,'Données projet'!$E$14+1,1))-AVERAGE(OFFSET($H$3,0,0,'Données projet'!$E$14+1,1))</f>
        <v>479.53113328461268</v>
      </c>
      <c r="DU83" s="59">
        <f t="shared" si="98"/>
        <v>244.6360664588118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27.969902135987656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27.969902135987656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2.2737367544323206E-13</v>
      </c>
      <c r="EK83" s="17">
        <f>EJ83*VLOOKUP('Données projet'!$B$15,Paramètres!$A$1:$I$89,3,0)*VLOOKUP('Données projet'!$B$15,Paramètres!$A$1:$I$89,5,0)</f>
        <v>1.0049916454590858E-13</v>
      </c>
      <c r="EL83" s="13">
        <f t="shared" si="99"/>
        <v>1.5089081593838289E-12</v>
      </c>
      <c r="EM83" s="20">
        <f t="shared" si="73"/>
        <v>2.8030510891776262E-12</v>
      </c>
      <c r="EN83" s="59">
        <f t="shared" si="74"/>
        <v>273.66722545899302</v>
      </c>
      <c r="EO83" s="59">
        <f ca="1">AVERAGE(OFFSET($EN$3,0,0,'Données projet'!$E$15+1,1))-AVERAGE(OFFSET($H$3,0,0,'Données projet'!$E$15+1,1))</f>
        <v>339.23049610652492</v>
      </c>
      <c r="EP83" s="59">
        <f t="shared" si="100"/>
        <v>448.85057640789785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111.07319938014521</v>
      </c>
      <c r="EW83" s="21">
        <f>EXP(-LN(2)/25)*EW82+(1-EXP(-LN(2)/25))/(LN(2)/25)*Calculateur!ER83*Calculateur!ET83*VLOOKUP('Données projet'!$B$15,Paramètres!$A$1:$I$89,3,0)*0.475*44/12</f>
        <v>67.430735865846415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178.50393524599161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10.985833333333332</v>
      </c>
      <c r="FE83" s="12">
        <f>IF('Données projet'!$A$218&gt;35,FE82+FD83-FM82,IF(A83&lt;'Données projet'!$A$218,$FB$205^A83,IF(A83='Données projet'!$A$218,'Données projet'!$B$218,FE82+FD83-FM82)))</f>
        <v>365.23083333333398</v>
      </c>
      <c r="FF83" s="17">
        <f>FE83*VLOOKUP('Données projet'!$B$16,Paramètres!$A$1:$I$89,3,0)*VLOOKUP('Données projet'!$B$16,Paramètres!$A$1:$I$89,5,0)</f>
        <v>170.92803000000032</v>
      </c>
      <c r="FG83" s="13">
        <f t="shared" si="101"/>
        <v>43.297805531428544</v>
      </c>
      <c r="FH83" s="20">
        <f t="shared" si="76"/>
        <v>373.1099968839053</v>
      </c>
      <c r="FI83" s="59">
        <f t="shared" si="77"/>
        <v>646.77722234289558</v>
      </c>
      <c r="FJ83" s="59">
        <f ca="1">AVERAGE(OFFSET($FI$3,0,0,'Données projet'!$E$16+1,1))-AVERAGE(OFFSET($H$3,0,0,'Données projet'!$E$16+1,1))</f>
        <v>365.63278362856033</v>
      </c>
      <c r="FK83" s="59">
        <f t="shared" si="102"/>
        <v>290.68267842697452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60.739438496433323</v>
      </c>
      <c r="FR83" s="21">
        <f>EXP(-LN(2)/25)*FR82+(1-EXP(-LN(2)/25))/(LN(2)/25)*Calculateur!FM83*Calculateur!FO83*VLOOKUP('Données projet'!$B$16,Paramètres!$A$1:$I$89,3,0)*0.475*44/12</f>
        <v>22.438828877725893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83.178267374159219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9.5455555555555591</v>
      </c>
      <c r="FZ83" s="12">
        <f>IF('Données projet'!$A$244&gt;35,FZ82+FY83-GH82,IF(A83&lt;'Données projet'!$A$244,$FW$205^A83,IF(A83='Données projet'!$A$244,'Données projet'!$B$244,FZ82+FY83-GH82)))</f>
        <v>237.04777777777792</v>
      </c>
      <c r="GA83" s="17">
        <f>FZ83*VLOOKUP('Données projet'!$B$17,Paramètres!$A$1:$I$89,3,0)*VLOOKUP('Données projet'!$B$17,Paramètres!$A$1:$I$89,5,0)</f>
        <v>203.38699333333346</v>
      </c>
      <c r="GB83" s="13">
        <f t="shared" si="103"/>
        <v>50.487797277413897</v>
      </c>
      <c r="GC83" s="20">
        <f t="shared" si="79"/>
        <v>442.16526031371831</v>
      </c>
      <c r="GD83" s="59">
        <f t="shared" si="80"/>
        <v>715.83248577270854</v>
      </c>
      <c r="GE83" s="59">
        <f ca="1">AVERAGE(OFFSET($GD$3,0,0,'Données projet'!$E$17+1,1))-AVERAGE(OFFSET($H$3,0,0,'Données projet'!$E$17+1,1))</f>
        <v>460.46300302025099</v>
      </c>
      <c r="GF83" s="59">
        <f t="shared" si="104"/>
        <v>340.22534554615879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48.734092954804261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48.734092954804261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64.636516034270059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1.1368683772161603E-13</v>
      </c>
      <c r="GV83" s="17">
        <f>GU83*VLOOKUP('Données projet'!$B$18,Paramètres!$A$1:$I$89,3,0)*VLOOKUP('Données projet'!$B$18,Paramètres!$A$1:$I$89,5,0)</f>
        <v>6.7984728957526396E-14</v>
      </c>
      <c r="GW83" s="13">
        <f t="shared" si="105"/>
        <v>1.0682447123141398E-12</v>
      </c>
      <c r="GX83" s="20">
        <f t="shared" si="82"/>
        <v>1.978932943548152E-12</v>
      </c>
      <c r="GY83" s="59">
        <f t="shared" si="83"/>
        <v>273.66722545899222</v>
      </c>
      <c r="GZ83" s="59">
        <f ca="1">AVERAGE(OFFSET($GY$3,0,0,'Données projet'!$E$18+1,1))-AVERAGE(OFFSET($H$3,0,0,'Données projet'!$E$18+1,1))</f>
        <v>-15.950000000000017</v>
      </c>
      <c r="HA83" s="59">
        <f t="shared" si="106"/>
        <v>-15.950000000000017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103.67392548493937</v>
      </c>
      <c r="HH83" s="21">
        <f>EXP(-LN(2)/25)*HH82+(1-EXP(-LN(2)/25))/(LN(2)/25)*Calculateur!HC83*Calculateur!HE83*VLOOKUP('Données projet'!$B$18,Paramètres!$A$1:$I$89,3,0)*0.475*44/12</f>
        <v>58.6434472512721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162.31737273621147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4.3499999999999996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15.949999999999998</v>
      </c>
      <c r="H84" s="67">
        <f t="shared" si="56"/>
        <v>192.86666666666667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-9.9316821433603781E-14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433.46721010558042</v>
      </c>
      <c r="T84" s="59">
        <f t="shared" si="88"/>
        <v>306.18862295347509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146.68832515012048</v>
      </c>
      <c r="AA84" s="21">
        <f>EXP(-LN(2)/25)*AA83+(1-EXP(-LN(2)/25))/(LN(2)/25)*Calculateur!V84*Calculateur!X84*VLOOKUP('Données projet'!$B$9,Paramètres!$A$1:$I$89,3,0)*0.475*44/12</f>
        <v>70.202785066892346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216.89111021701282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274.00838846378156</v>
      </c>
      <c r="AN84" s="59">
        <f ca="1">AVERAGE(OFFSET($AM$3,0,0,'Données projet'!$E$10+1,1))-AVERAGE(OFFSET($H$3,0,0,'Données projet'!$E$10+1,1))</f>
        <v>400.1942260113168</v>
      </c>
      <c r="AO84" s="59">
        <f t="shared" si="90"/>
        <v>497.04866930593926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101.64094304103034</v>
      </c>
      <c r="AV84" s="21">
        <f>EXP(-LN(2)/25)*AV83+(1-EXP(-LN(2)/25))/(LN(2)/25)*Calculateur!AQ84*Calculateur!AS84*VLOOKUP('Données projet'!$B$10,Paramètres!$A$1:$I$89,3,0)*0.475*44/12</f>
        <v>57.039839102261205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158.68078214329154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284.78505691662588</v>
      </c>
      <c r="BJ84" s="59">
        <f t="shared" si="92"/>
        <v>664.42623058686308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380.64318988568527</v>
      </c>
      <c r="CE84" s="59">
        <f t="shared" si="94"/>
        <v>885.24651320439159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57.99573726147478</v>
      </c>
      <c r="CL84" s="21">
        <f>EXP(-LN(2)/25)*CL83+(1-EXP(-LN(2)/25))/(LN(2)/25)*Calculateur!CG84*Calculateur!CI84*VLOOKUP('Données projet'!$B$12,Paramètres!$A$1:$I$89,3,0)*0.475*44/12</f>
        <v>9.9639741788728777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67.959711440347661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-1.1368683772161603E-13</v>
      </c>
      <c r="CU84" s="17">
        <f>CT84*VLOOKUP('Données projet'!$B$13,Paramètres!$A$1:$I$89,3,0)*VLOOKUP('Données projet'!$B$13,Paramètres!$A$1:$I$89,5,0)</f>
        <v>-6.3550942286383367E-14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404.10467005188889</v>
      </c>
      <c r="CZ84" s="59">
        <f t="shared" si="96"/>
        <v>372.70490129557845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189.90309056771704</v>
      </c>
      <c r="DG84" s="21">
        <f>EXP(-LN(2)/25)*DG83+(1-EXP(-LN(2)/25))/(LN(2)/25)*Calculateur!DB84*Calculateur!DD84*VLOOKUP('Données projet'!$B$13,Paramètres!$A$1:$I$89,3,0)*0.475*44/12</f>
        <v>96.030329231406398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285.93341979912344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6.0955555555555536</v>
      </c>
      <c r="DO84" s="12">
        <f>IF('Données projet'!$A$166&gt;35,DO83+DN84-DW83,IF(A84&lt;'Données projet'!$A$166,$DL$205^A84,IF(A84='Données projet'!$A$166,'Données projet'!$B$166,DO83+DN84-DW83)))</f>
        <v>180.09222222222201</v>
      </c>
      <c r="DP84" s="17">
        <f>DO84*VLOOKUP('Données projet'!$B$14,Paramètres!$A$1:$I$89,3,0)*VLOOKUP('Données projet'!$B$14,Paramètres!$A$1:$I$89,5,0)</f>
        <v>162.94744266666646</v>
      </c>
      <c r="DQ84" s="13">
        <f t="shared" si="97"/>
        <v>41.506611408776685</v>
      </c>
      <c r="DR84" s="20">
        <f t="shared" si="70"/>
        <v>356.09081084806343</v>
      </c>
      <c r="DS84" s="59">
        <f t="shared" si="71"/>
        <v>630.09919931184299</v>
      </c>
      <c r="DT84" s="59">
        <f ca="1">AVERAGE(OFFSET($DS$3,0,0,'Données projet'!$E$14+1,1))-AVERAGE(OFFSET($H$3,0,0,'Données projet'!$E$14+1,1))</f>
        <v>479.53113328461268</v>
      </c>
      <c r="DU84" s="59">
        <f t="shared" si="98"/>
        <v>244.6360664588118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27.421429415056711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27.421429415056711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2.2737367544323206E-13</v>
      </c>
      <c r="EK84" s="17">
        <f>EJ84*VLOOKUP('Données projet'!$B$15,Paramètres!$A$1:$I$89,3,0)*VLOOKUP('Données projet'!$B$15,Paramètres!$A$1:$I$89,5,0)</f>
        <v>1.0049916454590858E-13</v>
      </c>
      <c r="EL84" s="13">
        <f t="shared" si="99"/>
        <v>1.5089081593838289E-12</v>
      </c>
      <c r="EM84" s="20">
        <f t="shared" si="73"/>
        <v>2.8030510891776262E-12</v>
      </c>
      <c r="EN84" s="59">
        <f t="shared" si="74"/>
        <v>274.00838846378235</v>
      </c>
      <c r="EO84" s="59">
        <f ca="1">AVERAGE(OFFSET($EN$3,0,0,'Données projet'!$E$15+1,1))-AVERAGE(OFFSET($H$3,0,0,'Données projet'!$E$15+1,1))</f>
        <v>339.23049610652492</v>
      </c>
      <c r="EP84" s="59">
        <f t="shared" si="100"/>
        <v>448.85057640789785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108.89512168826263</v>
      </c>
      <c r="EW84" s="21">
        <f>EXP(-LN(2)/25)*EW83+(1-EXP(-LN(2)/25))/(LN(2)/25)*Calculateur!ER84*Calculateur!ET84*VLOOKUP('Données projet'!$B$15,Paramètres!$A$1:$I$89,3,0)*0.475*44/12</f>
        <v>65.586838847566554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174.48196053582919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10.985833333333332</v>
      </c>
      <c r="FE84" s="12">
        <f>IF('Données projet'!$A$218&gt;35,FE83+FD84-FM83,IF(A84&lt;'Données projet'!$A$218,$FB$205^A84,IF(A84='Données projet'!$A$218,'Données projet'!$B$218,FE83+FD84-FM83)))</f>
        <v>376.21666666666732</v>
      </c>
      <c r="FF84" s="17">
        <f>FE84*VLOOKUP('Données projet'!$B$16,Paramètres!$A$1:$I$89,3,0)*VLOOKUP('Données projet'!$B$16,Paramètres!$A$1:$I$89,5,0)</f>
        <v>176.06940000000031</v>
      </c>
      <c r="FG84" s="13">
        <f t="shared" si="101"/>
        <v>44.446579567434348</v>
      </c>
      <c r="FH84" s="20">
        <f t="shared" si="76"/>
        <v>384.06533107994869</v>
      </c>
      <c r="FI84" s="59">
        <f t="shared" si="77"/>
        <v>658.0737195437282</v>
      </c>
      <c r="FJ84" s="59">
        <f ca="1">AVERAGE(OFFSET($FI$3,0,0,'Données projet'!$E$16+1,1))-AVERAGE(OFFSET($H$3,0,0,'Données projet'!$E$16+1,1))</f>
        <v>365.63278362856033</v>
      </c>
      <c r="FK84" s="59">
        <f t="shared" si="102"/>
        <v>290.68267842697452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59.548375154917622</v>
      </c>
      <c r="FR84" s="21">
        <f>EXP(-LN(2)/25)*FR83+(1-EXP(-LN(2)/25))/(LN(2)/25)*Calculateur!FM84*Calculateur!FO84*VLOOKUP('Données projet'!$B$16,Paramètres!$A$1:$I$89,3,0)*0.475*44/12</f>
        <v>21.825237922057752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81.373613076975374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9.5455555555555591</v>
      </c>
      <c r="FZ84" s="12">
        <f>IF('Données projet'!$A$244&gt;35,FZ83+FY84-GH83,IF(A84&lt;'Données projet'!$A$244,$FW$205^A84,IF(A84='Données projet'!$A$244,'Données projet'!$B$244,FZ83+FY84-GH83)))</f>
        <v>246.59333333333348</v>
      </c>
      <c r="GA84" s="17">
        <f>FZ84*VLOOKUP('Données projet'!$B$17,Paramètres!$A$1:$I$89,3,0)*VLOOKUP('Données projet'!$B$17,Paramètres!$A$1:$I$89,5,0)</f>
        <v>211.57708000000017</v>
      </c>
      <c r="GB84" s="13">
        <f t="shared" si="103"/>
        <v>52.280067145970939</v>
      </c>
      <c r="GC84" s="20">
        <f t="shared" si="79"/>
        <v>459.55119794589967</v>
      </c>
      <c r="GD84" s="59">
        <f t="shared" si="80"/>
        <v>733.55958640967924</v>
      </c>
      <c r="GE84" s="59">
        <f ca="1">AVERAGE(OFFSET($GD$3,0,0,'Données projet'!$E$17+1,1))-AVERAGE(OFFSET($H$3,0,0,'Données projet'!$E$17+1,1))</f>
        <v>460.46300302025099</v>
      </c>
      <c r="GF84" s="59">
        <f t="shared" si="104"/>
        <v>340.22534554615879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47.778447116822164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47.778447116822164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64.729560490121699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1.1368683772161603E-13</v>
      </c>
      <c r="GV84" s="17">
        <f>GU84*VLOOKUP('Données projet'!$B$18,Paramètres!$A$1:$I$89,3,0)*VLOOKUP('Données projet'!$B$18,Paramètres!$A$1:$I$89,5,0)</f>
        <v>6.7984728957526396E-14</v>
      </c>
      <c r="GW84" s="13">
        <f t="shared" si="105"/>
        <v>1.0682447123141398E-12</v>
      </c>
      <c r="GX84" s="20">
        <f t="shared" si="82"/>
        <v>1.978932943548152E-12</v>
      </c>
      <c r="GY84" s="59">
        <f t="shared" si="83"/>
        <v>274.00838846378156</v>
      </c>
      <c r="GZ84" s="59">
        <f ca="1">AVERAGE(OFFSET($GY$3,0,0,'Données projet'!$E$18+1,1))-AVERAGE(OFFSET($H$3,0,0,'Données projet'!$E$18+1,1))</f>
        <v>-15.950000000000017</v>
      </c>
      <c r="HA84" s="59">
        <f t="shared" si="106"/>
        <v>-15.950000000000017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101.64094304103034</v>
      </c>
      <c r="HH84" s="21">
        <f>EXP(-LN(2)/25)*HH83+(1-EXP(-LN(2)/25))/(LN(2)/25)*Calculateur!HC84*Calculateur!HE84*VLOOKUP('Données projet'!$B$18,Paramètres!$A$1:$I$89,3,0)*0.475*44/12</f>
        <v>57.039839102261205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158.68078214329154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4.3499999999999996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15.949999999999998</v>
      </c>
      <c r="H85" s="67">
        <f t="shared" si="56"/>
        <v>192.86666666666667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-9.9316821433603781E-14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433.46721010558042</v>
      </c>
      <c r="T85" s="59">
        <f t="shared" si="88"/>
        <v>306.18862295347509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143.81185656497041</v>
      </c>
      <c r="AA85" s="21">
        <f>EXP(-LN(2)/25)*AA84+(1-EXP(-LN(2)/25))/(LN(2)/25)*Calculateur!V85*Calculateur!X85*VLOOKUP('Données projet'!$B$9,Paramètres!$A$1:$I$89,3,0)*0.475*44/12</f>
        <v>68.28308621743416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212.09494278240459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274.34363305316407</v>
      </c>
      <c r="AN85" s="59">
        <f ca="1">AVERAGE(OFFSET($AM$3,0,0,'Données projet'!$E$10+1,1))-AVERAGE(OFFSET($H$3,0,0,'Données projet'!$E$10+1,1))</f>
        <v>400.1942260113168</v>
      </c>
      <c r="AO85" s="59">
        <f t="shared" si="90"/>
        <v>497.04866930593926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99.64782614284951</v>
      </c>
      <c r="AV85" s="21">
        <f>EXP(-LN(2)/25)*AV84+(1-EXP(-LN(2)/25))/(LN(2)/25)*Calculateur!AQ85*Calculateur!AS85*VLOOKUP('Données projet'!$B$10,Paramètres!$A$1:$I$89,3,0)*0.475*44/12</f>
        <v>55.480081702415099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155.12790784526462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284.78505691662588</v>
      </c>
      <c r="BJ85" s="59">
        <f t="shared" si="92"/>
        <v>664.42623058686308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380.64318988568527</v>
      </c>
      <c r="CE85" s="59">
        <f t="shared" si="94"/>
        <v>885.24651320439159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56.858476227684108</v>
      </c>
      <c r="CL85" s="21">
        <f>EXP(-LN(2)/25)*CL84+(1-EXP(-LN(2)/25))/(LN(2)/25)*Calculateur!CG85*Calculateur!CI85*VLOOKUP('Données projet'!$B$12,Paramètres!$A$1:$I$89,3,0)*0.475*44/12</f>
        <v>9.6915087809689702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66.549985008653081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-1.1368683772161603E-13</v>
      </c>
      <c r="CU85" s="17">
        <f>CT85*VLOOKUP('Données projet'!$B$13,Paramètres!$A$1:$I$89,3,0)*VLOOKUP('Données projet'!$B$13,Paramètres!$A$1:$I$89,5,0)</f>
        <v>-6.3550942286383367E-14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404.10467005188889</v>
      </c>
      <c r="CZ85" s="59">
        <f t="shared" si="96"/>
        <v>372.70490129557845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186.17920679113215</v>
      </c>
      <c r="DG85" s="21">
        <f>EXP(-LN(2)/25)*DG84+(1-EXP(-LN(2)/25))/(LN(2)/25)*Calculateur!DB85*Calculateur!DD85*VLOOKUP('Données projet'!$B$13,Paramètres!$A$1:$I$89,3,0)*0.475*44/12</f>
        <v>93.404374828558062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279.58358161969022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6.0955555555555536</v>
      </c>
      <c r="DO85" s="12">
        <f>IF('Données projet'!$A$166&gt;35,DO84+DN85-DW84,IF(A85&lt;'Données projet'!$A$166,$DL$205^A85,IF(A85='Données projet'!$A$166,'Données projet'!$B$166,DO84+DN85-DW84)))</f>
        <v>186.18777777777757</v>
      </c>
      <c r="DP85" s="17">
        <f>DO85*VLOOKUP('Données projet'!$B$14,Paramètres!$A$1:$I$89,3,0)*VLOOKUP('Données projet'!$B$14,Paramètres!$A$1:$I$89,5,0)</f>
        <v>168.46270133333314</v>
      </c>
      <c r="DQ85" s="13">
        <f t="shared" si="97"/>
        <v>42.74553800385798</v>
      </c>
      <c r="DR85" s="20">
        <f t="shared" si="70"/>
        <v>367.85435017894116</v>
      </c>
      <c r="DS85" s="59">
        <f t="shared" si="71"/>
        <v>642.1979832321033</v>
      </c>
      <c r="DT85" s="59">
        <f ca="1">AVERAGE(OFFSET($DS$3,0,0,'Données projet'!$E$14+1,1))-AVERAGE(OFFSET($H$3,0,0,'Données projet'!$E$14+1,1))</f>
        <v>479.53113328461268</v>
      </c>
      <c r="DU85" s="59">
        <f t="shared" si="98"/>
        <v>244.6360664588118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26.883711909647893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26.883711909647893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2.2737367544323206E-13</v>
      </c>
      <c r="EK85" s="17">
        <f>EJ85*VLOOKUP('Données projet'!$B$15,Paramètres!$A$1:$I$89,3,0)*VLOOKUP('Données projet'!$B$15,Paramètres!$A$1:$I$89,5,0)</f>
        <v>1.0049916454590858E-13</v>
      </c>
      <c r="EL85" s="13">
        <f t="shared" si="99"/>
        <v>1.5089081593838289E-12</v>
      </c>
      <c r="EM85" s="20">
        <f t="shared" si="73"/>
        <v>2.8030510891776262E-12</v>
      </c>
      <c r="EN85" s="59">
        <f t="shared" si="74"/>
        <v>274.34363305316487</v>
      </c>
      <c r="EO85" s="59">
        <f ca="1">AVERAGE(OFFSET($EN$3,0,0,'Données projet'!$E$15+1,1))-AVERAGE(OFFSET($H$3,0,0,'Données projet'!$E$15+1,1))</f>
        <v>339.23049610652492</v>
      </c>
      <c r="EP85" s="59">
        <f t="shared" si="100"/>
        <v>448.85057640789785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106.75975477142165</v>
      </c>
      <c r="EW85" s="21">
        <f>EXP(-LN(2)/25)*EW84+(1-EXP(-LN(2)/25))/(LN(2)/25)*Calculateur!ER85*Calculateur!ET85*VLOOKUP('Données projet'!$B$15,Paramètres!$A$1:$I$89,3,0)*0.475*44/12</f>
        <v>63.79336329021789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170.55311806163954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10.985833333333332</v>
      </c>
      <c r="FE85" s="12">
        <f>IF('Données projet'!$A$218&gt;35,FE84+FD85-FM84,IF(A85&lt;'Données projet'!$A$218,$FB$205^A85,IF(A85='Données projet'!$A$218,'Données projet'!$B$218,FE84+FD85-FM84)))</f>
        <v>387.20250000000067</v>
      </c>
      <c r="FF85" s="17">
        <f>FE85*VLOOKUP('Données projet'!$B$16,Paramètres!$A$1:$I$89,3,0)*VLOOKUP('Données projet'!$B$16,Paramètres!$A$1:$I$89,5,0)</f>
        <v>181.21077000000031</v>
      </c>
      <c r="FG85" s="13">
        <f t="shared" si="101"/>
        <v>45.591454992325396</v>
      </c>
      <c r="FH85" s="20">
        <f t="shared" si="76"/>
        <v>395.01387519496728</v>
      </c>
      <c r="FI85" s="59">
        <f t="shared" si="77"/>
        <v>669.35750824812931</v>
      </c>
      <c r="FJ85" s="59">
        <f ca="1">AVERAGE(OFFSET($FI$3,0,0,'Données projet'!$E$16+1,1))-AVERAGE(OFFSET($H$3,0,0,'Données projet'!$E$16+1,1))</f>
        <v>365.63278362856033</v>
      </c>
      <c r="FK85" s="59">
        <f t="shared" si="102"/>
        <v>290.68267842697452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58.380667839052137</v>
      </c>
      <c r="FR85" s="21">
        <f>EXP(-LN(2)/25)*FR84+(1-EXP(-LN(2)/25))/(LN(2)/25)*Calculateur!FM85*Calculateur!FO85*VLOOKUP('Données projet'!$B$16,Paramètres!$A$1:$I$89,3,0)*0.475*44/12</f>
        <v>21.228425643339705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79.609093482391842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9.5455555555555591</v>
      </c>
      <c r="FZ85" s="12">
        <f>IF('Données projet'!$A$244&gt;35,FZ84+FY85-GH84,IF(A85&lt;'Données projet'!$A$244,$FW$205^A85,IF(A85='Données projet'!$A$244,'Données projet'!$B$244,FZ84+FY85-GH84)))</f>
        <v>256.13888888888903</v>
      </c>
      <c r="GA85" s="17">
        <f>FZ85*VLOOKUP('Données projet'!$B$17,Paramètres!$A$1:$I$89,3,0)*VLOOKUP('Données projet'!$B$17,Paramètres!$A$1:$I$89,5,0)</f>
        <v>219.76716666666681</v>
      </c>
      <c r="GB85" s="13">
        <f t="shared" si="103"/>
        <v>54.064277427726324</v>
      </c>
      <c r="GC85" s="20">
        <f t="shared" si="79"/>
        <v>476.92309846440139</v>
      </c>
      <c r="GD85" s="59">
        <f t="shared" si="80"/>
        <v>751.26673151756347</v>
      </c>
      <c r="GE85" s="59">
        <f ca="1">AVERAGE(OFFSET($GD$3,0,0,'Données projet'!$E$17+1,1))-AVERAGE(OFFSET($H$3,0,0,'Données projet'!$E$17+1,1))</f>
        <v>460.46300302025099</v>
      </c>
      <c r="GF85" s="59">
        <f t="shared" si="104"/>
        <v>340.22534554615879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46.841540910836493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46.841540910836493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64.820990832680565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1.1368683772161603E-13</v>
      </c>
      <c r="GV85" s="17">
        <f>GU85*VLOOKUP('Données projet'!$B$18,Paramètres!$A$1:$I$89,3,0)*VLOOKUP('Données projet'!$B$18,Paramètres!$A$1:$I$89,5,0)</f>
        <v>6.7984728957526396E-14</v>
      </c>
      <c r="GW85" s="13">
        <f t="shared" si="105"/>
        <v>1.0682447123141398E-12</v>
      </c>
      <c r="GX85" s="20">
        <f t="shared" si="82"/>
        <v>1.978932943548152E-12</v>
      </c>
      <c r="GY85" s="59">
        <f t="shared" si="83"/>
        <v>274.34363305316407</v>
      </c>
      <c r="GZ85" s="59">
        <f ca="1">AVERAGE(OFFSET($GY$3,0,0,'Données projet'!$E$18+1,1))-AVERAGE(OFFSET($H$3,0,0,'Données projet'!$E$18+1,1))</f>
        <v>-15.950000000000017</v>
      </c>
      <c r="HA85" s="59">
        <f t="shared" si="106"/>
        <v>-15.950000000000017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99.64782614284951</v>
      </c>
      <c r="HH85" s="21">
        <f>EXP(-LN(2)/25)*HH84+(1-EXP(-LN(2)/25))/(LN(2)/25)*Calculateur!HC85*Calculateur!HE85*VLOOKUP('Données projet'!$B$18,Paramètres!$A$1:$I$89,3,0)*0.475*44/12</f>
        <v>55.480081702415099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155.12790784526462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4.3499999999999996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15.949999999999998</v>
      </c>
      <c r="H86" s="67">
        <f t="shared" si="56"/>
        <v>192.86666666666667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-9.9316821433603781E-14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433.46721010558042</v>
      </c>
      <c r="T86" s="59">
        <f t="shared" si="88"/>
        <v>306.18862295347509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140.99179377430255</v>
      </c>
      <c r="AA86" s="21">
        <f>EXP(-LN(2)/25)*AA85+(1-EXP(-LN(2)/25))/(LN(2)/25)*Calculateur!V86*Calculateur!X86*VLOOKUP('Données projet'!$B$9,Paramètres!$A$1:$I$89,3,0)*0.475*44/12</f>
        <v>66.415881633966976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207.40767540826954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274.67306189841537</v>
      </c>
      <c r="AN86" s="59">
        <f ca="1">AVERAGE(OFFSET($AM$3,0,0,'Données projet'!$E$10+1,1))-AVERAGE(OFFSET($H$3,0,0,'Données projet'!$E$10+1,1))</f>
        <v>400.1942260113168</v>
      </c>
      <c r="AO86" s="59">
        <f t="shared" si="90"/>
        <v>497.04866930593926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97.693793051360728</v>
      </c>
      <c r="AV86" s="21">
        <f>EXP(-LN(2)/25)*AV85+(1-EXP(-LN(2)/25))/(LN(2)/25)*Calculateur!AQ86*Calculateur!AS86*VLOOKUP('Données projet'!$B$10,Paramètres!$A$1:$I$89,3,0)*0.475*44/12</f>
        <v>53.962975950691863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151.65676900205258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284.78505691662588</v>
      </c>
      <c r="BJ86" s="59">
        <f t="shared" si="92"/>
        <v>664.42623058686308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380.64318988568527</v>
      </c>
      <c r="CE86" s="59">
        <f t="shared" si="94"/>
        <v>885.24651320439159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55.743516189105328</v>
      </c>
      <c r="CL86" s="21">
        <f>EXP(-LN(2)/25)*CL85+(1-EXP(-LN(2)/25))/(LN(2)/25)*Calculateur!CG86*Calculateur!CI86*VLOOKUP('Données projet'!$B$12,Paramètres!$A$1:$I$89,3,0)*0.475*44/12</f>
        <v>9.4264939636990768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65.170010152804409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-1.1368683772161603E-13</v>
      </c>
      <c r="CU86" s="17">
        <f>CT86*VLOOKUP('Données projet'!$B$13,Paramètres!$A$1:$I$89,3,0)*VLOOKUP('Données projet'!$B$13,Paramètres!$A$1:$I$89,5,0)</f>
        <v>-6.3550942286383367E-14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404.10467005188889</v>
      </c>
      <c r="CZ86" s="59">
        <f t="shared" si="96"/>
        <v>372.70490129557845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182.52834610406126</v>
      </c>
      <c r="DG86" s="21">
        <f>EXP(-LN(2)/25)*DG85+(1-EXP(-LN(2)/25))/(LN(2)/25)*Calculateur!DB86*Calculateur!DD86*VLOOKUP('Données projet'!$B$13,Paramètres!$A$1:$I$89,3,0)*0.475*44/12</f>
        <v>90.850227286948552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273.37857339100981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6.0955555555555536</v>
      </c>
      <c r="DO86" s="12">
        <f>IF('Données projet'!$A$166&gt;35,DO85+DN86-DW85,IF(A86&lt;'Données projet'!$A$166,$DL$205^A86,IF(A86='Données projet'!$A$166,'Données projet'!$B$166,DO85+DN86-DW85)))</f>
        <v>192.28333333333313</v>
      </c>
      <c r="DP86" s="17">
        <f>DO86*VLOOKUP('Données projet'!$B$14,Paramètres!$A$1:$I$89,3,0)*VLOOKUP('Données projet'!$B$14,Paramètres!$A$1:$I$89,5,0)</f>
        <v>173.9779599999998</v>
      </c>
      <c r="DQ86" s="13">
        <f t="shared" si="97"/>
        <v>43.979751403912715</v>
      </c>
      <c r="DR86" s="20">
        <f t="shared" si="70"/>
        <v>379.60968069514769</v>
      </c>
      <c r="DS86" s="59">
        <f t="shared" si="71"/>
        <v>654.28274259356112</v>
      </c>
      <c r="DT86" s="59">
        <f ca="1">AVERAGE(OFFSET($DS$3,0,0,'Données projet'!$E$14+1,1))-AVERAGE(OFFSET($H$3,0,0,'Données projet'!$E$14+1,1))</f>
        <v>479.53113328461268</v>
      </c>
      <c r="DU86" s="59">
        <f t="shared" si="98"/>
        <v>244.6360664588118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26.356538716544851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26.356538716544851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2.2737367544323206E-13</v>
      </c>
      <c r="EK86" s="17">
        <f>EJ86*VLOOKUP('Données projet'!$B$15,Paramètres!$A$1:$I$89,3,0)*VLOOKUP('Données projet'!$B$15,Paramètres!$A$1:$I$89,5,0)</f>
        <v>1.0049916454590858E-13</v>
      </c>
      <c r="EL86" s="13">
        <f t="shared" si="99"/>
        <v>1.5089081593838289E-12</v>
      </c>
      <c r="EM86" s="20">
        <f t="shared" si="73"/>
        <v>2.8030510891776262E-12</v>
      </c>
      <c r="EN86" s="59">
        <f t="shared" si="74"/>
        <v>274.67306189841617</v>
      </c>
      <c r="EO86" s="59">
        <f ca="1">AVERAGE(OFFSET($EN$3,0,0,'Données projet'!$E$15+1,1))-AVERAGE(OFFSET($H$3,0,0,'Données projet'!$E$15+1,1))</f>
        <v>339.23049610652492</v>
      </c>
      <c r="EP86" s="59">
        <f t="shared" si="100"/>
        <v>448.85057640789785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104.66626109737471</v>
      </c>
      <c r="EW86" s="21">
        <f>EXP(-LN(2)/25)*EW85+(1-EXP(-LN(2)/25))/(LN(2)/25)*Calculateur!ER86*Calculateur!ET86*VLOOKUP('Données projet'!$B$15,Paramètres!$A$1:$I$89,3,0)*0.475*44/12</f>
        <v>62.048930416299712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166.71519151367443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10.985833333333332</v>
      </c>
      <c r="FE86" s="12">
        <f>IF('Données projet'!$A$218&gt;35,FE85+FD86-FM85,IF(A86&lt;'Données projet'!$A$218,$FB$205^A86,IF(A86='Données projet'!$A$218,'Données projet'!$B$218,FE85+FD86-FM85)))</f>
        <v>398.18833333333401</v>
      </c>
      <c r="FF86" s="17">
        <f>FE86*VLOOKUP('Données projet'!$B$16,Paramètres!$A$1:$I$89,3,0)*VLOOKUP('Données projet'!$B$16,Paramètres!$A$1:$I$89,5,0)</f>
        <v>186.3521400000003</v>
      </c>
      <c r="FG86" s="13">
        <f t="shared" si="101"/>
        <v>46.732555123893533</v>
      </c>
      <c r="FH86" s="20">
        <f t="shared" si="76"/>
        <v>405.95584400744838</v>
      </c>
      <c r="FI86" s="59">
        <f t="shared" si="77"/>
        <v>680.62890590586176</v>
      </c>
      <c r="FJ86" s="59">
        <f ca="1">AVERAGE(OFFSET($FI$3,0,0,'Données projet'!$E$16+1,1))-AVERAGE(OFFSET($H$3,0,0,'Données projet'!$E$16+1,1))</f>
        <v>365.63278362856033</v>
      </c>
      <c r="FK86" s="59">
        <f t="shared" si="102"/>
        <v>290.68267842697452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57.235858551419639</v>
      </c>
      <c r="FR86" s="21">
        <f>EXP(-LN(2)/25)*FR85+(1-EXP(-LN(2)/25))/(LN(2)/25)*Calculateur!FM86*Calculateur!FO86*VLOOKUP('Données projet'!$B$16,Paramètres!$A$1:$I$89,3,0)*0.475*44/12</f>
        <v>20.647933227768196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77.883791779187831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9.5455555555555591</v>
      </c>
      <c r="FZ86" s="12">
        <f>IF('Données projet'!$A$244&gt;35,FZ85+FY86-GH85,IF(A86&lt;'Données projet'!$A$244,$FW$205^A86,IF(A86='Données projet'!$A$244,'Données projet'!$B$244,FZ85+FY86-GH85)))</f>
        <v>265.68444444444458</v>
      </c>
      <c r="GA86" s="17">
        <f>FZ86*VLOOKUP('Données projet'!$B$17,Paramètres!$A$1:$I$89,3,0)*VLOOKUP('Données projet'!$B$17,Paramètres!$A$1:$I$89,5,0)</f>
        <v>227.95725333333348</v>
      </c>
      <c r="GB86" s="13">
        <f t="shared" si="103"/>
        <v>55.84076287323272</v>
      </c>
      <c r="GC86" s="20">
        <f t="shared" si="79"/>
        <v>494.28154489310282</v>
      </c>
      <c r="GD86" s="59">
        <f t="shared" si="80"/>
        <v>768.9546067915162</v>
      </c>
      <c r="GE86" s="59">
        <f ca="1">AVERAGE(OFFSET($GD$3,0,0,'Données projet'!$E$17+1,1))-AVERAGE(OFFSET($H$3,0,0,'Données projet'!$E$17+1,1))</f>
        <v>460.46300302025099</v>
      </c>
      <c r="GF86" s="59">
        <f t="shared" si="104"/>
        <v>340.22534554615879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45.923006864093843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45.923006864093843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64.910835063203649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1.1368683772161603E-13</v>
      </c>
      <c r="GV86" s="17">
        <f>GU86*VLOOKUP('Données projet'!$B$18,Paramètres!$A$1:$I$89,3,0)*VLOOKUP('Données projet'!$B$18,Paramètres!$A$1:$I$89,5,0)</f>
        <v>6.7984728957526396E-14</v>
      </c>
      <c r="GW86" s="13">
        <f t="shared" si="105"/>
        <v>1.0682447123141398E-12</v>
      </c>
      <c r="GX86" s="20">
        <f t="shared" si="82"/>
        <v>1.978932943548152E-12</v>
      </c>
      <c r="GY86" s="59">
        <f t="shared" si="83"/>
        <v>274.67306189841537</v>
      </c>
      <c r="GZ86" s="59">
        <f ca="1">AVERAGE(OFFSET($GY$3,0,0,'Données projet'!$E$18+1,1))-AVERAGE(OFFSET($H$3,0,0,'Données projet'!$E$18+1,1))</f>
        <v>-15.950000000000017</v>
      </c>
      <c r="HA86" s="59">
        <f t="shared" si="106"/>
        <v>-15.950000000000017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97.693793051360728</v>
      </c>
      <c r="HH86" s="21">
        <f>EXP(-LN(2)/25)*HH85+(1-EXP(-LN(2)/25))/(LN(2)/25)*Calculateur!HC86*Calculateur!HE86*VLOOKUP('Données projet'!$B$18,Paramètres!$A$1:$I$89,3,0)*0.475*44/12</f>
        <v>53.962975950691863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151.65676900205258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4.3499999999999996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15.949999999999998</v>
      </c>
      <c r="H87" s="67">
        <f t="shared" si="56"/>
        <v>192.86666666666667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-9.9316821433603781E-14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433.46721010558042</v>
      </c>
      <c r="T87" s="59">
        <f t="shared" si="88"/>
        <v>306.18862295347509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138.22703069489123</v>
      </c>
      <c r="AA87" s="21">
        <f>EXP(-LN(2)/25)*AA86+(1-EXP(-LN(2)/25))/(LN(2)/25)*Calculateur!V87*Calculateur!X87*VLOOKUP('Données projet'!$B$9,Paramètres!$A$1:$I$89,3,0)*0.475*44/12</f>
        <v>64.599735858026733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202.82676655291795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274.99677588969411</v>
      </c>
      <c r="AN87" s="59">
        <f ca="1">AVERAGE(OFFSET($AM$3,0,0,'Données projet'!$E$10+1,1))-AVERAGE(OFFSET($H$3,0,0,'Données projet'!$E$10+1,1))</f>
        <v>400.1942260113168</v>
      </c>
      <c r="AO87" s="59">
        <f t="shared" si="90"/>
        <v>497.04866930593926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95.778077356953546</v>
      </c>
      <c r="AV87" s="21">
        <f>EXP(-LN(2)/25)*AV86+(1-EXP(-LN(2)/25))/(LN(2)/25)*Calculateur!AQ87*Calculateur!AS87*VLOOKUP('Données projet'!$B$10,Paramètres!$A$1:$I$89,3,0)*0.475*44/12</f>
        <v>52.487355535530625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148.26543289248417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284.78505691662588</v>
      </c>
      <c r="BJ87" s="59">
        <f t="shared" si="92"/>
        <v>664.42623058686308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380.64318988568527</v>
      </c>
      <c r="CE87" s="59">
        <f t="shared" si="94"/>
        <v>885.24651320439159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54.650419836824611</v>
      </c>
      <c r="CL87" s="21">
        <f>EXP(-LN(2)/25)*CL86+(1-EXP(-LN(2)/25))/(LN(2)/25)*Calculateur!CG87*Calculateur!CI87*VLOOKUP('Données projet'!$B$12,Paramètres!$A$1:$I$89,3,0)*0.475*44/12</f>
        <v>9.1687259905439529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63.819145827368565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-1.1368683772161603E-13</v>
      </c>
      <c r="CU87" s="17">
        <f>CT87*VLOOKUP('Données projet'!$B$13,Paramètres!$A$1:$I$89,3,0)*VLOOKUP('Données projet'!$B$13,Paramètres!$A$1:$I$89,5,0)</f>
        <v>-6.3550942286383367E-14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404.10467005188889</v>
      </c>
      <c r="CZ87" s="59">
        <f t="shared" si="96"/>
        <v>372.70490129557845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178.94907656825868</v>
      </c>
      <c r="DG87" s="21">
        <f>EXP(-LN(2)/25)*DG86+(1-EXP(-LN(2)/25))/(LN(2)/25)*Calculateur!DB87*Calculateur!DD87*VLOOKUP('Données projet'!$B$13,Paramètres!$A$1:$I$89,3,0)*0.475*44/12</f>
        <v>88.36592304418113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267.31499961243981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6.0955555555555536</v>
      </c>
      <c r="DO87" s="12">
        <f>IF('Données projet'!$A$166&gt;35,DO86+DN87-DW86,IF(A87&lt;'Données projet'!$A$166,$DL$205^A87,IF(A87='Données projet'!$A$166,'Données projet'!$B$166,DO86+DN87-DW86)))</f>
        <v>198.3788888888887</v>
      </c>
      <c r="DP87" s="17">
        <f>DO87*VLOOKUP('Données projet'!$B$14,Paramètres!$A$1:$I$89,3,0)*VLOOKUP('Données projet'!$B$14,Paramètres!$A$1:$I$89,5,0)</f>
        <v>179.49321866666651</v>
      </c>
      <c r="DQ87" s="13">
        <f t="shared" si="97"/>
        <v>45.209418162348214</v>
      </c>
      <c r="DR87" s="20">
        <f t="shared" si="70"/>
        <v>391.35709247720064</v>
      </c>
      <c r="DS87" s="59">
        <f t="shared" si="71"/>
        <v>666.35386836689281</v>
      </c>
      <c r="DT87" s="59">
        <f ca="1">AVERAGE(OFFSET($DS$3,0,0,'Données projet'!$E$14+1,1))-AVERAGE(OFFSET($H$3,0,0,'Données projet'!$E$14+1,1))</f>
        <v>479.53113328461268</v>
      </c>
      <c r="DU87" s="59">
        <f t="shared" si="98"/>
        <v>244.6360664588118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25.839703068214661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25.839703068214661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2.2737367544323206E-13</v>
      </c>
      <c r="EK87" s="17">
        <f>EJ87*VLOOKUP('Données projet'!$B$15,Paramètres!$A$1:$I$89,3,0)*VLOOKUP('Données projet'!$B$15,Paramètres!$A$1:$I$89,5,0)</f>
        <v>1.0049916454590858E-13</v>
      </c>
      <c r="EL87" s="13">
        <f t="shared" si="99"/>
        <v>1.5089081593838289E-12</v>
      </c>
      <c r="EM87" s="20">
        <f t="shared" si="73"/>
        <v>2.8030510891776262E-12</v>
      </c>
      <c r="EN87" s="59">
        <f t="shared" si="74"/>
        <v>274.9967758896949</v>
      </c>
      <c r="EO87" s="59">
        <f ca="1">AVERAGE(OFFSET($EN$3,0,0,'Données projet'!$E$15+1,1))-AVERAGE(OFFSET($H$3,0,0,'Données projet'!$E$15+1,1))</f>
        <v>339.23049610652492</v>
      </c>
      <c r="EP87" s="59">
        <f t="shared" si="100"/>
        <v>448.85057640789785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102.61381955737077</v>
      </c>
      <c r="EW87" s="21">
        <f>EXP(-LN(2)/25)*EW86+(1-EXP(-LN(2)/25))/(LN(2)/25)*Calculateur!ER87*Calculateur!ET87*VLOOKUP('Données projet'!$B$15,Paramètres!$A$1:$I$89,3,0)*0.475*44/12</f>
        <v>60.352199151054563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162.96601870842534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10.985833333333332</v>
      </c>
      <c r="FE87" s="12">
        <f>IF('Données projet'!$A$218&gt;35,FE86+FD87-FM86,IF(A87&lt;'Données projet'!$A$218,$FB$205^A87,IF(A87='Données projet'!$A$218,'Données projet'!$B$218,FE86+FD87-FM86)))</f>
        <v>409.17416666666736</v>
      </c>
      <c r="FF87" s="17">
        <f>FE87*VLOOKUP('Données projet'!$B$16,Paramètres!$A$1:$I$89,3,0)*VLOOKUP('Données projet'!$B$16,Paramètres!$A$1:$I$89,5,0)</f>
        <v>191.49351000000033</v>
      </c>
      <c r="FG87" s="13">
        <f t="shared" si="101"/>
        <v>47.869996088134386</v>
      </c>
      <c r="FH87" s="20">
        <f t="shared" si="76"/>
        <v>416.89143977016801</v>
      </c>
      <c r="FI87" s="59">
        <f t="shared" si="77"/>
        <v>691.88821565986018</v>
      </c>
      <c r="FJ87" s="59">
        <f ca="1">AVERAGE(OFFSET($FI$3,0,0,'Données projet'!$E$16+1,1))-AVERAGE(OFFSET($H$3,0,0,'Données projet'!$E$16+1,1))</f>
        <v>365.63278362856033</v>
      </c>
      <c r="FK87" s="59">
        <f t="shared" si="102"/>
        <v>290.68267842697452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56.113498275652901</v>
      </c>
      <c r="FR87" s="21">
        <f>EXP(-LN(2)/25)*FR86+(1-EXP(-LN(2)/25))/(LN(2)/25)*Calculateur!FM87*Calculateur!FO87*VLOOKUP('Données projet'!$B$16,Paramètres!$A$1:$I$89,3,0)*0.475*44/12</f>
        <v>20.083314407827256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76.196812683480161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>
        <f>VLOOKUP(A87,'Données projet'!$A$243:$I$263,2,0)</f>
        <v>275.23</v>
      </c>
      <c r="FX87" s="12">
        <f>VLOOKUP(A87,'Données projet'!$A$243:$I$263,9,0)</f>
        <v>9.5455555555555591</v>
      </c>
      <c r="FY87" s="12">
        <f t="array" ref="FY87">INDEX(FX:FX,MIN(IF(ISNUMBER(FX87:FX283),ROW(FX87:FX283),"")))</f>
        <v>9.5455555555555591</v>
      </c>
      <c r="FZ87" s="12">
        <f>IF('Données projet'!$A$244&gt;35,FZ86+FY87-GH86,IF(A87&lt;'Données projet'!$A$244,$FW$205^A87,IF(A87='Données projet'!$A$244,'Données projet'!$B$244,FZ86+FY87-GH86)))</f>
        <v>275.23000000000013</v>
      </c>
      <c r="GA87" s="17">
        <f>FZ87*VLOOKUP('Données projet'!$B$17,Paramètres!$A$1:$I$89,3,0)*VLOOKUP('Données projet'!$B$17,Paramètres!$A$1:$I$89,5,0)</f>
        <v>236.14734000000013</v>
      </c>
      <c r="GB87" s="13">
        <f t="shared" si="103"/>
        <v>57.609832815631371</v>
      </c>
      <c r="GC87" s="20">
        <f t="shared" si="79"/>
        <v>511.62707598722483</v>
      </c>
      <c r="GD87" s="59">
        <f t="shared" si="80"/>
        <v>786.62385187691689</v>
      </c>
      <c r="GE87" s="59">
        <f ca="1">AVERAGE(OFFSET($GD$3,0,0,'Données projet'!$E$17+1,1))-AVERAGE(OFFSET($H$3,0,0,'Données projet'!$E$17+1,1))</f>
        <v>460.46300302025099</v>
      </c>
      <c r="GF87" s="59">
        <f t="shared" si="104"/>
        <v>340.22534554615879</v>
      </c>
      <c r="GG87" s="15">
        <f>IF(ISNA(VLOOKUP(A87,'Données projet'!$A$243:$I$263,3,0)),0,VLOOKUP(A87,'Données projet'!$A$243:$I$263,3,0))</f>
        <v>4</v>
      </c>
      <c r="GH87" s="15">
        <f>IF(ISNA(VLOOKUP(A87,'Données projet'!$A$243:$I$263,4,0)),0,VLOOKUP(A87,'Données projet'!$A$243:$I$263,4,0))</f>
        <v>60.45</v>
      </c>
      <c r="GI87" s="16">
        <f>IF(ISNA(VLOOKUP(A87,'Données projet'!$A$243:$I$263,5,0)),0%,VLOOKUP(A87,'Données projet'!$A$243:$I$263,5,0)*VLOOKUP('Données projet'!$B$17,Paramètres!$A$1:$I$89,7,0))</f>
        <v>0.318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63.255471755859645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63.255471755859645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64.999120697188758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1.1368683772161603E-13</v>
      </c>
      <c r="GV87" s="17">
        <f>GU87*VLOOKUP('Données projet'!$B$18,Paramètres!$A$1:$I$89,3,0)*VLOOKUP('Données projet'!$B$18,Paramètres!$A$1:$I$89,5,0)</f>
        <v>6.7984728957526396E-14</v>
      </c>
      <c r="GW87" s="13">
        <f t="shared" si="105"/>
        <v>1.0682447123141398E-12</v>
      </c>
      <c r="GX87" s="20">
        <f t="shared" si="82"/>
        <v>1.978932943548152E-12</v>
      </c>
      <c r="GY87" s="59">
        <f t="shared" si="83"/>
        <v>274.99677588969411</v>
      </c>
      <c r="GZ87" s="59">
        <f ca="1">AVERAGE(OFFSET($GY$3,0,0,'Données projet'!$E$18+1,1))-AVERAGE(OFFSET($H$3,0,0,'Données projet'!$E$18+1,1))</f>
        <v>-15.950000000000017</v>
      </c>
      <c r="HA87" s="59">
        <f t="shared" si="106"/>
        <v>-15.950000000000017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95.778077356953546</v>
      </c>
      <c r="HH87" s="21">
        <f>EXP(-LN(2)/25)*HH86+(1-EXP(-LN(2)/25))/(LN(2)/25)*Calculateur!HC87*Calculateur!HE87*VLOOKUP('Données projet'!$B$18,Paramètres!$A$1:$I$89,3,0)*0.475*44/12</f>
        <v>52.487355535530625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148.26543289248417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4.3499999999999996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15.949999999999998</v>
      </c>
      <c r="H88" s="67">
        <f t="shared" si="56"/>
        <v>192.86666666666667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-9.9316821433603781E-14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433.46721010558042</v>
      </c>
      <c r="T88" s="59">
        <f t="shared" si="88"/>
        <v>306.18862295347509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135.5164829331282</v>
      </c>
      <c r="AA88" s="21">
        <f>EXP(-LN(2)/25)*AA87+(1-EXP(-LN(2)/25))/(LN(2)/25)*Calculateur!V88*Calculateur!X88*VLOOKUP('Données projet'!$B$9,Paramètres!$A$1:$I$89,3,0)*0.475*44/12</f>
        <v>62.833252683836527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198.34973561696472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275.31487416694017</v>
      </c>
      <c r="AN88" s="59">
        <f ca="1">AVERAGE(OFFSET($AM$3,0,0,'Données projet'!$E$10+1,1))-AVERAGE(OFFSET($H$3,0,0,'Données projet'!$E$10+1,1))</f>
        <v>400.1942260113168</v>
      </c>
      <c r="AO88" s="59">
        <f t="shared" si="90"/>
        <v>497.04866930593926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93.899927678842488</v>
      </c>
      <c r="AV88" s="21">
        <f>EXP(-LN(2)/25)*AV87+(1-EXP(-LN(2)/25))/(LN(2)/25)*Calculateur!AQ88*Calculateur!AS88*VLOOKUP('Données projet'!$B$10,Paramètres!$A$1:$I$89,3,0)*0.475*44/12</f>
        <v>51.052086038221475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144.95201371706395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284.78505691662588</v>
      </c>
      <c r="BJ88" s="59">
        <f t="shared" si="92"/>
        <v>664.42623058686308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380.64318988568527</v>
      </c>
      <c r="CE88" s="59">
        <f t="shared" si="94"/>
        <v>885.24651320439159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53.578758437289174</v>
      </c>
      <c r="CL88" s="21">
        <f>EXP(-LN(2)/25)*CL87+(1-EXP(-LN(2)/25))/(LN(2)/25)*Calculateur!CG88*Calculateur!CI88*VLOOKUP('Données projet'!$B$12,Paramètres!$A$1:$I$89,3,0)*0.475*44/12</f>
        <v>8.9180066961701847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62.496765133459363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-1.1368683772161603E-13</v>
      </c>
      <c r="CU88" s="17">
        <f>CT88*VLOOKUP('Données projet'!$B$13,Paramètres!$A$1:$I$89,3,0)*VLOOKUP('Données projet'!$B$13,Paramètres!$A$1:$I$89,5,0)</f>
        <v>-6.3550942286383367E-14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404.10467005188889</v>
      </c>
      <c r="CZ88" s="59">
        <f t="shared" si="96"/>
        <v>372.70490129557845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175.43999432491435</v>
      </c>
      <c r="DG88" s="21">
        <f>EXP(-LN(2)/25)*DG87+(1-EXP(-LN(2)/25))/(LN(2)/25)*Calculateur!DB88*Calculateur!DD88*VLOOKUP('Données projet'!$B$13,Paramètres!$A$1:$I$89,3,0)*0.475*44/12</f>
        <v>85.949552231576064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261.38954655649042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6.0955555555555536</v>
      </c>
      <c r="DO88" s="12">
        <f>IF('Données projet'!$A$166&gt;35,DO87+DN88-DW87,IF(A88&lt;'Données projet'!$A$166,$DL$205^A88,IF(A88='Données projet'!$A$166,'Données projet'!$B$166,DO87+DN88-DW87)))</f>
        <v>204.47444444444426</v>
      </c>
      <c r="DP88" s="17">
        <f>DO88*VLOOKUP('Données projet'!$B$14,Paramètres!$A$1:$I$89,3,0)*VLOOKUP('Données projet'!$B$14,Paramètres!$A$1:$I$89,5,0)</f>
        <v>185.00847733333316</v>
      </c>
      <c r="DQ88" s="13">
        <f t="shared" si="97"/>
        <v>46.434694015742188</v>
      </c>
      <c r="DR88" s="20">
        <f t="shared" si="70"/>
        <v>403.09685676630625</v>
      </c>
      <c r="DS88" s="59">
        <f t="shared" si="71"/>
        <v>678.41173093324437</v>
      </c>
      <c r="DT88" s="59">
        <f ca="1">AVERAGE(OFFSET($DS$3,0,0,'Données projet'!$E$14+1,1))-AVERAGE(OFFSET($H$3,0,0,'Données projet'!$E$14+1,1))</f>
        <v>479.53113328461268</v>
      </c>
      <c r="DU88" s="59">
        <f t="shared" si="98"/>
        <v>244.6360664588118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25.333002251709608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25.333002251709608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2.2737367544323206E-13</v>
      </c>
      <c r="EK88" s="17">
        <f>EJ88*VLOOKUP('Données projet'!$B$15,Paramètres!$A$1:$I$89,3,0)*VLOOKUP('Données projet'!$B$15,Paramètres!$A$1:$I$89,5,0)</f>
        <v>1.0049916454590858E-13</v>
      </c>
      <c r="EL88" s="13">
        <f t="shared" si="99"/>
        <v>1.5089081593838289E-12</v>
      </c>
      <c r="EM88" s="20">
        <f t="shared" si="73"/>
        <v>2.8030510891776262E-12</v>
      </c>
      <c r="EN88" s="59">
        <f t="shared" si="74"/>
        <v>275.31487416694097</v>
      </c>
      <c r="EO88" s="59">
        <f ca="1">AVERAGE(OFFSET($EN$3,0,0,'Données projet'!$E$15+1,1))-AVERAGE(OFFSET($H$3,0,0,'Données projet'!$E$15+1,1))</f>
        <v>339.23049610652492</v>
      </c>
      <c r="EP88" s="59">
        <f t="shared" si="100"/>
        <v>448.85057640789785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100.60162514410058</v>
      </c>
      <c r="EW88" s="21">
        <f>EXP(-LN(2)/25)*EW87+(1-EXP(-LN(2)/25))/(LN(2)/25)*Calculateur!ER88*Calculateur!ET88*VLOOKUP('Données projet'!$B$15,Paramètres!$A$1:$I$89,3,0)*0.475*44/12</f>
        <v>58.701865091484763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159.30349023558534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420.16</v>
      </c>
      <c r="FC88" s="12">
        <f>VLOOKUP(A88,'Données projet'!$A$217:$I$237,9,0)</f>
        <v>10.985833333333332</v>
      </c>
      <c r="FD88" s="12">
        <f t="array" ref="FD88">INDEX(FC:FC,MIN(IF(ISNUMBER(FC88:FC284),ROW(FC88:FC284),"")))</f>
        <v>10.985833333333332</v>
      </c>
      <c r="FE88" s="12">
        <f>IF('Données projet'!$A$218&gt;35,FE87+FD88-FM87,IF(A88&lt;'Données projet'!$A$218,$FB$205^A88,IF(A88='Données projet'!$A$218,'Données projet'!$B$218,FE87+FD88-FM87)))</f>
        <v>420.16000000000071</v>
      </c>
      <c r="FF88" s="17">
        <f>FE88*VLOOKUP('Données projet'!$B$16,Paramètres!$A$1:$I$89,3,0)*VLOOKUP('Données projet'!$B$16,Paramètres!$A$1:$I$89,5,0)</f>
        <v>196.63488000000032</v>
      </c>
      <c r="FG88" s="13">
        <f t="shared" si="101"/>
        <v>49.003887420349137</v>
      </c>
      <c r="FH88" s="20">
        <f t="shared" si="76"/>
        <v>427.82085325710864</v>
      </c>
      <c r="FI88" s="59">
        <f t="shared" si="77"/>
        <v>703.13572742404676</v>
      </c>
      <c r="FJ88" s="59">
        <f ca="1">AVERAGE(OFFSET($FI$3,0,0,'Données projet'!$E$16+1,1))-AVERAGE(OFFSET($H$3,0,0,'Données projet'!$E$16+1,1))</f>
        <v>365.63278362856033</v>
      </c>
      <c r="FK88" s="59">
        <f t="shared" si="102"/>
        <v>290.68267842697452</v>
      </c>
      <c r="FL88" s="15">
        <f>IF(ISNA(VLOOKUP(A88,'Données projet'!$A$217:$I$237,3,0)),0,VLOOKUP(A88,'Données projet'!$A$217:$I$237,3,0))</f>
        <v>4</v>
      </c>
      <c r="FM88" s="15">
        <f>IF(ISNA(VLOOKUP(A88,'Données projet'!$A$217:$I$237,4,0)),0,VLOOKUP(A88,'Données projet'!$A$217:$I$237,4,0))</f>
        <v>94.69</v>
      </c>
      <c r="FN88" s="16">
        <f>IF(ISNA(VLOOKUP(A88,'Données projet'!$A$217:$I$237,5,0)),0%,VLOOKUP(A88,'Données projet'!$A$217:$I$237,5,0)*VLOOKUP('Données projet'!$B$16,Paramètres!$A$1:$I$89,7,0))</f>
        <v>0.38500000000000001</v>
      </c>
      <c r="FO88" s="16">
        <f>IF(ISNA(VLOOKUP(A88,'Données projet'!$A$217:$I$237,6,0)),0%,VLOOKUP(A88,'Données projet'!$A$217:$I$237,6,0)*VLOOKUP('Données projet'!$B$16,Paramètres!$A$1:$I$89,7,0))</f>
        <v>0.16500000000000001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77.645986921615787</v>
      </c>
      <c r="FR88" s="21">
        <f>EXP(-LN(2)/25)*FR87+(1-EXP(-LN(2)/25))/(LN(2)/25)*Calculateur!FM88*Calculateur!FO88*VLOOKUP('Données projet'!$B$16,Paramètres!$A$1:$I$89,3,0)*0.475*44/12</f>
        <v>29.195731978901744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106.84171890051753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9.0755555555555496</v>
      </c>
      <c r="FZ88" s="12">
        <f>IF('Données projet'!$A$244&gt;35,FZ87+FY88-GH87,IF(A88&lt;'Données projet'!$A$244,$FW$205^A88,IF(A88='Données projet'!$A$244,'Données projet'!$B$244,FZ87+FY88-GH87)))</f>
        <v>223.85555555555567</v>
      </c>
      <c r="GA88" s="17">
        <f>FZ88*VLOOKUP('Données projet'!$B$17,Paramètres!$A$1:$I$89,3,0)*VLOOKUP('Données projet'!$B$17,Paramètres!$A$1:$I$89,5,0)</f>
        <v>192.06806666666679</v>
      </c>
      <c r="GB88" s="13">
        <f t="shared" si="103"/>
        <v>47.996884554343673</v>
      </c>
      <c r="GC88" s="20">
        <f t="shared" si="79"/>
        <v>418.11312337659319</v>
      </c>
      <c r="GD88" s="59">
        <f t="shared" si="80"/>
        <v>693.42799754353132</v>
      </c>
      <c r="GE88" s="59">
        <f ca="1">AVERAGE(OFFSET($GD$3,0,0,'Données projet'!$E$17+1,1))-AVERAGE(OFFSET($H$3,0,0,'Données projet'!$E$17+1,1))</f>
        <v>460.46300302025099</v>
      </c>
      <c r="GF88" s="59">
        <f t="shared" si="104"/>
        <v>340.22534554615879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62.015070536755353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62.015070536755353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65.085874772801333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1.1368683772161603E-13</v>
      </c>
      <c r="GV88" s="17">
        <f>GU88*VLOOKUP('Données projet'!$B$18,Paramètres!$A$1:$I$89,3,0)*VLOOKUP('Données projet'!$B$18,Paramètres!$A$1:$I$89,5,0)</f>
        <v>6.7984728957526396E-14</v>
      </c>
      <c r="GW88" s="13">
        <f t="shared" si="105"/>
        <v>1.0682447123141398E-12</v>
      </c>
      <c r="GX88" s="20">
        <f t="shared" si="82"/>
        <v>1.978932943548152E-12</v>
      </c>
      <c r="GY88" s="59">
        <f t="shared" si="83"/>
        <v>275.31487416694017</v>
      </c>
      <c r="GZ88" s="59">
        <f ca="1">AVERAGE(OFFSET($GY$3,0,0,'Données projet'!$E$18+1,1))-AVERAGE(OFFSET($H$3,0,0,'Données projet'!$E$18+1,1))</f>
        <v>-15.950000000000017</v>
      </c>
      <c r="HA88" s="59">
        <f t="shared" si="106"/>
        <v>-15.950000000000017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93.899927678842488</v>
      </c>
      <c r="HH88" s="21">
        <f>EXP(-LN(2)/25)*HH87+(1-EXP(-LN(2)/25))/(LN(2)/25)*Calculateur!HC88*Calculateur!HE88*VLOOKUP('Données projet'!$B$18,Paramètres!$A$1:$I$89,3,0)*0.475*44/12</f>
        <v>51.052086038221475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144.95201371706395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4.3499999999999996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15.949999999999998</v>
      </c>
      <c r="H89" s="67">
        <f t="shared" si="56"/>
        <v>192.86666666666667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-9.9316821433603781E-14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433.46721010558042</v>
      </c>
      <c r="T89" s="59">
        <f t="shared" si="88"/>
        <v>306.18862295347509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132.85908735970247</v>
      </c>
      <c r="AA89" s="21">
        <f>EXP(-LN(2)/25)*AA88+(1-EXP(-LN(2)/25))/(LN(2)/25)*Calculateur!V89*Calculateur!X89*VLOOKUP('Données projet'!$B$9,Paramètres!$A$1:$I$89,3,0)*0.475*44/12</f>
        <v>61.115074084939863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193.97416144464233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275.62745415023733</v>
      </c>
      <c r="AN89" s="59">
        <f ca="1">AVERAGE(OFFSET($AM$3,0,0,'Données projet'!$E$10+1,1))-AVERAGE(OFFSET($H$3,0,0,'Données projet'!$E$10+1,1))</f>
        <v>400.1942260113168</v>
      </c>
      <c r="AO89" s="59">
        <f t="shared" si="90"/>
        <v>497.04866930593926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92.058607370361003</v>
      </c>
      <c r="AV89" s="21">
        <f>EXP(-LN(2)/25)*AV88+(1-EXP(-LN(2)/25))/(LN(2)/25)*Calculateur!AQ89*Calculateur!AS89*VLOOKUP('Données projet'!$B$10,Paramètres!$A$1:$I$89,3,0)*0.475*44/12</f>
        <v>49.656064060793788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141.71467143115478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284.78505691662588</v>
      </c>
      <c r="BJ89" s="59">
        <f t="shared" si="92"/>
        <v>664.42623058686308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380.64318988568527</v>
      </c>
      <c r="CE89" s="59">
        <f t="shared" si="94"/>
        <v>885.24651320439159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52.528111664149719</v>
      </c>
      <c r="CL89" s="21">
        <f>EXP(-LN(2)/25)*CL88+(1-EXP(-LN(2)/25))/(LN(2)/25)*Calculateur!CG89*Calculateur!CI89*VLOOKUP('Données projet'!$B$12,Paramètres!$A$1:$I$89,3,0)*0.475*44/12</f>
        <v>8.6741433340858212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61.202254998235539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-1.1368683772161603E-13</v>
      </c>
      <c r="CU89" s="17">
        <f>CT89*VLOOKUP('Données projet'!$B$13,Paramètres!$A$1:$I$89,3,0)*VLOOKUP('Données projet'!$B$13,Paramètres!$A$1:$I$89,5,0)</f>
        <v>-6.3550942286383367E-14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404.10467005188889</v>
      </c>
      <c r="CZ89" s="59">
        <f t="shared" si="96"/>
        <v>372.70490129557845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171.99972304403317</v>
      </c>
      <c r="DG89" s="21">
        <f>EXP(-LN(2)/25)*DG88+(1-EXP(-LN(2)/25))/(LN(2)/25)*Calculateur!DB89*Calculateur!DD89*VLOOKUP('Données projet'!$B$13,Paramètres!$A$1:$I$89,3,0)*0.475*44/12</f>
        <v>83.599257205913105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255.59898024994629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>
        <f>VLOOKUP(A89,'Données projet'!$A$165:$I$185,2,0)</f>
        <v>210.57</v>
      </c>
      <c r="DM89" s="12">
        <f>VLOOKUP(A89,'Données projet'!$A$165:$I$185,9,0)</f>
        <v>6.0955555555555536</v>
      </c>
      <c r="DN89" s="12">
        <f t="array" ref="DN89">INDEX(DM:DM,MIN(IF(ISNUMBER(DM89:DM285),ROW(DM89:DM285),"")))</f>
        <v>6.0955555555555536</v>
      </c>
      <c r="DO89" s="12">
        <f>IF('Données projet'!$A$166&gt;35,DO88+DN89-DW88,IF(A89&lt;'Données projet'!$A$166,$DL$205^A89,IF(A89='Données projet'!$A$166,'Données projet'!$B$166,DO88+DN89-DW88)))</f>
        <v>210.56999999999982</v>
      </c>
      <c r="DP89" s="17">
        <f>DO89*VLOOKUP('Données projet'!$B$14,Paramètres!$A$1:$I$89,3,0)*VLOOKUP('Données projet'!$B$14,Paramètres!$A$1:$I$89,5,0)</f>
        <v>190.52373599999984</v>
      </c>
      <c r="DQ89" s="13">
        <f t="shared" si="97"/>
        <v>47.655724887616088</v>
      </c>
      <c r="DR89" s="20">
        <f t="shared" si="70"/>
        <v>414.82922771259769</v>
      </c>
      <c r="DS89" s="59">
        <f t="shared" si="71"/>
        <v>690.45668186283297</v>
      </c>
      <c r="DT89" s="59">
        <f ca="1">AVERAGE(OFFSET($DS$3,0,0,'Données projet'!$E$14+1,1))-AVERAGE(OFFSET($H$3,0,0,'Données projet'!$E$14+1,1))</f>
        <v>479.53113328461268</v>
      </c>
      <c r="DU89" s="59">
        <f t="shared" si="98"/>
        <v>244.6360664588118</v>
      </c>
      <c r="DV89" s="15">
        <f>IF(ISNA(VLOOKUP(A89,'Données projet'!$A$165:$I$185,3,0)),0,VLOOKUP(A89,'Données projet'!$A$165:$I$185,3,0))</f>
        <v>4</v>
      </c>
      <c r="DW89" s="15">
        <f>IF(ISNA(VLOOKUP(A89,'Données projet'!$A$165:$I$185,4,0)),0,VLOOKUP(A89,'Données projet'!$A$165:$I$185,4,0))</f>
        <v>34.46</v>
      </c>
      <c r="DX89" s="16">
        <f>IF(ISNA(VLOOKUP(A89,'Données projet'!$A$165:$I$185,5,0)),0%,VLOOKUP(A89,'Données projet'!$A$165:$I$185,5,0)*VLOOKUP('Données projet'!$B$14,Paramètres!$A$1:$I$89,7,0))</f>
        <v>0.25800000000000001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33.728958823965392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33.728958823965392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2.2737367544323206E-13</v>
      </c>
      <c r="EK89" s="17">
        <f>EJ89*VLOOKUP('Données projet'!$B$15,Paramètres!$A$1:$I$89,3,0)*VLOOKUP('Données projet'!$B$15,Paramètres!$A$1:$I$89,5,0)</f>
        <v>1.0049916454590858E-13</v>
      </c>
      <c r="EL89" s="13">
        <f t="shared" si="99"/>
        <v>1.5089081593838289E-12</v>
      </c>
      <c r="EM89" s="20">
        <f t="shared" si="73"/>
        <v>2.8030510891776262E-12</v>
      </c>
      <c r="EN89" s="59">
        <f t="shared" si="74"/>
        <v>275.62745415023812</v>
      </c>
      <c r="EO89" s="59">
        <f ca="1">AVERAGE(OFFSET($EN$3,0,0,'Données projet'!$E$15+1,1))-AVERAGE(OFFSET($H$3,0,0,'Données projet'!$E$15+1,1))</f>
        <v>339.23049610652492</v>
      </c>
      <c r="EP89" s="59">
        <f t="shared" si="100"/>
        <v>448.85057640789785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98.62888863595721</v>
      </c>
      <c r="EW89" s="21">
        <f>EXP(-LN(2)/25)*EW88+(1-EXP(-LN(2)/25))/(LN(2)/25)*Calculateur!ER89*Calculateur!ET89*VLOOKUP('Données projet'!$B$15,Paramètres!$A$1:$I$89,3,0)*0.475*44/12</f>
        <v>57.096659503561192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155.72554813951839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10.059999999999997</v>
      </c>
      <c r="FE89" s="12">
        <f>IF('Données projet'!$A$218&gt;35,FE88+FD89-FM88,IF(A89&lt;'Données projet'!$A$218,$FB$205^A89,IF(A89='Données projet'!$A$218,'Données projet'!$B$218,FE88+FD89-FM88)))</f>
        <v>335.53000000000071</v>
      </c>
      <c r="FF89" s="17">
        <f>FE89*VLOOKUP('Données projet'!$B$16,Paramètres!$A$1:$I$89,3,0)*VLOOKUP('Données projet'!$B$16,Paramètres!$A$1:$I$89,5,0)</f>
        <v>157.02804000000032</v>
      </c>
      <c r="FG89" s="13">
        <f t="shared" si="101"/>
        <v>40.171451809334279</v>
      </c>
      <c r="FH89" s="20">
        <f t="shared" si="76"/>
        <v>343.45578156792436</v>
      </c>
      <c r="FI89" s="59">
        <f t="shared" si="77"/>
        <v>619.0832357181597</v>
      </c>
      <c r="FJ89" s="59">
        <f ca="1">AVERAGE(OFFSET($FI$3,0,0,'Données projet'!$E$16+1,1))-AVERAGE(OFFSET($H$3,0,0,'Données projet'!$E$16+1,1))</f>
        <v>365.63278362856033</v>
      </c>
      <c r="FK89" s="59">
        <f t="shared" si="102"/>
        <v>290.68267842697452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76.12339647745857</v>
      </c>
      <c r="FR89" s="21">
        <f>EXP(-LN(2)/25)*FR88+(1-EXP(-LN(2)/25))/(LN(2)/25)*Calculateur!FM89*Calculateur!FO89*VLOOKUP('Données projet'!$B$16,Paramètres!$A$1:$I$89,3,0)*0.475*44/12</f>
        <v>28.397373152601858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104.52076963006043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9.0755555555555496</v>
      </c>
      <c r="FZ89" s="12">
        <f>IF('Données projet'!$A$244&gt;35,FZ88+FY89-GH88,IF(A89&lt;'Données projet'!$A$244,$FW$205^A89,IF(A89='Données projet'!$A$244,'Données projet'!$B$244,FZ88+FY89-GH88)))</f>
        <v>232.93111111111122</v>
      </c>
      <c r="GA89" s="17">
        <f>FZ89*VLOOKUP('Données projet'!$B$17,Paramètres!$A$1:$I$89,3,0)*VLOOKUP('Données projet'!$B$17,Paramètres!$A$1:$I$89,5,0)</f>
        <v>199.85489333333345</v>
      </c>
      <c r="GB89" s="13">
        <f t="shared" si="103"/>
        <v>49.712276325037394</v>
      </c>
      <c r="GC89" s="20">
        <f t="shared" si="79"/>
        <v>434.66282048832926</v>
      </c>
      <c r="GD89" s="59">
        <f t="shared" si="80"/>
        <v>710.2902746385646</v>
      </c>
      <c r="GE89" s="59">
        <f ca="1">AVERAGE(OFFSET($GD$3,0,0,'Données projet'!$E$17+1,1))-AVERAGE(OFFSET($H$3,0,0,'Données projet'!$E$17+1,1))</f>
        <v>460.46300302025099</v>
      </c>
      <c r="GF89" s="59">
        <f t="shared" si="104"/>
        <v>340.22534554615879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60.798992828987657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60.798992828987657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65.171123859155102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1.1368683772161603E-13</v>
      </c>
      <c r="GV89" s="17">
        <f>GU89*VLOOKUP('Données projet'!$B$18,Paramètres!$A$1:$I$89,3,0)*VLOOKUP('Données projet'!$B$18,Paramètres!$A$1:$I$89,5,0)</f>
        <v>6.7984728957526396E-14</v>
      </c>
      <c r="GW89" s="13">
        <f t="shared" si="105"/>
        <v>1.0682447123141398E-12</v>
      </c>
      <c r="GX89" s="20">
        <f t="shared" si="82"/>
        <v>1.978932943548152E-12</v>
      </c>
      <c r="GY89" s="59">
        <f t="shared" si="83"/>
        <v>275.62745415023733</v>
      </c>
      <c r="GZ89" s="59">
        <f ca="1">AVERAGE(OFFSET($GY$3,0,0,'Données projet'!$E$18+1,1))-AVERAGE(OFFSET($H$3,0,0,'Données projet'!$E$18+1,1))</f>
        <v>-15.950000000000017</v>
      </c>
      <c r="HA89" s="59">
        <f t="shared" si="106"/>
        <v>-15.950000000000017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92.058607370361003</v>
      </c>
      <c r="HH89" s="21">
        <f>EXP(-LN(2)/25)*HH88+(1-EXP(-LN(2)/25))/(LN(2)/25)*Calculateur!HC89*Calculateur!HE89*VLOOKUP('Données projet'!$B$18,Paramètres!$A$1:$I$89,3,0)*0.475*44/12</f>
        <v>49.656064060793788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141.71467143115478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4.3499999999999996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15.949999999999998</v>
      </c>
      <c r="H90" s="67">
        <f t="shared" si="56"/>
        <v>192.86666666666667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-9.9316821433603781E-14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433.46721010558042</v>
      </c>
      <c r="T90" s="59">
        <f t="shared" si="88"/>
        <v>306.18862295347509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130.25380169262036</v>
      </c>
      <c r="AA90" s="21">
        <f>EXP(-LN(2)/25)*AA89+(1-EXP(-LN(2)/25))/(LN(2)/25)*Calculateur!V90*Calculateur!X90*VLOOKUP('Données projet'!$B$9,Paramètres!$A$1:$I$89,3,0)*0.475*44/12</f>
        <v>59.44387917018512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189.69768086280547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275.93461156964838</v>
      </c>
      <c r="AN90" s="59">
        <f ca="1">AVERAGE(OFFSET($AM$3,0,0,'Données projet'!$E$10+1,1))-AVERAGE(OFFSET($H$3,0,0,'Données projet'!$E$10+1,1))</f>
        <v>400.1942260113168</v>
      </c>
      <c r="AO90" s="59">
        <f t="shared" si="90"/>
        <v>497.04866930593926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90.253394230034345</v>
      </c>
      <c r="AV90" s="21">
        <f>EXP(-LN(2)/25)*AV89+(1-EXP(-LN(2)/25))/(LN(2)/25)*Calculateur!AQ90*Calculateur!AS90*VLOOKUP('Données projet'!$B$10,Paramètres!$A$1:$I$89,3,0)*0.475*44/12</f>
        <v>48.29821637775246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138.55161060778681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284.78505691662588</v>
      </c>
      <c r="BJ90" s="59">
        <f t="shared" si="92"/>
        <v>664.42623058686308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380.64318988568527</v>
      </c>
      <c r="CE90" s="59">
        <f t="shared" si="94"/>
        <v>885.24651320439159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51.498067433400273</v>
      </c>
      <c r="CL90" s="21">
        <f>EXP(-LN(2)/25)*CL89+(1-EXP(-LN(2)/25))/(LN(2)/25)*Calculateur!CG90*Calculateur!CI90*VLOOKUP('Données projet'!$B$12,Paramètres!$A$1:$I$89,3,0)*0.475*44/12</f>
        <v>8.4369484284618714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59.935015861862141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-1.1368683772161603E-13</v>
      </c>
      <c r="CU90" s="17">
        <f>CT90*VLOOKUP('Données projet'!$B$13,Paramètres!$A$1:$I$89,3,0)*VLOOKUP('Données projet'!$B$13,Paramètres!$A$1:$I$89,5,0)</f>
        <v>-6.3550942286383367E-14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404.10467005188889</v>
      </c>
      <c r="CZ90" s="59">
        <f t="shared" si="96"/>
        <v>372.70490129557845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168.62691338461178</v>
      </c>
      <c r="DG90" s="21">
        <f>EXP(-LN(2)/25)*DG89+(1-EXP(-LN(2)/25))/(LN(2)/25)*Calculateur!DB90*Calculateur!DD90*VLOOKUP('Données projet'!$B$13,Paramètres!$A$1:$I$89,3,0)*0.475*44/12</f>
        <v>81.31323112132354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249.94014450593534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6.0866666666666669</v>
      </c>
      <c r="DO90" s="12">
        <f>IF('Données projet'!$A$166&gt;35,DO89+DN90-DW89,IF(A90&lt;'Données projet'!$A$166,$DL$205^A90,IF(A90='Données projet'!$A$166,'Données projet'!$B$166,DO89+DN90-DW89)))</f>
        <v>182.19666666666649</v>
      </c>
      <c r="DP90" s="17">
        <f>DO90*VLOOKUP('Données projet'!$B$14,Paramètres!$A$1:$I$89,3,0)*VLOOKUP('Données projet'!$B$14,Paramètres!$A$1:$I$89,5,0)</f>
        <v>164.85154399999985</v>
      </c>
      <c r="DQ90" s="13">
        <f t="shared" si="97"/>
        <v>41.934885017247936</v>
      </c>
      <c r="DR90" s="20">
        <f t="shared" si="70"/>
        <v>360.15303053837323</v>
      </c>
      <c r="DS90" s="59">
        <f t="shared" si="71"/>
        <v>636.08764210801962</v>
      </c>
      <c r="DT90" s="59">
        <f ca="1">AVERAGE(OFFSET($DS$3,0,0,'Données projet'!$E$14+1,1))-AVERAGE(OFFSET($H$3,0,0,'Données projet'!$E$14+1,1))</f>
        <v>479.53113328461268</v>
      </c>
      <c r="DU90" s="59">
        <f t="shared" si="98"/>
        <v>244.6360664588118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33.067554514060937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33.067554514060937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2.2737367544323206E-13</v>
      </c>
      <c r="EK90" s="17">
        <f>EJ90*VLOOKUP('Données projet'!$B$15,Paramètres!$A$1:$I$89,3,0)*VLOOKUP('Données projet'!$B$15,Paramètres!$A$1:$I$89,5,0)</f>
        <v>1.0049916454590858E-13</v>
      </c>
      <c r="EL90" s="13">
        <f t="shared" si="99"/>
        <v>1.5089081593838289E-12</v>
      </c>
      <c r="EM90" s="20">
        <f t="shared" si="73"/>
        <v>2.8030510891776262E-12</v>
      </c>
      <c r="EN90" s="59">
        <f t="shared" si="74"/>
        <v>275.93461156964918</v>
      </c>
      <c r="EO90" s="59">
        <f ca="1">AVERAGE(OFFSET($EN$3,0,0,'Données projet'!$E$15+1,1))-AVERAGE(OFFSET($H$3,0,0,'Données projet'!$E$15+1,1))</f>
        <v>339.23049610652492</v>
      </c>
      <c r="EP90" s="59">
        <f t="shared" si="100"/>
        <v>448.85057640789785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96.694836287488073</v>
      </c>
      <c r="EW90" s="21">
        <f>EXP(-LN(2)/25)*EW89+(1-EXP(-LN(2)/25))/(LN(2)/25)*Calculateur!ER90*Calculateur!ET90*VLOOKUP('Données projet'!$B$15,Paramètres!$A$1:$I$89,3,0)*0.475*44/12</f>
        <v>55.535348346853482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152.23018463434155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10.059999999999997</v>
      </c>
      <c r="FE90" s="12">
        <f>IF('Données projet'!$A$218&gt;35,FE89+FD90-FM89,IF(A90&lt;'Données projet'!$A$218,$FB$205^A90,IF(A90='Données projet'!$A$218,'Données projet'!$B$218,FE89+FD90-FM89)))</f>
        <v>345.59000000000071</v>
      </c>
      <c r="FF90" s="17">
        <f>FE90*VLOOKUP('Données projet'!$B$16,Paramètres!$A$1:$I$89,3,0)*VLOOKUP('Données projet'!$B$16,Paramètres!$A$1:$I$89,5,0)</f>
        <v>161.73612000000031</v>
      </c>
      <c r="FG90" s="13">
        <f t="shared" si="101"/>
        <v>41.233855819285765</v>
      </c>
      <c r="FH90" s="20">
        <f t="shared" si="76"/>
        <v>353.50604121858987</v>
      </c>
      <c r="FI90" s="59">
        <f t="shared" si="77"/>
        <v>629.44065278823632</v>
      </c>
      <c r="FJ90" s="59">
        <f ca="1">AVERAGE(OFFSET($FI$3,0,0,'Données projet'!$E$16+1,1))-AVERAGE(OFFSET($H$3,0,0,'Données projet'!$E$16+1,1))</f>
        <v>365.63278362856033</v>
      </c>
      <c r="FK90" s="59">
        <f t="shared" si="102"/>
        <v>290.68267842697452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74.630663103222815</v>
      </c>
      <c r="FR90" s="21">
        <f>EXP(-LN(2)/25)*FR89+(1-EXP(-LN(2)/25))/(LN(2)/25)*Calculateur!FM90*Calculateur!FO90*VLOOKUP('Données projet'!$B$16,Paramètres!$A$1:$I$89,3,0)*0.475*44/12</f>
        <v>27.620845490391009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102.25150859361382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9.0755555555555496</v>
      </c>
      <c r="FZ90" s="12">
        <f>IF('Données projet'!$A$244&gt;35,FZ89+FY90-GH89,IF(A90&lt;'Données projet'!$A$244,$FW$205^A90,IF(A90='Données projet'!$A$244,'Données projet'!$B$244,FZ89+FY90-GH89)))</f>
        <v>242.00666666666677</v>
      </c>
      <c r="GA90" s="17">
        <f>FZ90*VLOOKUP('Données projet'!$B$17,Paramètres!$A$1:$I$89,3,0)*VLOOKUP('Données projet'!$B$17,Paramètres!$A$1:$I$89,5,0)</f>
        <v>207.64172000000011</v>
      </c>
      <c r="GB90" s="13">
        <f t="shared" si="103"/>
        <v>51.419903950397433</v>
      </c>
      <c r="GC90" s="20">
        <f t="shared" si="79"/>
        <v>451.19899504694234</v>
      </c>
      <c r="GD90" s="59">
        <f t="shared" si="80"/>
        <v>727.13360661658874</v>
      </c>
      <c r="GE90" s="59">
        <f ca="1">AVERAGE(OFFSET($GD$3,0,0,'Données projet'!$E$17+1,1))-AVERAGE(OFFSET($H$3,0,0,'Données projet'!$E$17+1,1))</f>
        <v>460.46300302025099</v>
      </c>
      <c r="GF90" s="59">
        <f t="shared" si="104"/>
        <v>340.22534554615879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59.606761663335121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59.606761663335121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65.254894064449019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1.1368683772161603E-13</v>
      </c>
      <c r="GV90" s="17">
        <f>GU90*VLOOKUP('Données projet'!$B$18,Paramètres!$A$1:$I$89,3,0)*VLOOKUP('Données projet'!$B$18,Paramètres!$A$1:$I$89,5,0)</f>
        <v>6.7984728957526396E-14</v>
      </c>
      <c r="GW90" s="13">
        <f t="shared" si="105"/>
        <v>1.0682447123141398E-12</v>
      </c>
      <c r="GX90" s="20">
        <f t="shared" si="82"/>
        <v>1.978932943548152E-12</v>
      </c>
      <c r="GY90" s="59">
        <f t="shared" si="83"/>
        <v>275.93461156964838</v>
      </c>
      <c r="GZ90" s="59">
        <f ca="1">AVERAGE(OFFSET($GY$3,0,0,'Données projet'!$E$18+1,1))-AVERAGE(OFFSET($H$3,0,0,'Données projet'!$E$18+1,1))</f>
        <v>-15.950000000000017</v>
      </c>
      <c r="HA90" s="59">
        <f t="shared" si="106"/>
        <v>-15.950000000000017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90.253394230034345</v>
      </c>
      <c r="HH90" s="21">
        <f>EXP(-LN(2)/25)*HH89+(1-EXP(-LN(2)/25))/(LN(2)/25)*Calculateur!HC90*Calculateur!HE90*VLOOKUP('Données projet'!$B$18,Paramètres!$A$1:$I$89,3,0)*0.475*44/12</f>
        <v>48.29821637775246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138.55161060778681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4.3499999999999996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15.949999999999998</v>
      </c>
      <c r="H91" s="67">
        <f t="shared" si="56"/>
        <v>192.86666666666667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-9.9316821433603781E-14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433.46721010558042</v>
      </c>
      <c r="T91" s="59">
        <f t="shared" si="88"/>
        <v>306.18862295347509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127.69960408840237</v>
      </c>
      <c r="AA91" s="21">
        <f>EXP(-LN(2)/25)*AA90+(1-EXP(-LN(2)/25))/(LN(2)/25)*Calculateur!V91*Calculateur!X91*VLOOKUP('Données projet'!$B$9,Paramètres!$A$1:$I$89,3,0)*0.475*44/12</f>
        <v>57.818383168258663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185.51798725666103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276.23644049453389</v>
      </c>
      <c r="AN91" s="59">
        <f ca="1">AVERAGE(OFFSET($AM$3,0,0,'Données projet'!$E$10+1,1))-AVERAGE(OFFSET($H$3,0,0,'Données projet'!$E$10+1,1))</f>
        <v>400.1942260113168</v>
      </c>
      <c r="AO91" s="59">
        <f t="shared" si="90"/>
        <v>497.04866930593926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88.483580218318195</v>
      </c>
      <c r="AV91" s="21">
        <f>EXP(-LN(2)/25)*AV90+(1-EXP(-LN(2)/25))/(LN(2)/25)*Calculateur!AQ91*Calculateur!AS91*VLOOKUP('Données projet'!$B$10,Paramètres!$A$1:$I$89,3,0)*0.475*44/12</f>
        <v>46.977499111010005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135.46107932932819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284.78505691662588</v>
      </c>
      <c r="BJ91" s="59">
        <f t="shared" si="92"/>
        <v>664.42623058686308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380.64318988568527</v>
      </c>
      <c r="CE91" s="59">
        <f t="shared" si="94"/>
        <v>885.24651320439159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50.488221741750877</v>
      </c>
      <c r="CL91" s="21">
        <f>EXP(-LN(2)/25)*CL90+(1-EXP(-LN(2)/25))/(LN(2)/25)*Calculateur!CG91*Calculateur!CI91*VLOOKUP('Données projet'!$B$12,Paramètres!$A$1:$I$89,3,0)*0.475*44/12</f>
        <v>8.2062396300057472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58.694461371756624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-1.1368683772161603E-13</v>
      </c>
      <c r="CU91" s="17">
        <f>CT91*VLOOKUP('Données projet'!$B$13,Paramètres!$A$1:$I$89,3,0)*VLOOKUP('Données projet'!$B$13,Paramètres!$A$1:$I$89,5,0)</f>
        <v>-6.3550942286383367E-14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404.10467005188889</v>
      </c>
      <c r="CZ91" s="59">
        <f t="shared" si="96"/>
        <v>372.70490129557845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165.3202424654009</v>
      </c>
      <c r="DG91" s="21">
        <f>EXP(-LN(2)/25)*DG90+(1-EXP(-LN(2)/25))/(LN(2)/25)*Calculateur!DB91*Calculateur!DD91*VLOOKUP('Données projet'!$B$13,Paramètres!$A$1:$I$89,3,0)*0.475*44/12</f>
        <v>79.089716540233965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244.40995900563485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6.0866666666666669</v>
      </c>
      <c r="DO91" s="12">
        <f>IF('Données projet'!$A$166&gt;35,DO90+DN91-DW90,IF(A91&lt;'Données projet'!$A$166,$DL$205^A91,IF(A91='Données projet'!$A$166,'Données projet'!$B$166,DO90+DN91-DW90)))</f>
        <v>188.28333333333316</v>
      </c>
      <c r="DP91" s="17">
        <f>DO91*VLOOKUP('Données projet'!$B$14,Paramètres!$A$1:$I$89,3,0)*VLOOKUP('Données projet'!$B$14,Paramètres!$A$1:$I$89,5,0)</f>
        <v>170.35875999999985</v>
      </c>
      <c r="DQ91" s="13">
        <f t="shared" si="97"/>
        <v>43.170364029841458</v>
      </c>
      <c r="DR91" s="20">
        <f t="shared" si="70"/>
        <v>371.89655768530696</v>
      </c>
      <c r="DS91" s="59">
        <f t="shared" si="71"/>
        <v>648.13299817983886</v>
      </c>
      <c r="DT91" s="59">
        <f ca="1">AVERAGE(OFFSET($DS$3,0,0,'Données projet'!$E$14+1,1))-AVERAGE(OFFSET($H$3,0,0,'Données projet'!$E$14+1,1))</f>
        <v>479.53113328461268</v>
      </c>
      <c r="DU91" s="59">
        <f t="shared" si="98"/>
        <v>244.6360664588118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32.419119939256909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32.419119939256909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2.2737367544323206E-13</v>
      </c>
      <c r="EK91" s="17">
        <f>EJ91*VLOOKUP('Données projet'!$B$15,Paramètres!$A$1:$I$89,3,0)*VLOOKUP('Données projet'!$B$15,Paramètres!$A$1:$I$89,5,0)</f>
        <v>1.0049916454590858E-13</v>
      </c>
      <c r="EL91" s="13">
        <f t="shared" si="99"/>
        <v>1.5089081593838289E-12</v>
      </c>
      <c r="EM91" s="20">
        <f t="shared" si="73"/>
        <v>2.8030510891776262E-12</v>
      </c>
      <c r="EN91" s="59">
        <f t="shared" si="74"/>
        <v>276.23644049453469</v>
      </c>
      <c r="EO91" s="59">
        <f ca="1">AVERAGE(OFFSET($EN$3,0,0,'Données projet'!$E$15+1,1))-AVERAGE(OFFSET($H$3,0,0,'Données projet'!$E$15+1,1))</f>
        <v>339.23049610652492</v>
      </c>
      <c r="EP91" s="59">
        <f t="shared" si="100"/>
        <v>448.85057640789785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94.798709525916976</v>
      </c>
      <c r="EW91" s="21">
        <f>EXP(-LN(2)/25)*EW90+(1-EXP(-LN(2)/25))/(LN(2)/25)*Calculateur!ER91*Calculateur!ET91*VLOOKUP('Données projet'!$B$15,Paramètres!$A$1:$I$89,3,0)*0.475*44/12</f>
        <v>54.016731325831735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148.81544085174872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10.059999999999997</v>
      </c>
      <c r="FE91" s="12">
        <f>IF('Données projet'!$A$218&gt;35,FE90+FD91-FM90,IF(A91&lt;'Données projet'!$A$218,$FB$205^A91,IF(A91='Données projet'!$A$218,'Données projet'!$B$218,FE90+FD91-FM90)))</f>
        <v>355.65000000000072</v>
      </c>
      <c r="FF91" s="17">
        <f>FE91*VLOOKUP('Données projet'!$B$16,Paramètres!$A$1:$I$89,3,0)*VLOOKUP('Données projet'!$B$16,Paramètres!$A$1:$I$89,5,0)</f>
        <v>166.44420000000034</v>
      </c>
      <c r="FG91" s="13">
        <f t="shared" si="101"/>
        <v>42.292665575425083</v>
      </c>
      <c r="FH91" s="20">
        <f t="shared" si="76"/>
        <v>363.55004087719925</v>
      </c>
      <c r="FI91" s="59">
        <f t="shared" si="77"/>
        <v>639.78648137173116</v>
      </c>
      <c r="FJ91" s="59">
        <f ca="1">AVERAGE(OFFSET($FI$3,0,0,'Données projet'!$E$16+1,1))-AVERAGE(OFFSET($H$3,0,0,'Données projet'!$E$16+1,1))</f>
        <v>365.63278362856033</v>
      </c>
      <c r="FK91" s="59">
        <f t="shared" si="102"/>
        <v>290.68267842697452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73.167201319978361</v>
      </c>
      <c r="FR91" s="21">
        <f>EXP(-LN(2)/25)*FR90+(1-EXP(-LN(2)/25))/(LN(2)/25)*Calculateur!FM91*Calculateur!FO91*VLOOKUP('Données projet'!$B$16,Paramètres!$A$1:$I$89,3,0)*0.475*44/12</f>
        <v>26.86555201793913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100.03275333791748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9.0755555555555496</v>
      </c>
      <c r="FZ91" s="12">
        <f>IF('Données projet'!$A$244&gt;35,FZ90+FY91-GH90,IF(A91&lt;'Données projet'!$A$244,$FW$205^A91,IF(A91='Données projet'!$A$244,'Données projet'!$B$244,FZ90+FY91-GH90)))</f>
        <v>251.08222222222233</v>
      </c>
      <c r="GA91" s="17">
        <f>FZ91*VLOOKUP('Données projet'!$B$17,Paramètres!$A$1:$I$89,3,0)*VLOOKUP('Données projet'!$B$17,Paramètres!$A$1:$I$89,5,0)</f>
        <v>215.42854666666679</v>
      </c>
      <c r="GB91" s="13">
        <f t="shared" si="103"/>
        <v>53.120091933690738</v>
      </c>
      <c r="GC91" s="20">
        <f t="shared" si="79"/>
        <v>467.72221222895604</v>
      </c>
      <c r="GD91" s="59">
        <f t="shared" si="80"/>
        <v>743.95865272348794</v>
      </c>
      <c r="GE91" s="59">
        <f ca="1">AVERAGE(OFFSET($GD$3,0,0,'Données projet'!$E$17+1,1))-AVERAGE(OFFSET($H$3,0,0,'Données projet'!$E$17+1,1))</f>
        <v>460.46300302025099</v>
      </c>
      <c r="GF91" s="59">
        <f t="shared" si="104"/>
        <v>340.22534554615879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58.437909423651824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58.437909423651824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65.337211043963237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1.1368683772161603E-13</v>
      </c>
      <c r="GV91" s="17">
        <f>GU91*VLOOKUP('Données projet'!$B$18,Paramètres!$A$1:$I$89,3,0)*VLOOKUP('Données projet'!$B$18,Paramètres!$A$1:$I$89,5,0)</f>
        <v>6.7984728957526396E-14</v>
      </c>
      <c r="GW91" s="13">
        <f t="shared" si="105"/>
        <v>1.0682447123141398E-12</v>
      </c>
      <c r="GX91" s="20">
        <f t="shared" si="82"/>
        <v>1.978932943548152E-12</v>
      </c>
      <c r="GY91" s="59">
        <f t="shared" si="83"/>
        <v>276.23644049453389</v>
      </c>
      <c r="GZ91" s="59">
        <f ca="1">AVERAGE(OFFSET($GY$3,0,0,'Données projet'!$E$18+1,1))-AVERAGE(OFFSET($H$3,0,0,'Données projet'!$E$18+1,1))</f>
        <v>-15.950000000000017</v>
      </c>
      <c r="HA91" s="59">
        <f t="shared" si="106"/>
        <v>-15.950000000000017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88.483580218318195</v>
      </c>
      <c r="HH91" s="21">
        <f>EXP(-LN(2)/25)*HH90+(1-EXP(-LN(2)/25))/(LN(2)/25)*Calculateur!HC91*Calculateur!HE91*VLOOKUP('Données projet'!$B$18,Paramètres!$A$1:$I$89,3,0)*0.475*44/12</f>
        <v>46.977499111010005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135.46107932932819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4.3499999999999996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15.949999999999998</v>
      </c>
      <c r="H92" s="67">
        <f t="shared" si="56"/>
        <v>192.86666666666667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-9.9316821433603781E-14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433.46721010558042</v>
      </c>
      <c r="T92" s="59">
        <f t="shared" si="88"/>
        <v>306.18862295347509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125.19549274129638</v>
      </c>
      <c r="AA92" s="21">
        <f>EXP(-LN(2)/25)*AA91+(1-EXP(-LN(2)/25))/(LN(2)/25)*Calculateur!V92*Calculateur!X92*VLOOKUP('Données projet'!$B$9,Paramètres!$A$1:$I$89,3,0)*0.475*44/12</f>
        <v>56.237336439986002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181.43282918128239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276.53303336236081</v>
      </c>
      <c r="AN92" s="59">
        <f ca="1">AVERAGE(OFFSET($AM$3,0,0,'Données projet'!$E$10+1,1))-AVERAGE(OFFSET($H$3,0,0,'Données projet'!$E$10+1,1))</f>
        <v>400.1942260113168</v>
      </c>
      <c r="AO92" s="59">
        <f t="shared" si="90"/>
        <v>497.04866930593926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86.748471179891851</v>
      </c>
      <c r="AV92" s="21">
        <f>EXP(-LN(2)/25)*AV91+(1-EXP(-LN(2)/25))/(LN(2)/25)*Calculateur!AQ92*Calculateur!AS92*VLOOKUP('Données projet'!$B$10,Paramètres!$A$1:$I$89,3,0)*0.475*44/12</f>
        <v>45.692896927380126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132.44136810727198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284.78505691662588</v>
      </c>
      <c r="BJ92" s="59">
        <f t="shared" si="92"/>
        <v>664.42623058686308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380.64318988568527</v>
      </c>
      <c r="CE92" s="59">
        <f t="shared" si="94"/>
        <v>885.24651320439159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49.498178508169673</v>
      </c>
      <c r="CL92" s="21">
        <f>EXP(-LN(2)/25)*CL91+(1-EXP(-LN(2)/25))/(LN(2)/25)*Calculateur!CG92*Calculateur!CI92*VLOOKUP('Données projet'!$B$12,Paramètres!$A$1:$I$89,3,0)*0.475*44/12</f>
        <v>7.9818395757758536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57.480018083945524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-1.1368683772161603E-13</v>
      </c>
      <c r="CU92" s="17">
        <f>CT92*VLOOKUP('Données projet'!$B$13,Paramètres!$A$1:$I$89,3,0)*VLOOKUP('Données projet'!$B$13,Paramètres!$A$1:$I$89,5,0)</f>
        <v>-6.3550942286383367E-14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404.10467005188889</v>
      </c>
      <c r="CZ92" s="59">
        <f t="shared" si="96"/>
        <v>372.70490129557845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162.07841334604561</v>
      </c>
      <c r="DG92" s="21">
        <f>EXP(-LN(2)/25)*DG91+(1-EXP(-LN(2)/25))/(LN(2)/25)*Calculateur!DB92*Calculateur!DD92*VLOOKUP('Données projet'!$B$13,Paramètres!$A$1:$I$89,3,0)*0.475*44/12</f>
        <v>76.927004082293834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239.00541742833946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6.0866666666666669</v>
      </c>
      <c r="DO92" s="12">
        <f>IF('Données projet'!$A$166&gt;35,DO91+DN92-DW91,IF(A92&lt;'Données projet'!$A$166,$DL$205^A92,IF(A92='Données projet'!$A$166,'Données projet'!$B$166,DO91+DN92-DW91)))</f>
        <v>194.36999999999983</v>
      </c>
      <c r="DP92" s="17">
        <f>DO92*VLOOKUP('Données projet'!$B$14,Paramètres!$A$1:$I$89,3,0)*VLOOKUP('Données projet'!$B$14,Paramètres!$A$1:$I$89,5,0)</f>
        <v>175.86597599999985</v>
      </c>
      <c r="DQ92" s="13">
        <f t="shared" si="97"/>
        <v>44.401201962249573</v>
      </c>
      <c r="DR92" s="20">
        <f t="shared" si="70"/>
        <v>383.63200161758442</v>
      </c>
      <c r="DS92" s="59">
        <f t="shared" si="71"/>
        <v>660.16503497994324</v>
      </c>
      <c r="DT92" s="59">
        <f ca="1">AVERAGE(OFFSET($DS$3,0,0,'Données projet'!$E$14+1,1))-AVERAGE(OFFSET($H$3,0,0,'Données projet'!$E$14+1,1))</f>
        <v>479.53113328461268</v>
      </c>
      <c r="DU92" s="59">
        <f t="shared" si="98"/>
        <v>244.6360664588118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31.783400770958753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31.783400770958753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2.2737367544323206E-13</v>
      </c>
      <c r="EK92" s="17">
        <f>EJ92*VLOOKUP('Données projet'!$B$15,Paramètres!$A$1:$I$89,3,0)*VLOOKUP('Données projet'!$B$15,Paramètres!$A$1:$I$89,5,0)</f>
        <v>1.0049916454590858E-13</v>
      </c>
      <c r="EL92" s="13">
        <f t="shared" si="99"/>
        <v>1.5089081593838289E-12</v>
      </c>
      <c r="EM92" s="20">
        <f t="shared" si="73"/>
        <v>2.8030510891776262E-12</v>
      </c>
      <c r="EN92" s="59">
        <f t="shared" si="74"/>
        <v>276.53303336236161</v>
      </c>
      <c r="EO92" s="59">
        <f ca="1">AVERAGE(OFFSET($EN$3,0,0,'Données projet'!$E$15+1,1))-AVERAGE(OFFSET($H$3,0,0,'Données projet'!$E$15+1,1))</f>
        <v>339.23049610652492</v>
      </c>
      <c r="EP92" s="59">
        <f t="shared" si="100"/>
        <v>448.85057640789785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92.939764653617161</v>
      </c>
      <c r="EW92" s="21">
        <f>EXP(-LN(2)/25)*EW91+(1-EXP(-LN(2)/25))/(LN(2)/25)*Calculateur!ER92*Calculateur!ET92*VLOOKUP('Données projet'!$B$15,Paramètres!$A$1:$I$89,3,0)*0.475*44/12</f>
        <v>52.539640967110422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145.47940562072759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10.059999999999997</v>
      </c>
      <c r="FE92" s="12">
        <f>IF('Données projet'!$A$218&gt;35,FE91+FD92-FM91,IF(A92&lt;'Données projet'!$A$218,$FB$205^A92,IF(A92='Données projet'!$A$218,'Données projet'!$B$218,FE91+FD92-FM91)))</f>
        <v>365.71000000000072</v>
      </c>
      <c r="FF92" s="17">
        <f>FE92*VLOOKUP('Données projet'!$B$16,Paramètres!$A$1:$I$89,3,0)*VLOOKUP('Données projet'!$B$16,Paramètres!$A$1:$I$89,5,0)</f>
        <v>171.15228000000033</v>
      </c>
      <c r="FG92" s="13">
        <f t="shared" si="101"/>
        <v>43.347994423787434</v>
      </c>
      <c r="FH92" s="20">
        <f t="shared" si="76"/>
        <v>373.58797795476374</v>
      </c>
      <c r="FI92" s="59">
        <f t="shared" si="77"/>
        <v>650.12101131712257</v>
      </c>
      <c r="FJ92" s="59">
        <f ca="1">AVERAGE(OFFSET($FI$3,0,0,'Données projet'!$E$16+1,1))-AVERAGE(OFFSET($H$3,0,0,'Données projet'!$E$16+1,1))</f>
        <v>365.63278362856033</v>
      </c>
      <c r="FK92" s="59">
        <f t="shared" si="102"/>
        <v>290.68267842697452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71.732437129679781</v>
      </c>
      <c r="FR92" s="21">
        <f>EXP(-LN(2)/25)*FR91+(1-EXP(-LN(2)/25))/(LN(2)/25)*Calculateur!FM92*Calculateur!FO92*VLOOKUP('Données projet'!$B$16,Paramètres!$A$1:$I$89,3,0)*0.475*44/12</f>
        <v>26.130912085210607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97.863349214890391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9.0755555555555496</v>
      </c>
      <c r="FZ92" s="12">
        <f>IF('Données projet'!$A$244&gt;35,FZ91+FY92-GH91,IF(A92&lt;'Données projet'!$A$244,$FW$205^A92,IF(A92='Données projet'!$A$244,'Données projet'!$B$244,FZ91+FY92-GH91)))</f>
        <v>260.15777777777788</v>
      </c>
      <c r="GA92" s="17">
        <f>FZ92*VLOOKUP('Données projet'!$B$17,Paramètres!$A$1:$I$89,3,0)*VLOOKUP('Données projet'!$B$17,Paramètres!$A$1:$I$89,5,0)</f>
        <v>223.21537333333347</v>
      </c>
      <c r="GB92" s="13">
        <f t="shared" si="103"/>
        <v>54.813139989738161</v>
      </c>
      <c r="GC92" s="20">
        <f t="shared" si="79"/>
        <v>484.23299403768306</v>
      </c>
      <c r="GD92" s="59">
        <f t="shared" si="80"/>
        <v>760.76602740004182</v>
      </c>
      <c r="GE92" s="59">
        <f ca="1">AVERAGE(OFFSET($GD$3,0,0,'Données projet'!$E$17+1,1))-AVERAGE(OFFSET($H$3,0,0,'Données projet'!$E$17+1,1))</f>
        <v>460.46300302025099</v>
      </c>
      <c r="GF92" s="59">
        <f t="shared" si="104"/>
        <v>340.22534554615879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57.291977663459249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57.291977663459249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65.418100007916053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1.1368683772161603E-13</v>
      </c>
      <c r="GV92" s="17">
        <f>GU92*VLOOKUP('Données projet'!$B$18,Paramètres!$A$1:$I$89,3,0)*VLOOKUP('Données projet'!$B$18,Paramètres!$A$1:$I$89,5,0)</f>
        <v>6.7984728957526396E-14</v>
      </c>
      <c r="GW92" s="13">
        <f t="shared" si="105"/>
        <v>1.0682447123141398E-12</v>
      </c>
      <c r="GX92" s="20">
        <f t="shared" si="82"/>
        <v>1.978932943548152E-12</v>
      </c>
      <c r="GY92" s="59">
        <f t="shared" si="83"/>
        <v>276.53303336236081</v>
      </c>
      <c r="GZ92" s="59">
        <f ca="1">AVERAGE(OFFSET($GY$3,0,0,'Données projet'!$E$18+1,1))-AVERAGE(OFFSET($H$3,0,0,'Données projet'!$E$18+1,1))</f>
        <v>-15.950000000000017</v>
      </c>
      <c r="HA92" s="59">
        <f t="shared" si="106"/>
        <v>-15.950000000000017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86.748471179891851</v>
      </c>
      <c r="HH92" s="21">
        <f>EXP(-LN(2)/25)*HH91+(1-EXP(-LN(2)/25))/(LN(2)/25)*Calculateur!HC92*Calculateur!HE92*VLOOKUP('Données projet'!$B$18,Paramètres!$A$1:$I$89,3,0)*0.475*44/12</f>
        <v>45.692896927380126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132.44136810727198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4.3499999999999996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15.949999999999998</v>
      </c>
      <c r="H93" s="67">
        <f t="shared" si="56"/>
        <v>192.86666666666667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-9.9316821433603781E-14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433.46721010558042</v>
      </c>
      <c r="T93" s="59">
        <f t="shared" si="88"/>
        <v>306.18862295347509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122.74048549035004</v>
      </c>
      <c r="AA93" s="21">
        <f>EXP(-LN(2)/25)*AA92+(1-EXP(-LN(2)/25))/(LN(2)/25)*Calculateur!V93*Calculateur!X93*VLOOKUP('Données projet'!$B$9,Paramètres!$A$1:$I$89,3,0)*0.475*44/12</f>
        <v>54.699523517641595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177.44000900799165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276.82448100701345</v>
      </c>
      <c r="AN93" s="59">
        <f ca="1">AVERAGE(OFFSET($AM$3,0,0,'Données projet'!$E$10+1,1))-AVERAGE(OFFSET($H$3,0,0,'Données projet'!$E$10+1,1))</f>
        <v>400.1942260113168</v>
      </c>
      <c r="AO93" s="59">
        <f t="shared" si="90"/>
        <v>497.04866930593926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85.047386571397027</v>
      </c>
      <c r="AV93" s="21">
        <f>EXP(-LN(2)/25)*AV92+(1-EXP(-LN(2)/25))/(LN(2)/25)*Calculateur!AQ93*Calculateur!AS93*VLOOKUP('Données projet'!$B$10,Paramètres!$A$1:$I$89,3,0)*0.475*44/12</f>
        <v>44.4434222580159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129.49080882941291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284.78505691662588</v>
      </c>
      <c r="BJ93" s="59">
        <f t="shared" si="92"/>
        <v>664.42623058686308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380.64318988568527</v>
      </c>
      <c r="CE93" s="59">
        <f t="shared" si="94"/>
        <v>885.24651320439159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48.527549418532253</v>
      </c>
      <c r="CL93" s="21">
        <f>EXP(-LN(2)/25)*CL92+(1-EXP(-LN(2)/25))/(LN(2)/25)*Calculateur!CG93*Calculateur!CI93*VLOOKUP('Données projet'!$B$12,Paramètres!$A$1:$I$89,3,0)*0.475*44/12</f>
        <v>7.7635757528295626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56.291125171361813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-1.1368683772161603E-13</v>
      </c>
      <c r="CU93" s="17">
        <f>CT93*VLOOKUP('Données projet'!$B$13,Paramètres!$A$1:$I$89,3,0)*VLOOKUP('Données projet'!$B$13,Paramètres!$A$1:$I$89,5,0)</f>
        <v>-6.3550942286383367E-14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404.10467005188889</v>
      </c>
      <c r="CZ93" s="59">
        <f t="shared" si="96"/>
        <v>372.70490129557845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158.90015451840037</v>
      </c>
      <c r="DG93" s="21">
        <f>EXP(-LN(2)/25)*DG92+(1-EXP(-LN(2)/25))/(LN(2)/25)*Calculateur!DB93*Calculateur!DD93*VLOOKUP('Données projet'!$B$13,Paramètres!$A$1:$I$89,3,0)*0.475*44/12</f>
        <v>74.82343111024818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233.72358562864855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6.0866666666666669</v>
      </c>
      <c r="DO93" s="12">
        <f>IF('Données projet'!$A$166&gt;35,DO92+DN93-DW92,IF(A93&lt;'Données projet'!$A$166,$DL$205^A93,IF(A93='Données projet'!$A$166,'Données projet'!$B$166,DO92+DN93-DW92)))</f>
        <v>200.45666666666651</v>
      </c>
      <c r="DP93" s="17">
        <f>DO93*VLOOKUP('Données projet'!$B$14,Paramètres!$A$1:$I$89,3,0)*VLOOKUP('Données projet'!$B$14,Paramètres!$A$1:$I$89,5,0)</f>
        <v>181.37319199999985</v>
      </c>
      <c r="DQ93" s="13">
        <f t="shared" si="97"/>
        <v>45.627560824525688</v>
      </c>
      <c r="DR93" s="20">
        <f t="shared" si="70"/>
        <v>395.3596445027153</v>
      </c>
      <c r="DS93" s="59">
        <f t="shared" si="71"/>
        <v>672.18412550972675</v>
      </c>
      <c r="DT93" s="59">
        <f ca="1">AVERAGE(OFFSET($DS$3,0,0,'Données projet'!$E$14+1,1))-AVERAGE(OFFSET($H$3,0,0,'Données projet'!$E$14+1,1))</f>
        <v>479.53113328461268</v>
      </c>
      <c r="DU93" s="59">
        <f t="shared" si="98"/>
        <v>244.6360664588118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31.160147667800519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31.160147667800519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2.2737367544323206E-13</v>
      </c>
      <c r="EK93" s="17">
        <f>EJ93*VLOOKUP('Données projet'!$B$15,Paramètres!$A$1:$I$89,3,0)*VLOOKUP('Données projet'!$B$15,Paramètres!$A$1:$I$89,5,0)</f>
        <v>1.0049916454590858E-13</v>
      </c>
      <c r="EL93" s="13">
        <f t="shared" si="99"/>
        <v>1.5089081593838289E-12</v>
      </c>
      <c r="EM93" s="20">
        <f t="shared" si="73"/>
        <v>2.8030510891776262E-12</v>
      </c>
      <c r="EN93" s="59">
        <f t="shared" si="74"/>
        <v>276.82448100701424</v>
      </c>
      <c r="EO93" s="59">
        <f ca="1">AVERAGE(OFFSET($EN$3,0,0,'Données projet'!$E$15+1,1))-AVERAGE(OFFSET($H$3,0,0,'Données projet'!$E$15+1,1))</f>
        <v>339.23049610652492</v>
      </c>
      <c r="EP93" s="59">
        <f t="shared" si="100"/>
        <v>448.85057640789785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91.117272556418726</v>
      </c>
      <c r="EW93" s="21">
        <f>EXP(-LN(2)/25)*EW92+(1-EXP(-LN(2)/25))/(LN(2)/25)*Calculateur!ER93*Calculateur!ET93*VLOOKUP('Données projet'!$B$15,Paramètres!$A$1:$I$89,3,0)*0.475*44/12</f>
        <v>51.102941721925148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142.22021427834386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10.059999999999997</v>
      </c>
      <c r="FE93" s="12">
        <f>IF('Données projet'!$A$218&gt;35,FE92+FD93-FM92,IF(A93&lt;'Données projet'!$A$218,$FB$205^A93,IF(A93='Données projet'!$A$218,'Données projet'!$B$218,FE92+FD93-FM92)))</f>
        <v>375.77000000000072</v>
      </c>
      <c r="FF93" s="17">
        <f>FE93*VLOOKUP('Données projet'!$B$16,Paramètres!$A$1:$I$89,3,0)*VLOOKUP('Données projet'!$B$16,Paramètres!$A$1:$I$89,5,0)</f>
        <v>175.86036000000033</v>
      </c>
      <c r="FG93" s="13">
        <f t="shared" si="101"/>
        <v>44.399949119645072</v>
      </c>
      <c r="FH93" s="20">
        <f t="shared" si="76"/>
        <v>383.62003838338245</v>
      </c>
      <c r="FI93" s="59">
        <f t="shared" si="77"/>
        <v>660.44451939039391</v>
      </c>
      <c r="FJ93" s="59">
        <f ca="1">AVERAGE(OFFSET($FI$3,0,0,'Données projet'!$E$16+1,1))-AVERAGE(OFFSET($H$3,0,0,'Données projet'!$E$16+1,1))</f>
        <v>365.63278362856033</v>
      </c>
      <c r="FK93" s="59">
        <f t="shared" si="102"/>
        <v>290.68267842697452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70.32580779003321</v>
      </c>
      <c r="FR93" s="21">
        <f>EXP(-LN(2)/25)*FR92+(1-EXP(-LN(2)/25))/(LN(2)/25)*Calculateur!FM93*Calculateur!FO93*VLOOKUP('Données projet'!$B$16,Paramètres!$A$1:$I$89,3,0)*0.475*44/12</f>
        <v>25.416360920075579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95.742168710108785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9.0755555555555496</v>
      </c>
      <c r="FZ93" s="12">
        <f>IF('Données projet'!$A$244&gt;35,FZ92+FY93-GH92,IF(A93&lt;'Données projet'!$A$244,$FW$205^A93,IF(A93='Données projet'!$A$244,'Données projet'!$B$244,FZ92+FY93-GH92)))</f>
        <v>269.23333333333341</v>
      </c>
      <c r="GA93" s="17">
        <f>FZ93*VLOOKUP('Données projet'!$B$17,Paramètres!$A$1:$I$89,3,0)*VLOOKUP('Données projet'!$B$17,Paramètres!$A$1:$I$89,5,0)</f>
        <v>231.00220000000007</v>
      </c>
      <c r="GB93" s="13">
        <f t="shared" si="103"/>
        <v>56.499325736564991</v>
      </c>
      <c r="GC93" s="20">
        <f t="shared" si="79"/>
        <v>500.73182399118406</v>
      </c>
      <c r="GD93" s="59">
        <f t="shared" si="80"/>
        <v>777.55630499819551</v>
      </c>
      <c r="GE93" s="59">
        <f ca="1">AVERAGE(OFFSET($GD$3,0,0,'Données projet'!$E$17+1,1))-AVERAGE(OFFSET($H$3,0,0,'Données projet'!$E$17+1,1))</f>
        <v>460.46300302025099</v>
      </c>
      <c r="GF93" s="59">
        <f t="shared" si="104"/>
        <v>340.22534554615879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56.168516926134693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56.168516926134693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65.497585729184934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1.1368683772161603E-13</v>
      </c>
      <c r="GV93" s="17">
        <f>GU93*VLOOKUP('Données projet'!$B$18,Paramètres!$A$1:$I$89,3,0)*VLOOKUP('Données projet'!$B$18,Paramètres!$A$1:$I$89,5,0)</f>
        <v>6.7984728957526396E-14</v>
      </c>
      <c r="GW93" s="13">
        <f t="shared" si="105"/>
        <v>1.0682447123141398E-12</v>
      </c>
      <c r="GX93" s="20">
        <f t="shared" si="82"/>
        <v>1.978932943548152E-12</v>
      </c>
      <c r="GY93" s="59">
        <f t="shared" si="83"/>
        <v>276.82448100701345</v>
      </c>
      <c r="GZ93" s="59">
        <f ca="1">AVERAGE(OFFSET($GY$3,0,0,'Données projet'!$E$18+1,1))-AVERAGE(OFFSET($H$3,0,0,'Données projet'!$E$18+1,1))</f>
        <v>-15.950000000000017</v>
      </c>
      <c r="HA93" s="59">
        <f t="shared" si="106"/>
        <v>-15.950000000000017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85.047386571397027</v>
      </c>
      <c r="HH93" s="21">
        <f>EXP(-LN(2)/25)*HH92+(1-EXP(-LN(2)/25))/(LN(2)/25)*Calculateur!HC93*Calculateur!HE93*VLOOKUP('Données projet'!$B$18,Paramètres!$A$1:$I$89,3,0)*0.475*44/12</f>
        <v>44.4434222580159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129.49080882941291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4.3499999999999996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15.949999999999998</v>
      </c>
      <c r="H94" s="67">
        <f t="shared" si="56"/>
        <v>192.86666666666667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-9.9316821433603781E-14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433.46721010558042</v>
      </c>
      <c r="T94" s="59">
        <f t="shared" si="88"/>
        <v>306.18862295347509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120.33361943418819</v>
      </c>
      <c r="AA94" s="21">
        <f>EXP(-LN(2)/25)*AA93+(1-EXP(-LN(2)/25))/(LN(2)/25)*Calculateur!V94*Calculateur!X94*VLOOKUP('Données projet'!$B$9,Paramètres!$A$1:$I$89,3,0)*0.475*44/12</f>
        <v>53.203762170528762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173.53738160471696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277.11087268661049</v>
      </c>
      <c r="AN94" s="59">
        <f ca="1">AVERAGE(OFFSET($AM$3,0,0,'Données projet'!$E$10+1,1))-AVERAGE(OFFSET($H$3,0,0,'Données projet'!$E$10+1,1))</f>
        <v>400.1942260113168</v>
      </c>
      <c r="AO94" s="59">
        <f t="shared" si="90"/>
        <v>497.04866930593926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83.379659194515625</v>
      </c>
      <c r="AV94" s="21">
        <f>EXP(-LN(2)/25)*AV93+(1-EXP(-LN(2)/25))/(LN(2)/25)*Calculateur!AQ94*Calculateur!AS94*VLOOKUP('Données projet'!$B$10,Paramètres!$A$1:$I$89,3,0)*0.475*44/12</f>
        <v>43.228114539192454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126.60777373370809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284.78505691662588</v>
      </c>
      <c r="BJ94" s="59">
        <f t="shared" si="92"/>
        <v>664.42623058686308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380.64318988568527</v>
      </c>
      <c r="CE94" s="59">
        <f t="shared" si="94"/>
        <v>885.24651320439159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47.57595377331733</v>
      </c>
      <c r="CL94" s="21">
        <f>EXP(-LN(2)/25)*CL93+(1-EXP(-LN(2)/25))/(LN(2)/25)*Calculateur!CG94*Calculateur!CI94*VLOOKUP('Données projet'!$B$12,Paramètres!$A$1:$I$89,3,0)*0.475*44/12</f>
        <v>7.5512803655997329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55.127234138917061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-1.1368683772161603E-13</v>
      </c>
      <c r="CU94" s="17">
        <f>CT94*VLOOKUP('Données projet'!$B$13,Paramètres!$A$1:$I$89,3,0)*VLOOKUP('Données projet'!$B$13,Paramètres!$A$1:$I$89,5,0)</f>
        <v>-6.3550942286383367E-14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404.10467005188889</v>
      </c>
      <c r="CZ94" s="59">
        <f t="shared" si="96"/>
        <v>372.70490129557845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155.7842194078188</v>
      </c>
      <c r="DG94" s="21">
        <f>EXP(-LN(2)/25)*DG93+(1-EXP(-LN(2)/25))/(LN(2)/25)*Calculateur!DB94*Calculateur!DD94*VLOOKUP('Données projet'!$B$13,Paramètres!$A$1:$I$89,3,0)*0.475*44/12</f>
        <v>72.777380451745216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228.56159985956401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6.0866666666666669</v>
      </c>
      <c r="DO94" s="12">
        <f>IF('Données projet'!$A$166&gt;35,DO93+DN94-DW93,IF(A94&lt;'Données projet'!$A$166,$DL$205^A94,IF(A94='Données projet'!$A$166,'Données projet'!$B$166,DO93+DN94-DW93)))</f>
        <v>206.54333333333318</v>
      </c>
      <c r="DP94" s="17">
        <f>DO94*VLOOKUP('Données projet'!$B$14,Paramètres!$A$1:$I$89,3,0)*VLOOKUP('Données projet'!$B$14,Paramètres!$A$1:$I$89,5,0)</f>
        <v>186.88040799999987</v>
      </c>
      <c r="DQ94" s="13">
        <f t="shared" si="97"/>
        <v>46.849592229105831</v>
      </c>
      <c r="DR94" s="20">
        <f t="shared" si="70"/>
        <v>407.07975039902573</v>
      </c>
      <c r="DS94" s="59">
        <f t="shared" si="71"/>
        <v>684.19062308563423</v>
      </c>
      <c r="DT94" s="59">
        <f ca="1">AVERAGE(OFFSET($DS$3,0,0,'Données projet'!$E$14+1,1))-AVERAGE(OFFSET($H$3,0,0,'Données projet'!$E$14+1,1))</f>
        <v>479.53113328461268</v>
      </c>
      <c r="DU94" s="59">
        <f t="shared" si="98"/>
        <v>244.6360664588118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30.549116177848362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30.549116177848362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2.2737367544323206E-13</v>
      </c>
      <c r="EK94" s="17">
        <f>EJ94*VLOOKUP('Données projet'!$B$15,Paramètres!$A$1:$I$89,3,0)*VLOOKUP('Données projet'!$B$15,Paramètres!$A$1:$I$89,5,0)</f>
        <v>1.0049916454590858E-13</v>
      </c>
      <c r="EL94" s="13">
        <f t="shared" si="99"/>
        <v>1.5089081593838289E-12</v>
      </c>
      <c r="EM94" s="20">
        <f t="shared" si="73"/>
        <v>2.8030510891776262E-12</v>
      </c>
      <c r="EN94" s="59">
        <f t="shared" si="74"/>
        <v>277.11087268661129</v>
      </c>
      <c r="EO94" s="59">
        <f ca="1">AVERAGE(OFFSET($EN$3,0,0,'Données projet'!$E$15+1,1))-AVERAGE(OFFSET($H$3,0,0,'Données projet'!$E$15+1,1))</f>
        <v>339.23049610652492</v>
      </c>
      <c r="EP94" s="59">
        <f t="shared" si="100"/>
        <v>448.85057640789785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89.330518417635929</v>
      </c>
      <c r="EW94" s="21">
        <f>EXP(-LN(2)/25)*EW93+(1-EXP(-LN(2)/25))/(LN(2)/25)*Calculateur!ER94*Calculateur!ET94*VLOOKUP('Données projet'!$B$15,Paramètres!$A$1:$I$89,3,0)*0.475*44/12</f>
        <v>49.705529093152201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139.03604751078814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10.059999999999997</v>
      </c>
      <c r="FE94" s="12">
        <f>IF('Données projet'!$A$218&gt;35,FE93+FD94-FM93,IF(A94&lt;'Données projet'!$A$218,$FB$205^A94,IF(A94='Données projet'!$A$218,'Données projet'!$B$218,FE93+FD94-FM93)))</f>
        <v>385.83000000000072</v>
      </c>
      <c r="FF94" s="17">
        <f>FE94*VLOOKUP('Données projet'!$B$16,Paramètres!$A$1:$I$89,3,0)*VLOOKUP('Données projet'!$B$16,Paramètres!$A$1:$I$89,5,0)</f>
        <v>180.56844000000032</v>
      </c>
      <c r="FG94" s="13">
        <f t="shared" si="101"/>
        <v>45.448630376792785</v>
      </c>
      <c r="FH94" s="20">
        <f t="shared" si="76"/>
        <v>393.64639757291462</v>
      </c>
      <c r="FI94" s="59">
        <f t="shared" si="77"/>
        <v>670.75727025952312</v>
      </c>
      <c r="FJ94" s="59">
        <f ca="1">AVERAGE(OFFSET($FI$3,0,0,'Données projet'!$E$16+1,1))-AVERAGE(OFFSET($H$3,0,0,'Données projet'!$E$16+1,1))</f>
        <v>365.63278362856033</v>
      </c>
      <c r="FK94" s="59">
        <f t="shared" si="102"/>
        <v>290.68267842697452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68.946761593777936</v>
      </c>
      <c r="FR94" s="21">
        <f>EXP(-LN(2)/25)*FR93+(1-EXP(-LN(2)/25))/(LN(2)/25)*Calculateur!FM94*Calculateur!FO94*VLOOKUP('Données projet'!$B$16,Paramètres!$A$1:$I$89,3,0)*0.475*44/12</f>
        <v>24.721349194127782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93.668110787905718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9.0755555555555496</v>
      </c>
      <c r="FZ94" s="12">
        <f>IF('Données projet'!$A$244&gt;35,FZ93+FY94-GH93,IF(A94&lt;'Données projet'!$A$244,$FW$205^A94,IF(A94='Données projet'!$A$244,'Données projet'!$B$244,FZ93+FY94-GH93)))</f>
        <v>278.30888888888893</v>
      </c>
      <c r="GA94" s="17">
        <f>FZ94*VLOOKUP('Données projet'!$B$17,Paramètres!$A$1:$I$89,3,0)*VLOOKUP('Données projet'!$B$17,Paramètres!$A$1:$I$89,5,0)</f>
        <v>238.78902666666673</v>
      </c>
      <c r="GB94" s="13">
        <f t="shared" si="103"/>
        <v>58.178907013925347</v>
      </c>
      <c r="GC94" s="20">
        <f t="shared" si="79"/>
        <v>517.2191511603645</v>
      </c>
      <c r="GD94" s="59">
        <f t="shared" si="80"/>
        <v>794.33002384697306</v>
      </c>
      <c r="GE94" s="59">
        <f ca="1">AVERAGE(OFFSET($GD$3,0,0,'Données projet'!$E$17+1,1))-AVERAGE(OFFSET($H$3,0,0,'Données projet'!$E$17+1,1))</f>
        <v>460.46300302025099</v>
      </c>
      <c r="GF94" s="59">
        <f t="shared" si="104"/>
        <v>340.22534554615879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55.067086568625683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55.067086568625683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65.575692550893237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1.1368683772161603E-13</v>
      </c>
      <c r="GV94" s="17">
        <f>GU94*VLOOKUP('Données projet'!$B$18,Paramètres!$A$1:$I$89,3,0)*VLOOKUP('Données projet'!$B$18,Paramètres!$A$1:$I$89,5,0)</f>
        <v>6.7984728957526396E-14</v>
      </c>
      <c r="GW94" s="13">
        <f t="shared" si="105"/>
        <v>1.0682447123141398E-12</v>
      </c>
      <c r="GX94" s="20">
        <f t="shared" si="82"/>
        <v>1.978932943548152E-12</v>
      </c>
      <c r="GY94" s="59">
        <f t="shared" si="83"/>
        <v>277.11087268661049</v>
      </c>
      <c r="GZ94" s="59">
        <f ca="1">AVERAGE(OFFSET($GY$3,0,0,'Données projet'!$E$18+1,1))-AVERAGE(OFFSET($H$3,0,0,'Données projet'!$E$18+1,1))</f>
        <v>-15.950000000000017</v>
      </c>
      <c r="HA94" s="59">
        <f t="shared" si="106"/>
        <v>-15.950000000000017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83.379659194515625</v>
      </c>
      <c r="HH94" s="21">
        <f>EXP(-LN(2)/25)*HH93+(1-EXP(-LN(2)/25))/(LN(2)/25)*Calculateur!HC94*Calculateur!HE94*VLOOKUP('Données projet'!$B$18,Paramètres!$A$1:$I$89,3,0)*0.475*44/12</f>
        <v>43.228114539192454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126.60777373370809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4.3499999999999996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15.949999999999998</v>
      </c>
      <c r="H95" s="67">
        <f t="shared" si="56"/>
        <v>192.86666666666667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-9.9316821433603781E-14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433.46721010558042</v>
      </c>
      <c r="T95" s="59">
        <f t="shared" si="88"/>
        <v>306.18862295347509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117.97395055334434</v>
      </c>
      <c r="AA95" s="21">
        <f>EXP(-LN(2)/25)*AA94+(1-EXP(-LN(2)/25))/(LN(2)/25)*Calculateur!V95*Calculateur!X95*VLOOKUP('Données projet'!$B$9,Paramètres!$A$1:$I$89,3,0)*0.475*44/12</f>
        <v>51.748902496111398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169.72285304945575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277.39229611084255</v>
      </c>
      <c r="AN95" s="59">
        <f ca="1">AVERAGE(OFFSET($AM$3,0,0,'Données projet'!$E$10+1,1))-AVERAGE(OFFSET($H$3,0,0,'Données projet'!$E$10+1,1))</f>
        <v>400.1942260113168</v>
      </c>
      <c r="AO95" s="59">
        <f t="shared" si="90"/>
        <v>497.04866930593926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81.744634934281606</v>
      </c>
      <c r="AV95" s="21">
        <f>EXP(-LN(2)/25)*AV94+(1-EXP(-LN(2)/25))/(LN(2)/25)*Calculateur!AQ95*Calculateur!AS95*VLOOKUP('Données projet'!$B$10,Paramètres!$A$1:$I$89,3,0)*0.475*44/12</f>
        <v>42.046039473850492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123.79067440813211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284.78505691662588</v>
      </c>
      <c r="BJ95" s="59">
        <f t="shared" si="92"/>
        <v>664.42623058686308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380.64318988568527</v>
      </c>
      <c r="CE95" s="59">
        <f t="shared" si="94"/>
        <v>885.24651320439159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46.643018338289046</v>
      </c>
      <c r="CL95" s="21">
        <f>EXP(-LN(2)/25)*CL94+(1-EXP(-LN(2)/25))/(LN(2)/25)*Calculateur!CG95*Calculateur!CI95*VLOOKUP('Données projet'!$B$12,Paramètres!$A$1:$I$89,3,0)*0.475*44/12</f>
        <v>7.3447902068978328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53.98780854518688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-1.1368683772161603E-13</v>
      </c>
      <c r="CU95" s="17">
        <f>CT95*VLOOKUP('Données projet'!$B$13,Paramètres!$A$1:$I$89,3,0)*VLOOKUP('Données projet'!$B$13,Paramètres!$A$1:$I$89,5,0)</f>
        <v>-6.3550942286383367E-14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404.10467005188889</v>
      </c>
      <c r="CZ95" s="59">
        <f t="shared" si="96"/>
        <v>372.70490129557845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152.72938588422295</v>
      </c>
      <c r="DG95" s="21">
        <f>EXP(-LN(2)/25)*DG94+(1-EXP(-LN(2)/25))/(LN(2)/25)*Calculateur!DB95*Calculateur!DD95*VLOOKUP('Données projet'!$B$13,Paramètres!$A$1:$I$89,3,0)*0.475*44/12</f>
        <v>70.787279156096147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223.51666504031908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6.0866666666666669</v>
      </c>
      <c r="DO95" s="12">
        <f>IF('Données projet'!$A$166&gt;35,DO94+DN95-DW94,IF(A95&lt;'Données projet'!$A$166,$DL$205^A95,IF(A95='Données projet'!$A$166,'Données projet'!$B$166,DO94+DN95-DW94)))</f>
        <v>212.62999999999985</v>
      </c>
      <c r="DP95" s="17">
        <f>DO95*VLOOKUP('Données projet'!$B$14,Paramètres!$A$1:$I$89,3,0)*VLOOKUP('Données projet'!$B$14,Paramètres!$A$1:$I$89,5,0)</f>
        <v>192.38762399999985</v>
      </c>
      <c r="DQ95" s="13">
        <f t="shared" si="97"/>
        <v>48.067438344628336</v>
      </c>
      <c r="DR95" s="20">
        <f t="shared" si="70"/>
        <v>418.79256691689403</v>
      </c>
      <c r="DS95" s="59">
        <f t="shared" si="71"/>
        <v>696.18486302773454</v>
      </c>
      <c r="DT95" s="59">
        <f ca="1">AVERAGE(OFFSET($DS$3,0,0,'Données projet'!$E$14+1,1))-AVERAGE(OFFSET($H$3,0,0,'Données projet'!$E$14+1,1))</f>
        <v>479.53113328461268</v>
      </c>
      <c r="DU95" s="59">
        <f t="shared" si="98"/>
        <v>244.6360664588118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29.950066642721755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29.950066642721755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2.2737367544323206E-13</v>
      </c>
      <c r="EK95" s="17">
        <f>EJ95*VLOOKUP('Données projet'!$B$15,Paramètres!$A$1:$I$89,3,0)*VLOOKUP('Données projet'!$B$15,Paramètres!$A$1:$I$89,5,0)</f>
        <v>1.0049916454590858E-13</v>
      </c>
      <c r="EL95" s="13">
        <f t="shared" si="99"/>
        <v>1.5089081593838289E-12</v>
      </c>
      <c r="EM95" s="20">
        <f t="shared" si="73"/>
        <v>2.8030510891776262E-12</v>
      </c>
      <c r="EN95" s="59">
        <f t="shared" si="74"/>
        <v>277.39229611084335</v>
      </c>
      <c r="EO95" s="59">
        <f ca="1">AVERAGE(OFFSET($EN$3,0,0,'Données projet'!$E$15+1,1))-AVERAGE(OFFSET($H$3,0,0,'Données projet'!$E$15+1,1))</f>
        <v>339.23049610652492</v>
      </c>
      <c r="EP95" s="59">
        <f t="shared" si="100"/>
        <v>448.85057640789785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87.578801437702253</v>
      </c>
      <c r="EW95" s="21">
        <f>EXP(-LN(2)/25)*EW94+(1-EXP(-LN(2)/25))/(LN(2)/25)*Calculateur!ER95*Calculateur!ET95*VLOOKUP('Données projet'!$B$15,Paramètres!$A$1:$I$89,3,0)*0.475*44/12</f>
        <v>48.346328786199784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135.92513022390204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10.059999999999997</v>
      </c>
      <c r="FE95" s="12">
        <f>IF('Données projet'!$A$218&gt;35,FE94+FD95-FM94,IF(A95&lt;'Données projet'!$A$218,$FB$205^A95,IF(A95='Données projet'!$A$218,'Données projet'!$B$218,FE94+FD95-FM94)))</f>
        <v>395.89000000000073</v>
      </c>
      <c r="FF95" s="17">
        <f>FE95*VLOOKUP('Données projet'!$B$16,Paramètres!$A$1:$I$89,3,0)*VLOOKUP('Données projet'!$B$16,Paramètres!$A$1:$I$89,5,0)</f>
        <v>185.27652000000035</v>
      </c>
      <c r="FG95" s="13">
        <f t="shared" si="101"/>
        <v>46.494133357933862</v>
      </c>
      <c r="FH95" s="20">
        <f t="shared" si="76"/>
        <v>403.66722126506875</v>
      </c>
      <c r="FI95" s="59">
        <f t="shared" si="77"/>
        <v>681.05951737590931</v>
      </c>
      <c r="FJ95" s="59">
        <f ca="1">AVERAGE(OFFSET($FI$3,0,0,'Données projet'!$E$16+1,1))-AVERAGE(OFFSET($H$3,0,0,'Données projet'!$E$16+1,1))</f>
        <v>365.63278362856033</v>
      </c>
      <c r="FK95" s="59">
        <f t="shared" si="102"/>
        <v>290.68267842697452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67.594757652296096</v>
      </c>
      <c r="FR95" s="21">
        <f>EXP(-LN(2)/25)*FR94+(1-EXP(-LN(2)/25))/(LN(2)/25)*Calculateur!FM95*Calculateur!FO95*VLOOKUP('Données projet'!$B$16,Paramètres!$A$1:$I$89,3,0)*0.475*44/12</f>
        <v>24.045342600375104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91.640100252671203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9.0755555555555496</v>
      </c>
      <c r="FZ95" s="12">
        <f>IF('Données projet'!$A$244&gt;35,FZ94+FY95-GH94,IF(A95&lt;'Données projet'!$A$244,$FW$205^A95,IF(A95='Données projet'!$A$244,'Données projet'!$B$244,FZ94+FY95-GH94)))</f>
        <v>287.38444444444445</v>
      </c>
      <c r="GA95" s="17">
        <f>FZ95*VLOOKUP('Données projet'!$B$17,Paramètres!$A$1:$I$89,3,0)*VLOOKUP('Données projet'!$B$17,Paramètres!$A$1:$I$89,5,0)</f>
        <v>246.57585333333338</v>
      </c>
      <c r="GB95" s="13">
        <f t="shared" si="103"/>
        <v>59.852123890905865</v>
      </c>
      <c r="GC95" s="20">
        <f t="shared" si="79"/>
        <v>533.69539366555</v>
      </c>
      <c r="GD95" s="59">
        <f t="shared" si="80"/>
        <v>811.08768977639056</v>
      </c>
      <c r="GE95" s="59">
        <f ca="1">AVERAGE(OFFSET($GD$3,0,0,'Données projet'!$E$17+1,1))-AVERAGE(OFFSET($H$3,0,0,'Données projet'!$E$17+1,1))</f>
        <v>460.46300302025099</v>
      </c>
      <c r="GF95" s="59">
        <f t="shared" si="104"/>
        <v>340.22534554615879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53.987254588621241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53.987254588621241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65.652444393865608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1.1368683772161603E-13</v>
      </c>
      <c r="GV95" s="17">
        <f>GU95*VLOOKUP('Données projet'!$B$18,Paramètres!$A$1:$I$89,3,0)*VLOOKUP('Données projet'!$B$18,Paramètres!$A$1:$I$89,5,0)</f>
        <v>6.7984728957526396E-14</v>
      </c>
      <c r="GW95" s="13">
        <f t="shared" si="105"/>
        <v>1.0682447123141398E-12</v>
      </c>
      <c r="GX95" s="20">
        <f t="shared" si="82"/>
        <v>1.978932943548152E-12</v>
      </c>
      <c r="GY95" s="59">
        <f t="shared" si="83"/>
        <v>277.39229611084255</v>
      </c>
      <c r="GZ95" s="59">
        <f ca="1">AVERAGE(OFFSET($GY$3,0,0,'Données projet'!$E$18+1,1))-AVERAGE(OFFSET($H$3,0,0,'Données projet'!$E$18+1,1))</f>
        <v>-15.950000000000017</v>
      </c>
      <c r="HA95" s="59">
        <f t="shared" si="106"/>
        <v>-15.950000000000017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81.744634934281606</v>
      </c>
      <c r="HH95" s="21">
        <f>EXP(-LN(2)/25)*HH94+(1-EXP(-LN(2)/25))/(LN(2)/25)*Calculateur!HC95*Calculateur!HE95*VLOOKUP('Données projet'!$B$18,Paramètres!$A$1:$I$89,3,0)*0.475*44/12</f>
        <v>42.046039473850492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123.79067440813211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4.3499999999999996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15.949999999999998</v>
      </c>
      <c r="H96" s="67">
        <f t="shared" si="56"/>
        <v>192.86666666666667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-9.9316821433603781E-14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433.46721010558042</v>
      </c>
      <c r="T96" s="59">
        <f t="shared" si="88"/>
        <v>306.18862295347509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115.66055333999793</v>
      </c>
      <c r="AA96" s="21">
        <f>EXP(-LN(2)/25)*AA95+(1-EXP(-LN(2)/25))/(LN(2)/25)*Calculateur!V96*Calculateur!X96*VLOOKUP('Données projet'!$B$9,Paramètres!$A$1:$I$89,3,0)*0.475*44/12</f>
        <v>50.333826035998726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165.99437937599666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277.66883746783259</v>
      </c>
      <c r="AN96" s="59">
        <f ca="1">AVERAGE(OFFSET($AM$3,0,0,'Données projet'!$E$10+1,1))-AVERAGE(OFFSET($H$3,0,0,'Données projet'!$E$10+1,1))</f>
        <v>400.1942260113168</v>
      </c>
      <c r="AO96" s="59">
        <f t="shared" si="90"/>
        <v>497.04866930593926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80.141672502524457</v>
      </c>
      <c r="AV96" s="21">
        <f>EXP(-LN(2)/25)*AV95+(1-EXP(-LN(2)/25))/(LN(2)/25)*Calculateur!AQ96*Calculateur!AS96*VLOOKUP('Données projet'!$B$10,Paramètres!$A$1:$I$89,3,0)*0.475*44/12</f>
        <v>40.896288313332931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121.03796081585739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284.78505691662588</v>
      </c>
      <c r="BJ96" s="59">
        <f t="shared" si="92"/>
        <v>664.42623058686308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380.64318988568527</v>
      </c>
      <c r="CE96" s="59">
        <f t="shared" si="94"/>
        <v>885.24651320439159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45.728377198107239</v>
      </c>
      <c r="CL96" s="21">
        <f>EXP(-LN(2)/25)*CL95+(1-EXP(-LN(2)/25))/(LN(2)/25)*Calculateur!CG96*Calculateur!CI96*VLOOKUP('Données projet'!$B$12,Paramètres!$A$1:$I$89,3,0)*0.475*44/12</f>
        <v>7.1439465324444811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52.87232373055172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-1.1368683772161603E-13</v>
      </c>
      <c r="CU96" s="17">
        <f>CT96*VLOOKUP('Données projet'!$B$13,Paramètres!$A$1:$I$89,3,0)*VLOOKUP('Données projet'!$B$13,Paramètres!$A$1:$I$89,5,0)</f>
        <v>-6.3550942286383367E-14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404.10467005188889</v>
      </c>
      <c r="CZ96" s="59">
        <f t="shared" si="96"/>
        <v>372.70490129557845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149.73445578276036</v>
      </c>
      <c r="DG96" s="21">
        <f>EXP(-LN(2)/25)*DG95+(1-EXP(-LN(2)/25))/(LN(2)/25)*Calculateur!DB96*Calculateur!DD96*VLOOKUP('Données projet'!$B$13,Paramètres!$A$1:$I$89,3,0)*0.475*44/12</f>
        <v>68.851597285031474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218.58605306779185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6.0866666666666669</v>
      </c>
      <c r="DO96" s="12">
        <f>IF('Données projet'!$A$166&gt;35,DO95+DN96-DW95,IF(A96&lt;'Données projet'!$A$166,$DL$205^A96,IF(A96='Données projet'!$A$166,'Données projet'!$B$166,DO95+DN96-DW95)))</f>
        <v>218.71666666666653</v>
      </c>
      <c r="DP96" s="17">
        <f>DO96*VLOOKUP('Données projet'!$B$14,Paramètres!$A$1:$I$89,3,0)*VLOOKUP('Données projet'!$B$14,Paramètres!$A$1:$I$89,5,0)</f>
        <v>197.89483999999987</v>
      </c>
      <c r="DQ96" s="13">
        <f t="shared" si="97"/>
        <v>49.281232737468613</v>
      </c>
      <c r="DR96" s="20">
        <f t="shared" si="70"/>
        <v>430.49832668442423</v>
      </c>
      <c r="DS96" s="59">
        <f t="shared" si="71"/>
        <v>708.16716415225483</v>
      </c>
      <c r="DT96" s="59">
        <f ca="1">AVERAGE(OFFSET($DS$3,0,0,'Données projet'!$E$14+1,1))-AVERAGE(OFFSET($H$3,0,0,'Données projet'!$E$14+1,1))</f>
        <v>479.53113328461268</v>
      </c>
      <c r="DU96" s="59">
        <f t="shared" si="98"/>
        <v>244.6360664588118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29.362764103594845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29.362764103594845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2.2737367544323206E-13</v>
      </c>
      <c r="EK96" s="17">
        <f>EJ96*VLOOKUP('Données projet'!$B$15,Paramètres!$A$1:$I$89,3,0)*VLOOKUP('Données projet'!$B$15,Paramètres!$A$1:$I$89,5,0)</f>
        <v>1.0049916454590858E-13</v>
      </c>
      <c r="EL96" s="13">
        <f t="shared" si="99"/>
        <v>1.5089081593838289E-12</v>
      </c>
      <c r="EM96" s="20">
        <f t="shared" si="73"/>
        <v>2.8030510891776262E-12</v>
      </c>
      <c r="EN96" s="59">
        <f t="shared" si="74"/>
        <v>277.66883746783338</v>
      </c>
      <c r="EO96" s="59">
        <f ca="1">AVERAGE(OFFSET($EN$3,0,0,'Données projet'!$E$15+1,1))-AVERAGE(OFFSET($H$3,0,0,'Données projet'!$E$15+1,1))</f>
        <v>339.23049610652492</v>
      </c>
      <c r="EP96" s="59">
        <f t="shared" si="100"/>
        <v>448.85057640789785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85.86143455930322</v>
      </c>
      <c r="EW96" s="21">
        <f>EXP(-LN(2)/25)*EW95+(1-EXP(-LN(2)/25))/(LN(2)/25)*Calculateur!ER96*Calculateur!ET96*VLOOKUP('Données projet'!$B$15,Paramètres!$A$1:$I$89,3,0)*0.475*44/12</f>
        <v>47.024295883118221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132.88573044242145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10.059999999999997</v>
      </c>
      <c r="FE96" s="12">
        <f>IF('Données projet'!$A$218&gt;35,FE95+FD96-FM95,IF(A96&lt;'Données projet'!$A$218,$FB$205^A96,IF(A96='Données projet'!$A$218,'Données projet'!$B$218,FE95+FD96-FM95)))</f>
        <v>405.95000000000073</v>
      </c>
      <c r="FF96" s="17">
        <f>FE96*VLOOKUP('Données projet'!$B$16,Paramètres!$A$1:$I$89,3,0)*VLOOKUP('Données projet'!$B$16,Paramètres!$A$1:$I$89,5,0)</f>
        <v>189.98460000000034</v>
      </c>
      <c r="FG96" s="13">
        <f t="shared" si="101"/>
        <v>47.536548113819151</v>
      </c>
      <c r="FH96" s="20">
        <f t="shared" si="76"/>
        <v>413.68266629823557</v>
      </c>
      <c r="FI96" s="59">
        <f t="shared" si="77"/>
        <v>691.35150376606612</v>
      </c>
      <c r="FJ96" s="59">
        <f ca="1">AVERAGE(OFFSET($FI$3,0,0,'Données projet'!$E$16+1,1))-AVERAGE(OFFSET($H$3,0,0,'Données projet'!$E$16+1,1))</f>
        <v>365.63278362856033</v>
      </c>
      <c r="FK96" s="59">
        <f t="shared" si="102"/>
        <v>290.68267842697452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66.269265683465733</v>
      </c>
      <c r="FR96" s="21">
        <f>EXP(-LN(2)/25)*FR95+(1-EXP(-LN(2)/25))/(LN(2)/25)*Calculateur!FM96*Calculateur!FO96*VLOOKUP('Données projet'!$B$16,Paramètres!$A$1:$I$89,3,0)*0.475*44/12</f>
        <v>23.387821442478234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89.657087125943974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>
        <f>VLOOKUP(A96,'Données projet'!$A$243:$I$263,2,0)</f>
        <v>296.45999999999998</v>
      </c>
      <c r="FX96" s="12">
        <f>VLOOKUP(A96,'Données projet'!$A$243:$I$263,9,0)</f>
        <v>9.0755555555555496</v>
      </c>
      <c r="FY96" s="12">
        <f t="array" ref="FY96">INDEX(FX:FX,MIN(IF(ISNUMBER(FX96:FX292),ROW(FX96:FX292),"")))</f>
        <v>9.0755555555555496</v>
      </c>
      <c r="FZ96" s="12">
        <f>IF('Données projet'!$A$244&gt;35,FZ95+FY96-GH95,IF(A96&lt;'Données projet'!$A$244,$FW$205^A96,IF(A96='Données projet'!$A$244,'Données projet'!$B$244,FZ95+FY96-GH95)))</f>
        <v>296.45999999999998</v>
      </c>
      <c r="GA96" s="17">
        <f>FZ96*VLOOKUP('Données projet'!$B$17,Paramètres!$A$1:$I$89,3,0)*VLOOKUP('Données projet'!$B$17,Paramètres!$A$1:$I$89,5,0)</f>
        <v>254.36268000000001</v>
      </c>
      <c r="GB96" s="13">
        <f t="shared" si="103"/>
        <v>61.519200412807201</v>
      </c>
      <c r="GC96" s="20">
        <f t="shared" si="79"/>
        <v>550.16094171897259</v>
      </c>
      <c r="GD96" s="59">
        <f t="shared" si="80"/>
        <v>827.82977918680319</v>
      </c>
      <c r="GE96" s="59">
        <f ca="1">AVERAGE(OFFSET($GD$3,0,0,'Données projet'!$E$17+1,1))-AVERAGE(OFFSET($H$3,0,0,'Données projet'!$E$17+1,1))</f>
        <v>460.46300302025099</v>
      </c>
      <c r="GF96" s="59">
        <f t="shared" si="104"/>
        <v>340.22534554615879</v>
      </c>
      <c r="GG96" s="15">
        <f>IF(ISNA(VLOOKUP(A96,'Données projet'!$A$243:$I$263,3,0)),0,VLOOKUP(A96,'Données projet'!$A$243:$I$263,3,0))</f>
        <v>5</v>
      </c>
      <c r="GH96" s="15">
        <f>IF(ISNA(VLOOKUP(A96,'Données projet'!$A$243:$I$263,4,0)),0,VLOOKUP(A96,'Données projet'!$A$243:$I$263,4,0))</f>
        <v>62.39</v>
      </c>
      <c r="GI96" s="16">
        <f>IF(ISNA(VLOOKUP(A96,'Données projet'!$A$243:$I$263,5,0)),0%,VLOOKUP(A96,'Données projet'!$A$243:$I$263,5,0)*VLOOKUP('Données projet'!$B$17,Paramètres!$A$1:$I$89,7,0))</f>
        <v>0.318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71.746729164067062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71.746729164067062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65.727864763953804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1.1368683772161603E-13</v>
      </c>
      <c r="GV96" s="17">
        <f>GU96*VLOOKUP('Données projet'!$B$18,Paramètres!$A$1:$I$89,3,0)*VLOOKUP('Données projet'!$B$18,Paramètres!$A$1:$I$89,5,0)</f>
        <v>6.7984728957526396E-14</v>
      </c>
      <c r="GW96" s="13">
        <f t="shared" si="105"/>
        <v>1.0682447123141398E-12</v>
      </c>
      <c r="GX96" s="20">
        <f t="shared" si="82"/>
        <v>1.978932943548152E-12</v>
      </c>
      <c r="GY96" s="59">
        <f t="shared" si="83"/>
        <v>277.66883746783259</v>
      </c>
      <c r="GZ96" s="59">
        <f ca="1">AVERAGE(OFFSET($GY$3,0,0,'Données projet'!$E$18+1,1))-AVERAGE(OFFSET($H$3,0,0,'Données projet'!$E$18+1,1))</f>
        <v>-15.950000000000017</v>
      </c>
      <c r="HA96" s="59">
        <f t="shared" si="106"/>
        <v>-15.950000000000017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80.141672502524457</v>
      </c>
      <c r="HH96" s="21">
        <f>EXP(-LN(2)/25)*HH95+(1-EXP(-LN(2)/25))/(LN(2)/25)*Calculateur!HC96*Calculateur!HE96*VLOOKUP('Données projet'!$B$18,Paramètres!$A$1:$I$89,3,0)*0.475*44/12</f>
        <v>40.896288313332931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121.03796081585739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4.3499999999999996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15.949999999999998</v>
      </c>
      <c r="H97" s="67">
        <f t="shared" si="56"/>
        <v>192.86666666666667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-9.9316821433603781E-14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433.46721010558042</v>
      </c>
      <c r="T97" s="59">
        <f t="shared" si="88"/>
        <v>306.18862295347509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113.39252043497227</v>
      </c>
      <c r="AA97" s="21">
        <f>EXP(-LN(2)/25)*AA96+(1-EXP(-LN(2)/25))/(LN(2)/25)*Calculateur!V97*Calculateur!X97*VLOOKUP('Données projet'!$B$9,Paramètres!$A$1:$I$89,3,0)*0.475*44/12</f>
        <v>48.957444916103469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162.34996535107575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277.94058145053282</v>
      </c>
      <c r="AN97" s="59">
        <f ca="1">AVERAGE(OFFSET($AM$3,0,0,'Données projet'!$E$10+1,1))-AVERAGE(OFFSET($H$3,0,0,'Données projet'!$E$10+1,1))</f>
        <v>400.1942260113168</v>
      </c>
      <c r="AO97" s="59">
        <f t="shared" si="90"/>
        <v>497.04866930593926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78.570143186343529</v>
      </c>
      <c r="AV97" s="21">
        <f>EXP(-LN(2)/25)*AV96+(1-EXP(-LN(2)/25))/(LN(2)/25)*Calculateur!AQ97*Calculateur!AS97*VLOOKUP('Données projet'!$B$10,Paramètres!$A$1:$I$89,3,0)*0.475*44/12</f>
        <v>39.777977158762511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118.34812034510604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284.78505691662588</v>
      </c>
      <c r="BJ97" s="59">
        <f t="shared" si="92"/>
        <v>664.42623058686308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380.64318988568527</v>
      </c>
      <c r="CE97" s="59">
        <f t="shared" si="94"/>
        <v>885.24651320439159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44.831671612808385</v>
      </c>
      <c r="CL97" s="21">
        <f>EXP(-LN(2)/25)*CL96+(1-EXP(-LN(2)/25))/(LN(2)/25)*Calculateur!CG97*Calculateur!CI97*VLOOKUP('Données projet'!$B$12,Paramètres!$A$1:$I$89,3,0)*0.475*44/12</f>
        <v>6.9485949388309667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51.78026655163935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-1.1368683772161603E-13</v>
      </c>
      <c r="CU97" s="17">
        <f>CT97*VLOOKUP('Données projet'!$B$13,Paramètres!$A$1:$I$89,3,0)*VLOOKUP('Données projet'!$B$13,Paramètres!$A$1:$I$89,5,0)</f>
        <v>-6.3550942286383367E-14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404.10467005188889</v>
      </c>
      <c r="CZ97" s="59">
        <f t="shared" si="96"/>
        <v>372.70490129557845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146.79825443386048</v>
      </c>
      <c r="DG97" s="21">
        <f>EXP(-LN(2)/25)*DG96+(1-EXP(-LN(2)/25))/(LN(2)/25)*Calculateur!DB97*Calculateur!DD97*VLOOKUP('Données projet'!$B$13,Paramètres!$A$1:$I$89,3,0)*0.475*44/12</f>
        <v>66.968846736524156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213.76710117038465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6.0866666666666669</v>
      </c>
      <c r="DO97" s="12">
        <f>IF('Données projet'!$A$166&gt;35,DO96+DN97-DW96,IF(A97&lt;'Données projet'!$A$166,$DL$205^A97,IF(A97='Données projet'!$A$166,'Données projet'!$B$166,DO96+DN97-DW96)))</f>
        <v>224.8033333333332</v>
      </c>
      <c r="DP97" s="17">
        <f>DO97*VLOOKUP('Données projet'!$B$14,Paramètres!$A$1:$I$89,3,0)*VLOOKUP('Données projet'!$B$14,Paramètres!$A$1:$I$89,5,0)</f>
        <v>203.40205599999987</v>
      </c>
      <c r="DQ97" s="13">
        <f t="shared" si="97"/>
        <v>50.491101116964487</v>
      </c>
      <c r="DR97" s="20">
        <f t="shared" si="70"/>
        <v>442.1972486453796</v>
      </c>
      <c r="DS97" s="59">
        <f t="shared" si="71"/>
        <v>720.13783009591043</v>
      </c>
      <c r="DT97" s="59">
        <f ca="1">AVERAGE(OFFSET($DS$3,0,0,'Données projet'!$E$14+1,1))-AVERAGE(OFFSET($H$3,0,0,'Données projet'!$E$14+1,1))</f>
        <v>479.53113328461268</v>
      </c>
      <c r="DU97" s="59">
        <f t="shared" si="98"/>
        <v>244.6360664588118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28.786978209041035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28.786978209041035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2.2737367544323206E-13</v>
      </c>
      <c r="EK97" s="17">
        <f>EJ97*VLOOKUP('Données projet'!$B$15,Paramètres!$A$1:$I$89,3,0)*VLOOKUP('Données projet'!$B$15,Paramètres!$A$1:$I$89,5,0)</f>
        <v>1.0049916454590858E-13</v>
      </c>
      <c r="EL97" s="13">
        <f t="shared" si="99"/>
        <v>1.5089081593838289E-12</v>
      </c>
      <c r="EM97" s="20">
        <f t="shared" si="73"/>
        <v>2.8030510891776262E-12</v>
      </c>
      <c r="EN97" s="59">
        <f t="shared" si="74"/>
        <v>277.94058145053361</v>
      </c>
      <c r="EO97" s="59">
        <f ca="1">AVERAGE(OFFSET($EN$3,0,0,'Données projet'!$E$15+1,1))-AVERAGE(OFFSET($H$3,0,0,'Données projet'!$E$15+1,1))</f>
        <v>339.23049610652492</v>
      </c>
      <c r="EP97" s="59">
        <f t="shared" si="100"/>
        <v>448.85057640789785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84.17774419789923</v>
      </c>
      <c r="EW97" s="21">
        <f>EXP(-LN(2)/25)*EW96+(1-EXP(-LN(2)/25))/(LN(2)/25)*Calculateur!ER97*Calculateur!ET97*VLOOKUP('Données projet'!$B$15,Paramètres!$A$1:$I$89,3,0)*0.475*44/12</f>
        <v>45.738414039294106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129.91615823719334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10.059999999999997</v>
      </c>
      <c r="FE97" s="12">
        <f>IF('Données projet'!$A$218&gt;35,FE96+FD97-FM96,IF(A97&lt;'Données projet'!$A$218,$FB$205^A97,IF(A97='Données projet'!$A$218,'Données projet'!$B$218,FE96+FD97-FM96)))</f>
        <v>416.01000000000073</v>
      </c>
      <c r="FF97" s="17">
        <f>FE97*VLOOKUP('Données projet'!$B$16,Paramètres!$A$1:$I$89,3,0)*VLOOKUP('Données projet'!$B$16,Paramètres!$A$1:$I$89,5,0)</f>
        <v>194.69268000000034</v>
      </c>
      <c r="FG97" s="13">
        <f t="shared" si="101"/>
        <v>48.575959977629871</v>
      </c>
      <c r="FH97" s="20">
        <f t="shared" si="76"/>
        <v>423.69288129437263</v>
      </c>
      <c r="FI97" s="59">
        <f t="shared" si="77"/>
        <v>701.63346274490345</v>
      </c>
      <c r="FJ97" s="59">
        <f ca="1">AVERAGE(OFFSET($FI$3,0,0,'Données projet'!$E$16+1,1))-AVERAGE(OFFSET($H$3,0,0,'Données projet'!$E$16+1,1))</f>
        <v>365.63278362856033</v>
      </c>
      <c r="FK97" s="59">
        <f t="shared" si="102"/>
        <v>290.68267842697452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64.969765803673866</v>
      </c>
      <c r="FR97" s="21">
        <f>EXP(-LN(2)/25)*FR96+(1-EXP(-LN(2)/25))/(LN(2)/25)*Calculateur!FM97*Calculateur!FO97*VLOOKUP('Données projet'!$B$16,Paramètres!$A$1:$I$89,3,0)*0.475*44/12</f>
        <v>22.748280235221589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87.718046038895451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8.4183333333333312</v>
      </c>
      <c r="FZ97" s="12">
        <f>IF('Données projet'!$A$244&gt;35,FZ96+FY97-GH96,IF(A97&lt;'Données projet'!$A$244,$FW$205^A97,IF(A97='Données projet'!$A$244,'Données projet'!$B$244,FZ96+FY97-GH96)))</f>
        <v>242.48833333333334</v>
      </c>
      <c r="GA97" s="17">
        <f>FZ97*VLOOKUP('Données projet'!$B$17,Paramètres!$A$1:$I$89,3,0)*VLOOKUP('Données projet'!$B$17,Paramètres!$A$1:$I$89,5,0)</f>
        <v>208.05499000000006</v>
      </c>
      <c r="GB97" s="13">
        <f t="shared" si="103"/>
        <v>51.510322171477</v>
      </c>
      <c r="GC97" s="20">
        <f t="shared" si="79"/>
        <v>452.0762520319891</v>
      </c>
      <c r="GD97" s="59">
        <f t="shared" si="80"/>
        <v>730.01683348251993</v>
      </c>
      <c r="GE97" s="59">
        <f ca="1">AVERAGE(OFFSET($GD$3,0,0,'Données projet'!$E$17+1,1))-AVERAGE(OFFSET($H$3,0,0,'Données projet'!$E$17+1,1))</f>
        <v>460.46300302025099</v>
      </c>
      <c r="GF97" s="59">
        <f t="shared" si="104"/>
        <v>340.22534554615879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70.339819566343436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70.339819566343436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65.801976759235686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1.1368683772161603E-13</v>
      </c>
      <c r="GV97" s="17">
        <f>GU97*VLOOKUP('Données projet'!$B$18,Paramètres!$A$1:$I$89,3,0)*VLOOKUP('Données projet'!$B$18,Paramètres!$A$1:$I$89,5,0)</f>
        <v>6.7984728957526396E-14</v>
      </c>
      <c r="GW97" s="13">
        <f t="shared" si="105"/>
        <v>1.0682447123141398E-12</v>
      </c>
      <c r="GX97" s="20">
        <f t="shared" si="82"/>
        <v>1.978932943548152E-12</v>
      </c>
      <c r="GY97" s="59">
        <f t="shared" si="83"/>
        <v>277.94058145053282</v>
      </c>
      <c r="GZ97" s="59">
        <f ca="1">AVERAGE(OFFSET($GY$3,0,0,'Données projet'!$E$18+1,1))-AVERAGE(OFFSET($H$3,0,0,'Données projet'!$E$18+1,1))</f>
        <v>-15.950000000000017</v>
      </c>
      <c r="HA97" s="59">
        <f t="shared" si="106"/>
        <v>-15.950000000000017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78.570143186343529</v>
      </c>
      <c r="HH97" s="21">
        <f>EXP(-LN(2)/25)*HH96+(1-EXP(-LN(2)/25))/(LN(2)/25)*Calculateur!HC97*Calculateur!HE97*VLOOKUP('Données projet'!$B$18,Paramètres!$A$1:$I$89,3,0)*0.475*44/12</f>
        <v>39.777977158762511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118.34812034510604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4.3499999999999996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15.949999999999998</v>
      </c>
      <c r="H98" s="67">
        <f t="shared" si="56"/>
        <v>192.86666666666667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-9.9316821433603781E-14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433.46721010558042</v>
      </c>
      <c r="T98" s="59">
        <f t="shared" si="88"/>
        <v>306.18862295347509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111.16896227185069</v>
      </c>
      <c r="AA98" s="21">
        <f>EXP(-LN(2)/25)*AA97+(1-EXP(-LN(2)/25))/(LN(2)/25)*Calculateur!V98*Calculateur!X98*VLOOKUP('Données projet'!$B$9,Paramètres!$A$1:$I$89,3,0)*0.475*44/12</f>
        <v>47.618701010312485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158.78766328216318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278.20761128266167</v>
      </c>
      <c r="AN98" s="59">
        <f ca="1">AVERAGE(OFFSET($AM$3,0,0,'Données projet'!$E$10+1,1))-AVERAGE(OFFSET($H$3,0,0,'Données projet'!$E$10+1,1))</f>
        <v>400.1942260113168</v>
      </c>
      <c r="AO98" s="59">
        <f t="shared" si="90"/>
        <v>497.04866930593926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77.029430601514662</v>
      </c>
      <c r="AV98" s="21">
        <f>EXP(-LN(2)/25)*AV97+(1-EXP(-LN(2)/25))/(LN(2)/25)*Calculateur!AQ98*Calculateur!AS98*VLOOKUP('Données projet'!$B$10,Paramètres!$A$1:$I$89,3,0)*0.475*44/12</f>
        <v>38.690246281523244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115.71967688303791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284.78505691662588</v>
      </c>
      <c r="BJ98" s="59">
        <f t="shared" si="92"/>
        <v>664.42623058686308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380.64318988568527</v>
      </c>
      <c r="CE98" s="59">
        <f t="shared" si="94"/>
        <v>885.24651320439159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43.952549877100843</v>
      </c>
      <c r="CL98" s="21">
        <f>EXP(-LN(2)/25)*CL97+(1-EXP(-LN(2)/25))/(LN(2)/25)*Calculateur!CG98*Calculateur!CI98*VLOOKUP('Données projet'!$B$12,Paramètres!$A$1:$I$89,3,0)*0.475*44/12</f>
        <v>6.7585852448179073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50.711135121918751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-1.1368683772161603E-13</v>
      </c>
      <c r="CU98" s="17">
        <f>CT98*VLOOKUP('Données projet'!$B$13,Paramètres!$A$1:$I$89,3,0)*VLOOKUP('Données projet'!$B$13,Paramètres!$A$1:$I$89,5,0)</f>
        <v>-6.3550942286383367E-14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404.10467005188889</v>
      </c>
      <c r="CZ98" s="59">
        <f t="shared" si="96"/>
        <v>372.70490129557845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143.91963020250654</v>
      </c>
      <c r="DG98" s="21">
        <f>EXP(-LN(2)/25)*DG97+(1-EXP(-LN(2)/25))/(LN(2)/25)*Calculateur!DB98*Calculateur!DD98*VLOOKUP('Données projet'!$B$13,Paramètres!$A$1:$I$89,3,0)*0.475*44/12</f>
        <v>65.13758010077531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209.05721030328186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230.89</v>
      </c>
      <c r="DM98" s="12">
        <f>VLOOKUP(A98,'Données projet'!$A$165:$I$185,9,0)</f>
        <v>6.0866666666666669</v>
      </c>
      <c r="DN98" s="12">
        <f t="array" ref="DN98">INDEX(DM:DM,MIN(IF(ISNUMBER(DM98:DM294),ROW(DM98:DM294),"")))</f>
        <v>6.0866666666666669</v>
      </c>
      <c r="DO98" s="12">
        <f>IF('Données projet'!$A$166&gt;35,DO97+DN98-DW97,IF(A98&lt;'Données projet'!$A$166,$DL$205^A98,IF(A98='Données projet'!$A$166,'Données projet'!$B$166,DO97+DN98-DW97)))</f>
        <v>230.88999999999987</v>
      </c>
      <c r="DP98" s="17">
        <f>DO98*VLOOKUP('Données projet'!$B$14,Paramètres!$A$1:$I$89,3,0)*VLOOKUP('Données projet'!$B$14,Paramètres!$A$1:$I$89,5,0)</f>
        <v>208.90927199999987</v>
      </c>
      <c r="DQ98" s="13">
        <f t="shared" si="97"/>
        <v>51.697161997661922</v>
      </c>
      <c r="DR98" s="20">
        <f t="shared" si="70"/>
        <v>453.88953921259423</v>
      </c>
      <c r="DS98" s="59">
        <f t="shared" si="71"/>
        <v>732.09715049525391</v>
      </c>
      <c r="DT98" s="59">
        <f ca="1">AVERAGE(OFFSET($DS$3,0,0,'Données projet'!$E$14+1,1))-AVERAGE(OFFSET($H$3,0,0,'Données projet'!$E$14+1,1))</f>
        <v>479.53113328461268</v>
      </c>
      <c r="DU98" s="59">
        <f t="shared" si="98"/>
        <v>244.6360664588118</v>
      </c>
      <c r="DV98" s="15">
        <f>IF(ISNA(VLOOKUP(A98,'Données projet'!$A$165:$I$185,3,0)),0,VLOOKUP(A98,'Données projet'!$A$165:$I$185,3,0))</f>
        <v>5</v>
      </c>
      <c r="DW98" s="15">
        <f>IF(ISNA(VLOOKUP(A98,'Données projet'!$A$165:$I$185,4,0)),0,VLOOKUP(A98,'Données projet'!$A$165:$I$185,4,0))</f>
        <v>38.770000000000003</v>
      </c>
      <c r="DX98" s="16">
        <f>IF(ISNA(VLOOKUP(A98,'Données projet'!$A$165:$I$185,5,0)),0%,VLOOKUP(A98,'Données projet'!$A$165:$I$185,5,0)*VLOOKUP('Données projet'!$B$14,Paramètres!$A$1:$I$89,7,0))</f>
        <v>0.25800000000000001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38.22743972943325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38.22743972943325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2.2737367544323206E-13</v>
      </c>
      <c r="EK98" s="17">
        <f>EJ98*VLOOKUP('Données projet'!$B$15,Paramètres!$A$1:$I$89,3,0)*VLOOKUP('Données projet'!$B$15,Paramètres!$A$1:$I$89,5,0)</f>
        <v>1.0049916454590858E-13</v>
      </c>
      <c r="EL98" s="13">
        <f t="shared" si="99"/>
        <v>1.5089081593838289E-12</v>
      </c>
      <c r="EM98" s="20">
        <f t="shared" si="73"/>
        <v>2.8030510891776262E-12</v>
      </c>
      <c r="EN98" s="59">
        <f t="shared" si="74"/>
        <v>278.20761128266247</v>
      </c>
      <c r="EO98" s="59">
        <f ca="1">AVERAGE(OFFSET($EN$3,0,0,'Données projet'!$E$15+1,1))-AVERAGE(OFFSET($H$3,0,0,'Données projet'!$E$15+1,1))</f>
        <v>339.23049610652492</v>
      </c>
      <c r="EP98" s="59">
        <f t="shared" si="100"/>
        <v>448.85057640789785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82.527069977532648</v>
      </c>
      <c r="EW98" s="21">
        <f>EXP(-LN(2)/25)*EW97+(1-EXP(-LN(2)/25))/(LN(2)/25)*Calculateur!ER98*Calculateur!ET98*VLOOKUP('Données projet'!$B$15,Paramètres!$A$1:$I$89,3,0)*0.475*44/12</f>
        <v>44.48769470211095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127.0147646796436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10.059999999999997</v>
      </c>
      <c r="FE98" s="12">
        <f>IF('Données projet'!$A$218&gt;35,FE97+FD98-FM97,IF(A98&lt;'Données projet'!$A$218,$FB$205^A98,IF(A98='Données projet'!$A$218,'Données projet'!$B$218,FE97+FD98-FM97)))</f>
        <v>426.07000000000073</v>
      </c>
      <c r="FF98" s="17">
        <f>FE98*VLOOKUP('Données projet'!$B$16,Paramètres!$A$1:$I$89,3,0)*VLOOKUP('Données projet'!$B$16,Paramètres!$A$1:$I$89,5,0)</f>
        <v>199.40076000000033</v>
      </c>
      <c r="FG98" s="13">
        <f t="shared" si="101"/>
        <v>49.612449920138786</v>
      </c>
      <c r="FH98" s="20">
        <f t="shared" si="76"/>
        <v>433.69800727757553</v>
      </c>
      <c r="FI98" s="59">
        <f t="shared" si="77"/>
        <v>711.90561856023521</v>
      </c>
      <c r="FJ98" s="59">
        <f ca="1">AVERAGE(OFFSET($FI$3,0,0,'Données projet'!$E$16+1,1))-AVERAGE(OFFSET($H$3,0,0,'Données projet'!$E$16+1,1))</f>
        <v>365.63278362856033</v>
      </c>
      <c r="FK98" s="59">
        <f t="shared" si="102"/>
        <v>290.68267842697452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63.695748323908056</v>
      </c>
      <c r="FR98" s="21">
        <f>EXP(-LN(2)/25)*FR97+(1-EXP(-LN(2)/25))/(LN(2)/25)*Calculateur!FM98*Calculateur!FO98*VLOOKUP('Données projet'!$B$16,Paramètres!$A$1:$I$89,3,0)*0.475*44/12</f>
        <v>22.126227315909389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85.821975639817452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8.4183333333333312</v>
      </c>
      <c r="FZ98" s="12">
        <f>IF('Données projet'!$A$244&gt;35,FZ97+FY98-GH97,IF(A98&lt;'Données projet'!$A$244,$FW$205^A98,IF(A98='Données projet'!$A$244,'Données projet'!$B$244,FZ97+FY98-GH97)))</f>
        <v>250.90666666666667</v>
      </c>
      <c r="GA98" s="17">
        <f>FZ98*VLOOKUP('Données projet'!$B$17,Paramètres!$A$1:$I$89,3,0)*VLOOKUP('Données projet'!$B$17,Paramètres!$A$1:$I$89,5,0)</f>
        <v>215.27792000000002</v>
      </c>
      <c r="GB98" s="13">
        <f t="shared" si="103"/>
        <v>53.087272520168682</v>
      </c>
      <c r="GC98" s="20">
        <f t="shared" si="79"/>
        <v>467.40271030596045</v>
      </c>
      <c r="GD98" s="59">
        <f t="shared" si="80"/>
        <v>745.61032158862008</v>
      </c>
      <c r="GE98" s="59">
        <f ca="1">AVERAGE(OFFSET($GD$3,0,0,'Données projet'!$E$17+1,1))-AVERAGE(OFFSET($H$3,0,0,'Données projet'!$E$17+1,1))</f>
        <v>460.46300302025099</v>
      </c>
      <c r="GF98" s="59">
        <f t="shared" si="104"/>
        <v>340.22534554615879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68.960498607701055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68.960498607701055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65.874803077089013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1.1368683772161603E-13</v>
      </c>
      <c r="GV98" s="17">
        <f>GU98*VLOOKUP('Données projet'!$B$18,Paramètres!$A$1:$I$89,3,0)*VLOOKUP('Données projet'!$B$18,Paramètres!$A$1:$I$89,5,0)</f>
        <v>6.7984728957526396E-14</v>
      </c>
      <c r="GW98" s="13">
        <f t="shared" si="105"/>
        <v>1.0682447123141398E-12</v>
      </c>
      <c r="GX98" s="20">
        <f t="shared" si="82"/>
        <v>1.978932943548152E-12</v>
      </c>
      <c r="GY98" s="59">
        <f t="shared" si="83"/>
        <v>278.20761128266167</v>
      </c>
      <c r="GZ98" s="59">
        <f ca="1">AVERAGE(OFFSET($GY$3,0,0,'Données projet'!$E$18+1,1))-AVERAGE(OFFSET($H$3,0,0,'Données projet'!$E$18+1,1))</f>
        <v>-15.950000000000017</v>
      </c>
      <c r="HA98" s="59">
        <f t="shared" si="106"/>
        <v>-15.950000000000017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77.029430601514662</v>
      </c>
      <c r="HH98" s="21">
        <f>EXP(-LN(2)/25)*HH97+(1-EXP(-LN(2)/25))/(LN(2)/25)*Calculateur!HC98*Calculateur!HE98*VLOOKUP('Données projet'!$B$18,Paramètres!$A$1:$I$89,3,0)*0.475*44/12</f>
        <v>38.690246281523244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115.71967688303791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4.3499999999999996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15.949999999999998</v>
      </c>
      <c r="H99" s="67">
        <f t="shared" si="56"/>
        <v>192.86666666666667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-9.9316821433603781E-14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433.46721010558042</v>
      </c>
      <c r="T99" s="59">
        <f t="shared" si="88"/>
        <v>306.18862295347509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108.98900672807136</v>
      </c>
      <c r="AA99" s="21">
        <f>EXP(-LN(2)/25)*AA98+(1-EXP(-LN(2)/25))/(LN(2)/25)*Calculateur!V99*Calculateur!X99*VLOOKUP('Données projet'!$B$9,Paramètres!$A$1:$I$89,3,0)*0.475*44/12</f>
        <v>46.316565127026841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155.30557185509821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278.4700087441924</v>
      </c>
      <c r="AN99" s="59">
        <f ca="1">AVERAGE(OFFSET($AM$3,0,0,'Données projet'!$E$10+1,1))-AVERAGE(OFFSET($H$3,0,0,'Données projet'!$E$10+1,1))</f>
        <v>400.1942260113168</v>
      </c>
      <c r="AO99" s="59">
        <f t="shared" si="90"/>
        <v>497.04866930593926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75.518930450732412</v>
      </c>
      <c r="AV99" s="21">
        <f>EXP(-LN(2)/25)*AV98+(1-EXP(-LN(2)/25))/(LN(2)/25)*Calculateur!AQ99*Calculateur!AS99*VLOOKUP('Données projet'!$B$10,Paramètres!$A$1:$I$89,3,0)*0.475*44/12</f>
        <v>37.632259462323368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113.15118991305579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284.78505691662588</v>
      </c>
      <c r="BJ99" s="59">
        <f t="shared" si="92"/>
        <v>664.42623058686308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380.64318988568527</v>
      </c>
      <c r="CE99" s="59">
        <f t="shared" si="94"/>
        <v>885.24651320439159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43.09066718241921</v>
      </c>
      <c r="CL99" s="21">
        <f>EXP(-LN(2)/25)*CL98+(1-EXP(-LN(2)/25))/(LN(2)/25)*Calculateur!CG99*Calculateur!CI99*VLOOKUP('Données projet'!$B$12,Paramètres!$A$1:$I$89,3,0)*0.475*44/12</f>
        <v>6.5737713758798106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49.664438558299018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-1.1368683772161603E-13</v>
      </c>
      <c r="CU99" s="17">
        <f>CT99*VLOOKUP('Données projet'!$B$13,Paramètres!$A$1:$I$89,3,0)*VLOOKUP('Données projet'!$B$13,Paramètres!$A$1:$I$89,5,0)</f>
        <v>-6.3550942286383367E-14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404.10467005188889</v>
      </c>
      <c r="CZ99" s="59">
        <f t="shared" si="96"/>
        <v>372.70490129557845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141.09745403654202</v>
      </c>
      <c r="DG99" s="21">
        <f>EXP(-LN(2)/25)*DG98+(1-EXP(-LN(2)/25))/(LN(2)/25)*Calculateur!DB99*Calculateur!DD99*VLOOKUP('Données projet'!$B$13,Paramètres!$A$1:$I$89,3,0)*0.475*44/12</f>
        <v>63.356389547483147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204.45384358402515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6.0711111111111125</v>
      </c>
      <c r="DO99" s="12">
        <f>IF('Données projet'!$A$166&gt;35,DO98+DN99-DW98,IF(A99&lt;'Données projet'!$A$166,$DL$205^A99,IF(A99='Données projet'!$A$166,'Données projet'!$B$166,DO98+DN99-DW98)))</f>
        <v>198.19111111111098</v>
      </c>
      <c r="DP99" s="17">
        <f>DO99*VLOOKUP('Données projet'!$B$14,Paramètres!$A$1:$I$89,3,0)*VLOOKUP('Données projet'!$B$14,Paramètres!$A$1:$I$89,5,0)</f>
        <v>179.32331733333319</v>
      </c>
      <c r="DQ99" s="13">
        <f t="shared" si="97"/>
        <v>45.171603754875228</v>
      </c>
      <c r="DR99" s="20">
        <f t="shared" si="70"/>
        <v>390.99532089529629</v>
      </c>
      <c r="DS99" s="59">
        <f t="shared" si="71"/>
        <v>669.46532963948675</v>
      </c>
      <c r="DT99" s="59">
        <f ca="1">AVERAGE(OFFSET($DS$3,0,0,'Données projet'!$E$14+1,1))-AVERAGE(OFFSET($H$3,0,0,'Données projet'!$E$14+1,1))</f>
        <v>479.53113328461268</v>
      </c>
      <c r="DU99" s="59">
        <f t="shared" si="98"/>
        <v>244.6360664588118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37.477822952774993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37.477822952774993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2.2737367544323206E-13</v>
      </c>
      <c r="EK99" s="17">
        <f>EJ99*VLOOKUP('Données projet'!$B$15,Paramètres!$A$1:$I$89,3,0)*VLOOKUP('Données projet'!$B$15,Paramètres!$A$1:$I$89,5,0)</f>
        <v>1.0049916454590858E-13</v>
      </c>
      <c r="EL99" s="13">
        <f t="shared" si="99"/>
        <v>1.5089081593838289E-12</v>
      </c>
      <c r="EM99" s="20">
        <f t="shared" si="73"/>
        <v>2.8030510891776262E-12</v>
      </c>
      <c r="EN99" s="59">
        <f t="shared" si="74"/>
        <v>278.47000874419319</v>
      </c>
      <c r="EO99" s="59">
        <f ca="1">AVERAGE(OFFSET($EN$3,0,0,'Données projet'!$E$15+1,1))-AVERAGE(OFFSET($H$3,0,0,'Données projet'!$E$15+1,1))</f>
        <v>339.23049610652492</v>
      </c>
      <c r="EP99" s="59">
        <f t="shared" si="100"/>
        <v>448.85057640789785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80.908764471815601</v>
      </c>
      <c r="EW99" s="21">
        <f>EXP(-LN(2)/25)*EW98+(1-EXP(-LN(2)/25))/(LN(2)/25)*Calculateur!ER99*Calculateur!ET99*VLOOKUP('Données projet'!$B$15,Paramètres!$A$1:$I$89,3,0)*0.475*44/12</f>
        <v>43.271176350975537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124.17994082279114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10.059999999999997</v>
      </c>
      <c r="FE99" s="12">
        <f>IF('Données projet'!$A$218&gt;35,FE98+FD99-FM98,IF(A99&lt;'Données projet'!$A$218,$FB$205^A99,IF(A99='Données projet'!$A$218,'Données projet'!$B$218,FE98+FD99-FM98)))</f>
        <v>436.13000000000073</v>
      </c>
      <c r="FF99" s="17">
        <f>FE99*VLOOKUP('Données projet'!$B$16,Paramètres!$A$1:$I$89,3,0)*VLOOKUP('Données projet'!$B$16,Paramètres!$A$1:$I$89,5,0)</f>
        <v>204.10884000000033</v>
      </c>
      <c r="FG99" s="13">
        <f t="shared" si="101"/>
        <v>50.646094870383052</v>
      </c>
      <c r="FH99" s="20">
        <f t="shared" si="76"/>
        <v>443.69817823258433</v>
      </c>
      <c r="FI99" s="59">
        <f t="shared" si="77"/>
        <v>722.16818697677468</v>
      </c>
      <c r="FJ99" s="59">
        <f ca="1">AVERAGE(OFFSET($FI$3,0,0,'Données projet'!$E$16+1,1))-AVERAGE(OFFSET($H$3,0,0,'Données projet'!$E$16+1,1))</f>
        <v>365.63278362856033</v>
      </c>
      <c r="FK99" s="59">
        <f t="shared" si="102"/>
        <v>290.68267842697452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62.446713549846521</v>
      </c>
      <c r="FR99" s="21">
        <f>EXP(-LN(2)/25)*FR98+(1-EXP(-LN(2)/25))/(LN(2)/25)*Calculateur!FM99*Calculateur!FO99*VLOOKUP('Données projet'!$B$16,Paramètres!$A$1:$I$89,3,0)*0.475*44/12</f>
        <v>21.521184466388124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83.967898016234642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8.4183333333333312</v>
      </c>
      <c r="FZ99" s="12">
        <f>IF('Données projet'!$A$244&gt;35,FZ98+FY99-GH98,IF(A99&lt;'Données projet'!$A$244,$FW$205^A99,IF(A99='Données projet'!$A$244,'Données projet'!$B$244,FZ98+FY99-GH98)))</f>
        <v>259.32499999999999</v>
      </c>
      <c r="GA99" s="17">
        <f>FZ99*VLOOKUP('Données projet'!$B$17,Paramètres!$A$1:$I$89,3,0)*VLOOKUP('Données projet'!$B$17,Paramètres!$A$1:$I$89,5,0)</f>
        <v>222.50085000000001</v>
      </c>
      <c r="GB99" s="13">
        <f t="shared" si="103"/>
        <v>54.658075019302466</v>
      </c>
      <c r="GC99" s="20">
        <f t="shared" si="79"/>
        <v>482.71846107528518</v>
      </c>
      <c r="GD99" s="59">
        <f t="shared" si="80"/>
        <v>761.18846981947559</v>
      </c>
      <c r="GE99" s="59">
        <f ca="1">AVERAGE(OFFSET($GD$3,0,0,'Données projet'!$E$17+1,1))-AVERAGE(OFFSET($H$3,0,0,'Données projet'!$E$17+1,1))</f>
        <v>460.46300302025099</v>
      </c>
      <c r="GF99" s="59">
        <f t="shared" si="104"/>
        <v>340.22534554615879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67.608225291754934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67.608225291754934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65.946366021142836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1.1368683772161603E-13</v>
      </c>
      <c r="GV99" s="17">
        <f>GU99*VLOOKUP('Données projet'!$B$18,Paramètres!$A$1:$I$89,3,0)*VLOOKUP('Données projet'!$B$18,Paramètres!$A$1:$I$89,5,0)</f>
        <v>6.7984728957526396E-14</v>
      </c>
      <c r="GW99" s="13">
        <f t="shared" si="105"/>
        <v>1.0682447123141398E-12</v>
      </c>
      <c r="GX99" s="20">
        <f t="shared" si="82"/>
        <v>1.978932943548152E-12</v>
      </c>
      <c r="GY99" s="59">
        <f t="shared" si="83"/>
        <v>278.4700087441924</v>
      </c>
      <c r="GZ99" s="59">
        <f ca="1">AVERAGE(OFFSET($GY$3,0,0,'Données projet'!$E$18+1,1))-AVERAGE(OFFSET($H$3,0,0,'Données projet'!$E$18+1,1))</f>
        <v>-15.950000000000017</v>
      </c>
      <c r="HA99" s="59">
        <f t="shared" si="106"/>
        <v>-15.950000000000017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75.518930450732412</v>
      </c>
      <c r="HH99" s="21">
        <f>EXP(-LN(2)/25)*HH98+(1-EXP(-LN(2)/25))/(LN(2)/25)*Calculateur!HC99*Calculateur!HE99*VLOOKUP('Données projet'!$B$18,Paramètres!$A$1:$I$89,3,0)*0.475*44/12</f>
        <v>37.632259462323368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113.15118991305579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4.3499999999999996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15.949999999999998</v>
      </c>
      <c r="H100" s="67">
        <f t="shared" si="56"/>
        <v>192.86666666666667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-9.9316821433603781E-14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433.46721010558042</v>
      </c>
      <c r="T100" s="59">
        <f t="shared" si="88"/>
        <v>306.18862295347509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106.85179878286395</v>
      </c>
      <c r="AA100" s="21">
        <f>EXP(-LN(2)/25)*AA99+(1-EXP(-LN(2)/25))/(LN(2)/25)*Calculateur!V100*Calculateur!X100*VLOOKUP('Données projet'!$B$9,Paramètres!$A$1:$I$89,3,0)*0.475*44/12</f>
        <v>45.050036217945987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151.90183500080994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278.72785419639837</v>
      </c>
      <c r="AN100" s="59">
        <f ca="1">AVERAGE(OFFSET($AM$3,0,0,'Données projet'!$E$10+1,1))-AVERAGE(OFFSET($H$3,0,0,'Données projet'!$E$10+1,1))</f>
        <v>400.1942260113168</v>
      </c>
      <c r="AO100" s="59">
        <f t="shared" si="90"/>
        <v>497.04866930593926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74.038050286592878</v>
      </c>
      <c r="AV100" s="21">
        <f>EXP(-LN(2)/25)*AV99+(1-EXP(-LN(2)/25))/(LN(2)/25)*Calculateur!AQ100*Calculateur!AS100*VLOOKUP('Données projet'!$B$10,Paramètres!$A$1:$I$89,3,0)*0.475*44/12</f>
        <v>36.603203348331618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110.6412536349245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284.78505691662588</v>
      </c>
      <c r="BJ100" s="59">
        <f t="shared" si="92"/>
        <v>664.42623058686308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380.64318988568527</v>
      </c>
      <c r="CE100" s="59">
        <f t="shared" si="94"/>
        <v>885.24651320439159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42.245685481683751</v>
      </c>
      <c r="CL100" s="21">
        <f>EXP(-LN(2)/25)*CL99+(1-EXP(-LN(2)/25))/(LN(2)/25)*Calculateur!CG100*Calculateur!CI100*VLOOKUP('Données projet'!$B$12,Paramètres!$A$1:$I$89,3,0)*0.475*44/12</f>
        <v>6.3940112519067656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48.639696733590519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-1.1368683772161603E-13</v>
      </c>
      <c r="CU100" s="17">
        <f>CT100*VLOOKUP('Données projet'!$B$13,Paramètres!$A$1:$I$89,3,0)*VLOOKUP('Données projet'!$B$13,Paramètres!$A$1:$I$89,5,0)</f>
        <v>-6.3550942286383367E-14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404.10467005188889</v>
      </c>
      <c r="CZ100" s="59">
        <f t="shared" si="96"/>
        <v>372.70490129557845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138.33061902383457</v>
      </c>
      <c r="DG100" s="21">
        <f>EXP(-LN(2)/25)*DG99+(1-EXP(-LN(2)/25))/(LN(2)/25)*Calculateur!DB100*Calculateur!DD100*VLOOKUP('Données projet'!$B$13,Paramètres!$A$1:$I$89,3,0)*0.475*44/12</f>
        <v>61.623905743539495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199.95452476737407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6.0711111111111125</v>
      </c>
      <c r="DO100" s="12">
        <f>IF('Données projet'!$A$166&gt;35,DO99+DN100-DW99,IF(A100&lt;'Données projet'!$A$166,$DL$205^A100,IF(A100='Données projet'!$A$166,'Données projet'!$B$166,DO99+DN100-DW99)))</f>
        <v>204.26222222222211</v>
      </c>
      <c r="DP100" s="17">
        <f>DO100*VLOOKUP('Données projet'!$B$14,Paramètres!$A$1:$I$89,3,0)*VLOOKUP('Données projet'!$B$14,Paramètres!$A$1:$I$89,5,0)</f>
        <v>184.81645866666656</v>
      </c>
      <c r="DQ100" s="13">
        <f t="shared" si="97"/>
        <v>46.392107083254253</v>
      </c>
      <c r="DR100" s="20">
        <f t="shared" si="70"/>
        <v>402.68825201444542</v>
      </c>
      <c r="DS100" s="59">
        <f t="shared" si="71"/>
        <v>681.4161062108418</v>
      </c>
      <c r="DT100" s="59">
        <f ca="1">AVERAGE(OFFSET($DS$3,0,0,'Données projet'!$E$14+1,1))-AVERAGE(OFFSET($H$3,0,0,'Données projet'!$E$14+1,1))</f>
        <v>479.53113328461268</v>
      </c>
      <c r="DU100" s="59">
        <f t="shared" si="98"/>
        <v>244.6360664588118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36.742905703885917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36.742905703885917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2.2737367544323206E-13</v>
      </c>
      <c r="EK100" s="17">
        <f>EJ100*VLOOKUP('Données projet'!$B$15,Paramètres!$A$1:$I$89,3,0)*VLOOKUP('Données projet'!$B$15,Paramètres!$A$1:$I$89,5,0)</f>
        <v>1.0049916454590858E-13</v>
      </c>
      <c r="EL100" s="13">
        <f t="shared" si="99"/>
        <v>1.5089081593838289E-12</v>
      </c>
      <c r="EM100" s="20">
        <f t="shared" si="73"/>
        <v>2.8030510891776262E-12</v>
      </c>
      <c r="EN100" s="59">
        <f t="shared" si="74"/>
        <v>278.72785419639916</v>
      </c>
      <c r="EO100" s="59">
        <f ca="1">AVERAGE(OFFSET($EN$3,0,0,'Données projet'!$E$15+1,1))-AVERAGE(OFFSET($H$3,0,0,'Données projet'!$E$15+1,1))</f>
        <v>339.23049610652492</v>
      </c>
      <c r="EP100" s="59">
        <f t="shared" si="100"/>
        <v>448.85057640789785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79.322192949996776</v>
      </c>
      <c r="EW100" s="21">
        <f>EXP(-LN(2)/25)*EW99+(1-EXP(-LN(2)/25))/(LN(2)/25)*Calculateur!ER100*Calculateur!ET100*VLOOKUP('Données projet'!$B$15,Paramètres!$A$1:$I$89,3,0)*0.475*44/12</f>
        <v>42.087923758125847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121.41011670812262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>
        <f>VLOOKUP(A100,'Données projet'!$A$217:$I$237,2,0)</f>
        <v>446.19</v>
      </c>
      <c r="FC100" s="12">
        <f>VLOOKUP(A100,'Données projet'!$A$217:$I$237,9,0)</f>
        <v>10.059999999999997</v>
      </c>
      <c r="FD100" s="12">
        <f t="array" ref="FD100">INDEX(FC:FC,MIN(IF(ISNUMBER(FC100:FC296),ROW(FC100:FC296),"")))</f>
        <v>10.059999999999997</v>
      </c>
      <c r="FE100" s="12">
        <f>IF('Données projet'!$A$218&gt;35,FE99+FD100-FM99,IF(A100&lt;'Données projet'!$A$218,$FB$205^A100,IF(A100='Données projet'!$A$218,'Données projet'!$B$218,FE99+FD100-FM99)))</f>
        <v>446.19000000000074</v>
      </c>
      <c r="FF100" s="17">
        <f>FE100*VLOOKUP('Données projet'!$B$16,Paramètres!$A$1:$I$89,3,0)*VLOOKUP('Données projet'!$B$16,Paramètres!$A$1:$I$89,5,0)</f>
        <v>208.81692000000035</v>
      </c>
      <c r="FG100" s="13">
        <f t="shared" si="101"/>
        <v>51.676968005916123</v>
      </c>
      <c r="FH100" s="20">
        <f t="shared" si="76"/>
        <v>453.69352161030451</v>
      </c>
      <c r="FI100" s="59">
        <f t="shared" si="77"/>
        <v>732.42137580670089</v>
      </c>
      <c r="FJ100" s="59">
        <f ca="1">AVERAGE(OFFSET($FI$3,0,0,'Données projet'!$E$16+1,1))-AVERAGE(OFFSET($H$3,0,0,'Données projet'!$E$16+1,1))</f>
        <v>365.63278362856033</v>
      </c>
      <c r="FK100" s="59">
        <f t="shared" si="102"/>
        <v>290.68267842697452</v>
      </c>
      <c r="FL100" s="15">
        <f>IF(ISNA(VLOOKUP(A100,'Données projet'!$A$217:$I$237,3,0)),0,VLOOKUP(A100,'Données projet'!$A$217:$I$237,3,0))</f>
        <v>5</v>
      </c>
      <c r="FM100" s="15">
        <f>IF(ISNA(VLOOKUP(A100,'Données projet'!$A$217:$I$237,4,0)),0,VLOOKUP(A100,'Données projet'!$A$217:$I$237,4,0))</f>
        <v>89.6</v>
      </c>
      <c r="FN100" s="16">
        <f>IF(ISNA(VLOOKUP(A100,'Données projet'!$A$217:$I$237,5,0)),0%,VLOOKUP(A100,'Données projet'!$A$217:$I$237,5,0)*VLOOKUP('Données projet'!$B$16,Paramètres!$A$1:$I$89,7,0))</f>
        <v>0.38500000000000001</v>
      </c>
      <c r="FO100" s="16">
        <f>IF(ISNA(VLOOKUP(A100,'Données projet'!$A$217:$I$237,6,0)),0%,VLOOKUP(A100,'Données projet'!$A$217:$I$237,6,0)*VLOOKUP('Données projet'!$B$16,Paramètres!$A$1:$I$89,7,0))</f>
        <v>0.16500000000000001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82.638397954734586</v>
      </c>
      <c r="FR100" s="21">
        <f>EXP(-LN(2)/25)*FR99+(1-EXP(-LN(2)/25))/(LN(2)/25)*Calculateur!FM100*Calculateur!FO100*VLOOKUP('Données projet'!$B$16,Paramètres!$A$1:$I$89,3,0)*0.475*44/12</f>
        <v>30.074930484874841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112.71332843960943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8.4183333333333312</v>
      </c>
      <c r="FZ100" s="12">
        <f>IF('Données projet'!$A$244&gt;35,FZ99+FY100-GH99,IF(A100&lt;'Données projet'!$A$244,$FW$205^A100,IF(A100='Données projet'!$A$244,'Données projet'!$B$244,FZ99+FY100-GH99)))</f>
        <v>267.74333333333334</v>
      </c>
      <c r="GA100" s="17">
        <f>FZ100*VLOOKUP('Données projet'!$B$17,Paramètres!$A$1:$I$89,3,0)*VLOOKUP('Données projet'!$B$17,Paramètres!$A$1:$I$89,5,0)</f>
        <v>229.72378000000003</v>
      </c>
      <c r="GB100" s="13">
        <f t="shared" si="103"/>
        <v>56.222952132715065</v>
      </c>
      <c r="GC100" s="20">
        <f t="shared" si="79"/>
        <v>498.02389179781215</v>
      </c>
      <c r="GD100" s="59">
        <f t="shared" si="80"/>
        <v>776.75174599420848</v>
      </c>
      <c r="GE100" s="59">
        <f ca="1">AVERAGE(OFFSET($GD$3,0,0,'Données projet'!$E$17+1,1))-AVERAGE(OFFSET($H$3,0,0,'Données projet'!$E$17+1,1))</f>
        <v>460.46300302025099</v>
      </c>
      <c r="GF100" s="59">
        <f t="shared" si="104"/>
        <v>340.22534554615879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66.282469230729234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66.282469230729234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66.016687508108106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1.1368683772161603E-13</v>
      </c>
      <c r="GV100" s="17">
        <f>GU100*VLOOKUP('Données projet'!$B$18,Paramètres!$A$1:$I$89,3,0)*VLOOKUP('Données projet'!$B$18,Paramètres!$A$1:$I$89,5,0)</f>
        <v>6.7984728957526396E-14</v>
      </c>
      <c r="GW100" s="13">
        <f t="shared" si="105"/>
        <v>1.0682447123141398E-12</v>
      </c>
      <c r="GX100" s="20">
        <f t="shared" si="82"/>
        <v>1.978932943548152E-12</v>
      </c>
      <c r="GY100" s="59">
        <f t="shared" si="83"/>
        <v>278.72785419639837</v>
      </c>
      <c r="GZ100" s="59">
        <f ca="1">AVERAGE(OFFSET($GY$3,0,0,'Données projet'!$E$18+1,1))-AVERAGE(OFFSET($H$3,0,0,'Données projet'!$E$18+1,1))</f>
        <v>-15.950000000000017</v>
      </c>
      <c r="HA100" s="59">
        <f t="shared" si="106"/>
        <v>-15.950000000000017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74.038050286592878</v>
      </c>
      <c r="HH100" s="21">
        <f>EXP(-LN(2)/25)*HH99+(1-EXP(-LN(2)/25))/(LN(2)/25)*Calculateur!HC100*Calculateur!HE100*VLOOKUP('Données projet'!$B$18,Paramètres!$A$1:$I$89,3,0)*0.475*44/12</f>
        <v>36.603203348331618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110.6412536349245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4.3499999999999996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15.949999999999998</v>
      </c>
      <c r="H101" s="67">
        <f t="shared" si="56"/>
        <v>192.86666666666667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-9.9316821433603781E-14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433.46721010558042</v>
      </c>
      <c r="T101" s="59">
        <f t="shared" si="88"/>
        <v>306.18862295347509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104.75650018189393</v>
      </c>
      <c r="AA101" s="21">
        <f>EXP(-LN(2)/25)*AA100+(1-EXP(-LN(2)/25))/(LN(2)/25)*Calculateur!V101*Calculateur!X101*VLOOKUP('Données projet'!$B$9,Paramètres!$A$1:$I$89,3,0)*0.475*44/12</f>
        <v>43.818140608487809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148.57464079038175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278.98122660646459</v>
      </c>
      <c r="AN101" s="59">
        <f ca="1">AVERAGE(OFFSET($AM$3,0,0,'Données projet'!$E$10+1,1))-AVERAGE(OFFSET($H$3,0,0,'Données projet'!$E$10+1,1))</f>
        <v>400.1942260113168</v>
      </c>
      <c r="AO101" s="59">
        <f t="shared" si="90"/>
        <v>497.04866930593926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72.586209279224406</v>
      </c>
      <c r="AV101" s="21">
        <f>EXP(-LN(2)/25)*AV100+(1-EXP(-LN(2)/25))/(LN(2)/25)*Calculateur!AQ101*Calculateur!AS101*VLOOKUP('Données projet'!$B$10,Paramètres!$A$1:$I$89,3,0)*0.475*44/12</f>
        <v>35.602286827892684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108.18849610711709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284.78505691662588</v>
      </c>
      <c r="BJ101" s="59">
        <f t="shared" si="92"/>
        <v>664.42623058686308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380.64318988568527</v>
      </c>
      <c r="CE101" s="59">
        <f t="shared" si="94"/>
        <v>885.24651320439159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41.417273356711767</v>
      </c>
      <c r="CL101" s="21">
        <f>EXP(-LN(2)/25)*CL100+(1-EXP(-LN(2)/25))/(LN(2)/25)*Calculateur!CG101*Calculateur!CI101*VLOOKUP('Données projet'!$B$12,Paramètres!$A$1:$I$89,3,0)*0.475*44/12</f>
        <v>6.2191666779769372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47.636440034688704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-1.1368683772161603E-13</v>
      </c>
      <c r="CU101" s="17">
        <f>CT101*VLOOKUP('Données projet'!$B$13,Paramètres!$A$1:$I$89,3,0)*VLOOKUP('Données projet'!$B$13,Paramètres!$A$1:$I$89,5,0)</f>
        <v>-6.3550942286383367E-14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404.10467005188889</v>
      </c>
      <c r="CZ101" s="59">
        <f t="shared" si="96"/>
        <v>372.70490129557845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135.6180399581236</v>
      </c>
      <c r="DG101" s="21">
        <f>EXP(-LN(2)/25)*DG100+(1-EXP(-LN(2)/25))/(LN(2)/25)*Calculateur!DB101*Calculateur!DD101*VLOOKUP('Données projet'!$B$13,Paramètres!$A$1:$I$89,3,0)*0.475*44/12</f>
        <v>59.938796800322045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195.55683675844566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6.0711111111111125</v>
      </c>
      <c r="DO101" s="12">
        <f>IF('Données projet'!$A$166&gt;35,DO100+DN101-DW100,IF(A101&lt;'Données projet'!$A$166,$DL$205^A101,IF(A101='Données projet'!$A$166,'Données projet'!$B$166,DO100+DN101-DW100)))</f>
        <v>210.33333333333323</v>
      </c>
      <c r="DP101" s="17">
        <f>DO101*VLOOKUP('Données projet'!$B$14,Paramètres!$A$1:$I$89,3,0)*VLOOKUP('Données projet'!$B$14,Paramètres!$A$1:$I$89,5,0)</f>
        <v>190.3095999999999</v>
      </c>
      <c r="DQ101" s="13">
        <f t="shared" si="97"/>
        <v>47.608394528086897</v>
      </c>
      <c r="DR101" s="20">
        <f t="shared" si="70"/>
        <v>414.3738404697512</v>
      </c>
      <c r="DS101" s="59">
        <f t="shared" si="71"/>
        <v>693.3550670762138</v>
      </c>
      <c r="DT101" s="59">
        <f ca="1">AVERAGE(OFFSET($DS$3,0,0,'Données projet'!$E$14+1,1))-AVERAGE(OFFSET($H$3,0,0,'Données projet'!$E$14+1,1))</f>
        <v>479.53113328461268</v>
      </c>
      <c r="DU101" s="59">
        <f t="shared" si="98"/>
        <v>244.6360664588118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36.022399733992295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36.022399733992295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2.2737367544323206E-13</v>
      </c>
      <c r="EK101" s="17">
        <f>EJ101*VLOOKUP('Données projet'!$B$15,Paramètres!$A$1:$I$89,3,0)*VLOOKUP('Données projet'!$B$15,Paramètres!$A$1:$I$89,5,0)</f>
        <v>1.0049916454590858E-13</v>
      </c>
      <c r="EL101" s="13">
        <f t="shared" si="99"/>
        <v>1.5089081593838289E-12</v>
      </c>
      <c r="EM101" s="20">
        <f t="shared" si="73"/>
        <v>2.8030510891776262E-12</v>
      </c>
      <c r="EN101" s="59">
        <f t="shared" si="74"/>
        <v>278.98122660646538</v>
      </c>
      <c r="EO101" s="59">
        <f ca="1">AVERAGE(OFFSET($EN$3,0,0,'Données projet'!$E$15+1,1))-AVERAGE(OFFSET($H$3,0,0,'Données projet'!$E$15+1,1))</f>
        <v>339.23049610652492</v>
      </c>
      <c r="EP101" s="59">
        <f t="shared" si="100"/>
        <v>448.85057640789785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77.766733128007743</v>
      </c>
      <c r="EW101" s="21">
        <f>EXP(-LN(2)/25)*EW100+(1-EXP(-LN(2)/25))/(LN(2)/25)*Calculateur!ER101*Calculateur!ET101*VLOOKUP('Données projet'!$B$15,Paramètres!$A$1:$I$89,3,0)*0.475*44/12</f>
        <v>40.937027269652177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118.70376039765992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9.0474999999999994</v>
      </c>
      <c r="FE101" s="12">
        <f>IF('Données projet'!$A$218&gt;35,FE100+FD101-FM100,IF(A101&lt;'Données projet'!$A$218,$FB$205^A101,IF(A101='Données projet'!$A$218,'Données projet'!$B$218,FE100+FD101-FM100)))</f>
        <v>365.63750000000073</v>
      </c>
      <c r="FF101" s="17">
        <f>FE101*VLOOKUP('Données projet'!$B$16,Paramètres!$A$1:$I$89,3,0)*VLOOKUP('Données projet'!$B$16,Paramètres!$A$1:$I$89,5,0)</f>
        <v>171.11835000000036</v>
      </c>
      <c r="FG101" s="13">
        <f t="shared" si="101"/>
        <v>43.340401117854505</v>
      </c>
      <c r="FH101" s="20">
        <f t="shared" si="76"/>
        <v>373.51565819693059</v>
      </c>
      <c r="FI101" s="59">
        <f t="shared" si="77"/>
        <v>652.49688480339319</v>
      </c>
      <c r="FJ101" s="59">
        <f ca="1">AVERAGE(OFFSET($FI$3,0,0,'Données projet'!$E$16+1,1))-AVERAGE(OFFSET($H$3,0,0,'Données projet'!$E$16+1,1))</f>
        <v>365.63278362856033</v>
      </c>
      <c r="FK101" s="59">
        <f t="shared" si="102"/>
        <v>290.68267842697452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81.017909375287971</v>
      </c>
      <c r="FR101" s="21">
        <f>EXP(-LN(2)/25)*FR100+(1-EXP(-LN(2)/25))/(LN(2)/25)*Calculateur!FM101*Calculateur!FO101*VLOOKUP('Données projet'!$B$16,Paramètres!$A$1:$I$89,3,0)*0.475*44/12</f>
        <v>29.252529929194083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110.27043930448205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8.4183333333333312</v>
      </c>
      <c r="FZ101" s="12">
        <f>IF('Données projet'!$A$244&gt;35,FZ100+FY101-GH100,IF(A101&lt;'Données projet'!$A$244,$FW$205^A101,IF(A101='Données projet'!$A$244,'Données projet'!$B$244,FZ100+FY101-GH100)))</f>
        <v>276.16166666666669</v>
      </c>
      <c r="GA101" s="17">
        <f>FZ101*VLOOKUP('Données projet'!$B$17,Paramètres!$A$1:$I$89,3,0)*VLOOKUP('Données projet'!$B$17,Paramètres!$A$1:$I$89,5,0)</f>
        <v>236.94671000000005</v>
      </c>
      <c r="GB101" s="13">
        <f t="shared" si="103"/>
        <v>57.782111540399605</v>
      </c>
      <c r="GC101" s="20">
        <f t="shared" si="79"/>
        <v>513.31936418286273</v>
      </c>
      <c r="GD101" s="59">
        <f t="shared" si="80"/>
        <v>792.30059078932527</v>
      </c>
      <c r="GE101" s="59">
        <f ca="1">AVERAGE(OFFSET($GD$3,0,0,'Données projet'!$E$17+1,1))-AVERAGE(OFFSET($H$3,0,0,'Données projet'!$E$17+1,1))</f>
        <v>460.46300302025099</v>
      </c>
      <c r="GF101" s="59">
        <f t="shared" si="104"/>
        <v>340.22534554615879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64.982710437428906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64.982710437428906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66.08578907448981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1.1368683772161603E-13</v>
      </c>
      <c r="GV101" s="17">
        <f>GU101*VLOOKUP('Données projet'!$B$18,Paramètres!$A$1:$I$89,3,0)*VLOOKUP('Données projet'!$B$18,Paramètres!$A$1:$I$89,5,0)</f>
        <v>6.7984728957526396E-14</v>
      </c>
      <c r="GW101" s="13">
        <f t="shared" si="105"/>
        <v>1.0682447123141398E-12</v>
      </c>
      <c r="GX101" s="20">
        <f t="shared" si="82"/>
        <v>1.978932943548152E-12</v>
      </c>
      <c r="GY101" s="59">
        <f t="shared" si="83"/>
        <v>278.98122660646459</v>
      </c>
      <c r="GZ101" s="59">
        <f ca="1">AVERAGE(OFFSET($GY$3,0,0,'Données projet'!$E$18+1,1))-AVERAGE(OFFSET($H$3,0,0,'Données projet'!$E$18+1,1))</f>
        <v>-15.950000000000017</v>
      </c>
      <c r="HA101" s="59">
        <f t="shared" si="106"/>
        <v>-15.950000000000017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72.586209279224406</v>
      </c>
      <c r="HH101" s="21">
        <f>EXP(-LN(2)/25)*HH100+(1-EXP(-LN(2)/25))/(LN(2)/25)*Calculateur!HC101*Calculateur!HE101*VLOOKUP('Données projet'!$B$18,Paramètres!$A$1:$I$89,3,0)*0.475*44/12</f>
        <v>35.602286827892684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108.18849610711709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4.3499999999999996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15.949999999999998</v>
      </c>
      <c r="H102" s="67">
        <f t="shared" si="56"/>
        <v>192.86666666666667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-9.9316821433603781E-14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433.46721010558042</v>
      </c>
      <c r="T102" s="59">
        <f t="shared" si="88"/>
        <v>306.18862295347509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102.70228910848297</v>
      </c>
      <c r="AA102" s="21">
        <f>EXP(-LN(2)/25)*AA101+(1-EXP(-LN(2)/25))/(LN(2)/25)*Calculateur!V102*Calculateur!X102*VLOOKUP('Données projet'!$B$9,Paramètres!$A$1:$I$89,3,0)*0.475*44/12</f>
        <v>42.619931249252843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145.32222035773583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279.23020357167212</v>
      </c>
      <c r="AN102" s="59">
        <f ca="1">AVERAGE(OFFSET($AM$3,0,0,'Données projet'!$E$10+1,1))-AVERAGE(OFFSET($H$3,0,0,'Données projet'!$E$10+1,1))</f>
        <v>400.1942260113168</v>
      </c>
      <c r="AO102" s="59">
        <f t="shared" si="90"/>
        <v>497.04866930593926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71.162837988474863</v>
      </c>
      <c r="AV102" s="21">
        <f>EXP(-LN(2)/25)*AV101+(1-EXP(-LN(2)/25))/(LN(2)/25)*Calculateur!AQ102*Calculateur!AS102*VLOOKUP('Données projet'!$B$10,Paramètres!$A$1:$I$89,3,0)*0.475*44/12</f>
        <v>34.628740422341068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105.79157841081593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284.78505691662588</v>
      </c>
      <c r="BJ102" s="59">
        <f t="shared" si="92"/>
        <v>664.42623058686308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380.64318988568527</v>
      </c>
      <c r="CE102" s="59">
        <f t="shared" si="94"/>
        <v>885.24651320439159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40.605105888228977</v>
      </c>
      <c r="CL102" s="21">
        <f>EXP(-LN(2)/25)*CL101+(1-EXP(-LN(2)/25))/(LN(2)/25)*Calculateur!CG102*Calculateur!CI102*VLOOKUP('Données projet'!$B$12,Paramètres!$A$1:$I$89,3,0)*0.475*44/12</f>
        <v>6.0491032381158965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46.654209126344874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-1.1368683772161603E-13</v>
      </c>
      <c r="CU102" s="17">
        <f>CT102*VLOOKUP('Données projet'!$B$13,Paramètres!$A$1:$I$89,3,0)*VLOOKUP('Données projet'!$B$13,Paramètres!$A$1:$I$89,5,0)</f>
        <v>-6.3550942286383367E-14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404.10467005188889</v>
      </c>
      <c r="CZ102" s="59">
        <f t="shared" si="96"/>
        <v>372.70490129557845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132.95865291338137</v>
      </c>
      <c r="DG102" s="21">
        <f>EXP(-LN(2)/25)*DG101+(1-EXP(-LN(2)/25))/(LN(2)/25)*Calculateur!DB102*Calculateur!DD102*VLOOKUP('Données projet'!$B$13,Paramètres!$A$1:$I$89,3,0)*0.475*44/12</f>
        <v>58.299767249772906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191.25842016315428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6.0711111111111125</v>
      </c>
      <c r="DO102" s="12">
        <f>IF('Données projet'!$A$166&gt;35,DO101+DN102-DW101,IF(A102&lt;'Données projet'!$A$166,$DL$205^A102,IF(A102='Données projet'!$A$166,'Données projet'!$B$166,DO101+DN102-DW101)))</f>
        <v>216.40444444444435</v>
      </c>
      <c r="DP102" s="17">
        <f>DO102*VLOOKUP('Données projet'!$B$14,Paramètres!$A$1:$I$89,3,0)*VLOOKUP('Données projet'!$B$14,Paramètres!$A$1:$I$89,5,0)</f>
        <v>195.80274133333324</v>
      </c>
      <c r="DQ102" s="13">
        <f t="shared" si="97"/>
        <v>48.82060175236343</v>
      </c>
      <c r="DR102" s="20">
        <f t="shared" si="70"/>
        <v>426.05232254092169</v>
      </c>
      <c r="DS102" s="59">
        <f t="shared" si="71"/>
        <v>705.28252611259177</v>
      </c>
      <c r="DT102" s="59">
        <f ca="1">AVERAGE(OFFSET($DS$3,0,0,'Données projet'!$E$14+1,1))-AVERAGE(OFFSET($H$3,0,0,'Données projet'!$E$14+1,1))</f>
        <v>479.53113328461268</v>
      </c>
      <c r="DU102" s="59">
        <f t="shared" si="98"/>
        <v>244.6360664588118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35.316022446703037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35.316022446703037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2.2737367544323206E-13</v>
      </c>
      <c r="EK102" s="17">
        <f>EJ102*VLOOKUP('Données projet'!$B$15,Paramètres!$A$1:$I$89,3,0)*VLOOKUP('Données projet'!$B$15,Paramètres!$A$1:$I$89,5,0)</f>
        <v>1.0049916454590858E-13</v>
      </c>
      <c r="EL102" s="13">
        <f t="shared" si="99"/>
        <v>1.5089081593838289E-12</v>
      </c>
      <c r="EM102" s="20">
        <f t="shared" si="73"/>
        <v>2.8030510891776262E-12</v>
      </c>
      <c r="EN102" s="59">
        <f t="shared" si="74"/>
        <v>279.23020357167292</v>
      </c>
      <c r="EO102" s="59">
        <f ca="1">AVERAGE(OFFSET($EN$3,0,0,'Données projet'!$E$15+1,1))-AVERAGE(OFFSET($H$3,0,0,'Données projet'!$E$15+1,1))</f>
        <v>339.23049610652492</v>
      </c>
      <c r="EP102" s="59">
        <f t="shared" si="100"/>
        <v>448.85057640789785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76.241774924391095</v>
      </c>
      <c r="EW102" s="21">
        <f>EXP(-LN(2)/25)*EW101+(1-EXP(-LN(2)/25))/(LN(2)/25)*Calculateur!ER102*Calculateur!ET102*VLOOKUP('Données projet'!$B$15,Paramètres!$A$1:$I$89,3,0)*0.475*44/12</f>
        <v>39.817602106178839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116.05937703056993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9.0474999999999994</v>
      </c>
      <c r="FE102" s="12">
        <f>IF('Données projet'!$A$218&gt;35,FE101+FD102-FM101,IF(A102&lt;'Données projet'!$A$218,$FB$205^A102,IF(A102='Données projet'!$A$218,'Données projet'!$B$218,FE101+FD102-FM101)))</f>
        <v>374.68500000000074</v>
      </c>
      <c r="FF102" s="17">
        <f>FE102*VLOOKUP('Données projet'!$B$16,Paramètres!$A$1:$I$89,3,0)*VLOOKUP('Données projet'!$B$16,Paramètres!$A$1:$I$89,5,0)</f>
        <v>175.35258000000036</v>
      </c>
      <c r="FG102" s="13">
        <f t="shared" si="101"/>
        <v>44.286652000427587</v>
      </c>
      <c r="FH102" s="20">
        <f t="shared" si="76"/>
        <v>382.53832906741195</v>
      </c>
      <c r="FI102" s="59">
        <f t="shared" si="77"/>
        <v>661.76853263908208</v>
      </c>
      <c r="FJ102" s="59">
        <f ca="1">AVERAGE(OFFSET($FI$3,0,0,'Données projet'!$E$16+1,1))-AVERAGE(OFFSET($H$3,0,0,'Données projet'!$E$16+1,1))</f>
        <v>365.63278362856033</v>
      </c>
      <c r="FK102" s="59">
        <f t="shared" si="102"/>
        <v>290.68267842697452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79.429197588483859</v>
      </c>
      <c r="FR102" s="21">
        <f>EXP(-LN(2)/25)*FR101+(1-EXP(-LN(2)/25))/(LN(2)/25)*Calculateur!FM102*Calculateur!FO102*VLOOKUP('Données projet'!$B$16,Paramètres!$A$1:$I$89,3,0)*0.475*44/12</f>
        <v>28.45261795995658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107.88181554844044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8.4183333333333312</v>
      </c>
      <c r="FZ102" s="12">
        <f>IF('Données projet'!$A$244&gt;35,FZ101+FY102-GH101,IF(A102&lt;'Données projet'!$A$244,$FW$205^A102,IF(A102='Données projet'!$A$244,'Données projet'!$B$244,FZ101+FY102-GH101)))</f>
        <v>284.58000000000004</v>
      </c>
      <c r="GA102" s="17">
        <f>FZ102*VLOOKUP('Données projet'!$B$17,Paramètres!$A$1:$I$89,3,0)*VLOOKUP('Données projet'!$B$17,Paramètres!$A$1:$I$89,5,0)</f>
        <v>244.16964000000007</v>
      </c>
      <c r="GB102" s="13">
        <f t="shared" si="103"/>
        <v>59.335747541341036</v>
      </c>
      <c r="GC102" s="20">
        <f t="shared" si="79"/>
        <v>528.60521663450243</v>
      </c>
      <c r="GD102" s="59">
        <f t="shared" si="80"/>
        <v>807.83542020617256</v>
      </c>
      <c r="GE102" s="59">
        <f ca="1">AVERAGE(OFFSET($GD$3,0,0,'Données projet'!$E$17+1,1))-AVERAGE(OFFSET($H$3,0,0,'Données projet'!$E$17+1,1))</f>
        <v>460.46300302025099</v>
      </c>
      <c r="GF102" s="59">
        <f t="shared" si="104"/>
        <v>340.22534554615879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63.70843912129061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63.70843912129061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66.153691883182759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1.1368683772161603E-13</v>
      </c>
      <c r="GV102" s="17">
        <f>GU102*VLOOKUP('Données projet'!$B$18,Paramètres!$A$1:$I$89,3,0)*VLOOKUP('Données projet'!$B$18,Paramètres!$A$1:$I$89,5,0)</f>
        <v>6.7984728957526396E-14</v>
      </c>
      <c r="GW102" s="13">
        <f t="shared" si="105"/>
        <v>1.0682447123141398E-12</v>
      </c>
      <c r="GX102" s="20">
        <f t="shared" si="82"/>
        <v>1.978932943548152E-12</v>
      </c>
      <c r="GY102" s="59">
        <f t="shared" si="83"/>
        <v>279.23020357167212</v>
      </c>
      <c r="GZ102" s="59">
        <f ca="1">AVERAGE(OFFSET($GY$3,0,0,'Données projet'!$E$18+1,1))-AVERAGE(OFFSET($H$3,0,0,'Données projet'!$E$18+1,1))</f>
        <v>-15.950000000000017</v>
      </c>
      <c r="HA102" s="59">
        <f t="shared" si="106"/>
        <v>-15.950000000000017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71.162837988474863</v>
      </c>
      <c r="HH102" s="21">
        <f>EXP(-LN(2)/25)*HH101+(1-EXP(-LN(2)/25))/(LN(2)/25)*Calculateur!HC102*Calculateur!HE102*VLOOKUP('Données projet'!$B$18,Paramètres!$A$1:$I$89,3,0)*0.475*44/12</f>
        <v>34.628740422341068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105.79157841081593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4.3499999999999996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15.949999999999998</v>
      </c>
      <c r="H103" s="67">
        <f t="shared" si="56"/>
        <v>192.86666666666667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-9.9316821433603781E-14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433.46721010558042</v>
      </c>
      <c r="T103" s="59">
        <f t="shared" si="88"/>
        <v>306.18862295347509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100.68835986127657</v>
      </c>
      <c r="AA103" s="21">
        <f>EXP(-LN(2)/25)*AA102+(1-EXP(-LN(2)/25))/(LN(2)/25)*Calculateur!V103*Calculateur!X103*VLOOKUP('Données projet'!$B$9,Paramètres!$A$1:$I$89,3,0)*0.475*44/12</f>
        <v>41.454486987957246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142.14284684923382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279.47486134316233</v>
      </c>
      <c r="AN103" s="59">
        <f ca="1">AVERAGE(OFFSET($AM$3,0,0,'Données projet'!$E$10+1,1))-AVERAGE(OFFSET($H$3,0,0,'Données projet'!$E$10+1,1))</f>
        <v>400.1942260113168</v>
      </c>
      <c r="AO103" s="59">
        <f t="shared" si="90"/>
        <v>497.04866930593926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69.767378140566152</v>
      </c>
      <c r="AV103" s="21">
        <f>EXP(-LN(2)/25)*AV102+(1-EXP(-LN(2)/25))/(LN(2)/25)*Calculateur!AQ103*Calculateur!AS103*VLOOKUP('Données projet'!$B$10,Paramètres!$A$1:$I$89,3,0)*0.475*44/12</f>
        <v>33.681815694445838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103.44919383501198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284.78505691662588</v>
      </c>
      <c r="BJ103" s="59">
        <f t="shared" si="92"/>
        <v>664.42623058686308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380.64318988568527</v>
      </c>
      <c r="CE103" s="59">
        <f t="shared" si="94"/>
        <v>885.24651320439159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39.808864528429893</v>
      </c>
      <c r="CL103" s="21">
        <f>EXP(-LN(2)/25)*CL102+(1-EXP(-LN(2)/25))/(LN(2)/25)*Calculateur!CG103*Calculateur!CI103*VLOOKUP('Données projet'!$B$12,Paramètres!$A$1:$I$89,3,0)*0.475*44/12</f>
        <v>5.8836901919611035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45.692554720390994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-1.1368683772161603E-13</v>
      </c>
      <c r="CU103" s="17">
        <f>CT103*VLOOKUP('Données projet'!$B$13,Paramètres!$A$1:$I$89,3,0)*VLOOKUP('Données projet'!$B$13,Paramètres!$A$1:$I$89,5,0)</f>
        <v>-6.3550942286383367E-14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404.10467005188889</v>
      </c>
      <c r="CZ103" s="59">
        <f t="shared" si="96"/>
        <v>372.70490129557845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130.3514148265206</v>
      </c>
      <c r="DG103" s="21">
        <f>EXP(-LN(2)/25)*DG102+(1-EXP(-LN(2)/25))/(LN(2)/25)*Calculateur!DB103*Calculateur!DD103*VLOOKUP('Données projet'!$B$13,Paramètres!$A$1:$I$89,3,0)*0.475*44/12</f>
        <v>56.705557048476351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187.05697187499695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6.0711111111111125</v>
      </c>
      <c r="DO103" s="12">
        <f>IF('Données projet'!$A$166&gt;35,DO102+DN103-DW102,IF(A103&lt;'Données projet'!$A$166,$DL$205^A103,IF(A103='Données projet'!$A$166,'Données projet'!$B$166,DO102+DN103-DW102)))</f>
        <v>222.47555555555547</v>
      </c>
      <c r="DP103" s="17">
        <f>DO103*VLOOKUP('Données projet'!$B$14,Paramètres!$A$1:$I$89,3,0)*VLOOKUP('Données projet'!$B$14,Paramètres!$A$1:$I$89,5,0)</f>
        <v>201.29588266666661</v>
      </c>
      <c r="DQ103" s="13">
        <f t="shared" si="97"/>
        <v>50.028856374101721</v>
      </c>
      <c r="DR103" s="20">
        <f t="shared" si="70"/>
        <v>437.72392049600489</v>
      </c>
      <c r="DS103" s="59">
        <f t="shared" si="71"/>
        <v>717.19878183916524</v>
      </c>
      <c r="DT103" s="59">
        <f ca="1">AVERAGE(OFFSET($DS$3,0,0,'Données projet'!$E$14+1,1))-AVERAGE(OFFSET($H$3,0,0,'Données projet'!$E$14+1,1))</f>
        <v>479.53113328461268</v>
      </c>
      <c r="DU103" s="59">
        <f t="shared" si="98"/>
        <v>244.6360664588118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34.62349678716992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34.62349678716992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2.2737367544323206E-13</v>
      </c>
      <c r="EK103" s="17">
        <f>EJ103*VLOOKUP('Données projet'!$B$15,Paramètres!$A$1:$I$89,3,0)*VLOOKUP('Données projet'!$B$15,Paramètres!$A$1:$I$89,5,0)</f>
        <v>1.0049916454590858E-13</v>
      </c>
      <c r="EL103" s="13">
        <f t="shared" si="99"/>
        <v>1.5089081593838289E-12</v>
      </c>
      <c r="EM103" s="20">
        <f t="shared" si="73"/>
        <v>2.8030510891776262E-12</v>
      </c>
      <c r="EN103" s="59">
        <f t="shared" si="74"/>
        <v>279.47486134316313</v>
      </c>
      <c r="EO103" s="59">
        <f ca="1">AVERAGE(OFFSET($EN$3,0,0,'Données projet'!$E$15+1,1))-AVERAGE(OFFSET($H$3,0,0,'Données projet'!$E$15+1,1))</f>
        <v>339.23049610652492</v>
      </c>
      <c r="EP103" s="59">
        <f t="shared" si="100"/>
        <v>448.85057640789785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74.746720221014712</v>
      </c>
      <c r="EW103" s="21">
        <f>EXP(-LN(2)/25)*EW102+(1-EXP(-LN(2)/25))/(LN(2)/25)*Calculateur!ER103*Calculateur!ET103*VLOOKUP('Données projet'!$B$15,Paramètres!$A$1:$I$89,3,0)*0.475*44/12</f>
        <v>38.728787682668688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113.47550790368339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9.0474999999999994</v>
      </c>
      <c r="FE103" s="12">
        <f>IF('Données projet'!$A$218&gt;35,FE102+FD103-FM102,IF(A103&lt;'Données projet'!$A$218,$FB$205^A103,IF(A103='Données projet'!$A$218,'Données projet'!$B$218,FE102+FD103-FM102)))</f>
        <v>383.73250000000075</v>
      </c>
      <c r="FF103" s="17">
        <f>FE103*VLOOKUP('Données projet'!$B$16,Paramètres!$A$1:$I$89,3,0)*VLOOKUP('Données projet'!$B$16,Paramètres!$A$1:$I$89,5,0)</f>
        <v>179.58681000000038</v>
      </c>
      <c r="FG103" s="13">
        <f t="shared" si="101"/>
        <v>45.230246712340069</v>
      </c>
      <c r="FH103" s="20">
        <f t="shared" si="76"/>
        <v>391.5563737739929</v>
      </c>
      <c r="FI103" s="59">
        <f t="shared" si="77"/>
        <v>671.0312351171533</v>
      </c>
      <c r="FJ103" s="59">
        <f ca="1">AVERAGE(OFFSET($FI$3,0,0,'Données projet'!$E$16+1,1))-AVERAGE(OFFSET($H$3,0,0,'Données projet'!$E$16+1,1))</f>
        <v>365.63278362856033</v>
      </c>
      <c r="FK103" s="59">
        <f t="shared" si="102"/>
        <v>290.68267842697452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77.871639470800474</v>
      </c>
      <c r="FR103" s="21">
        <f>EXP(-LN(2)/25)*FR102+(1-EXP(-LN(2)/25))/(LN(2)/25)*Calculateur!FM103*Calculateur!FO103*VLOOKUP('Données projet'!$B$16,Paramètres!$A$1:$I$89,3,0)*0.475*44/12</f>
        <v>27.674579625583419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105.54621909638389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8.4183333333333312</v>
      </c>
      <c r="FZ103" s="12">
        <f>IF('Données projet'!$A$244&gt;35,FZ102+FY103-GH102,IF(A103&lt;'Données projet'!$A$244,$FW$205^A103,IF(A103='Données projet'!$A$244,'Données projet'!$B$244,FZ102+FY103-GH102)))</f>
        <v>292.99833333333339</v>
      </c>
      <c r="GA103" s="17">
        <f>FZ103*VLOOKUP('Données projet'!$B$17,Paramètres!$A$1:$I$89,3,0)*VLOOKUP('Données projet'!$B$17,Paramètres!$A$1:$I$89,5,0)</f>
        <v>251.39257000000009</v>
      </c>
      <c r="GB103" s="13">
        <f t="shared" si="103"/>
        <v>60.884042285694846</v>
      </c>
      <c r="GC103" s="20">
        <f t="shared" si="79"/>
        <v>543.88176639758524</v>
      </c>
      <c r="GD103" s="59">
        <f t="shared" si="80"/>
        <v>823.35662774074558</v>
      </c>
      <c r="GE103" s="59">
        <f ca="1">AVERAGE(OFFSET($GD$3,0,0,'Données projet'!$E$17+1,1))-AVERAGE(OFFSET($H$3,0,0,'Données projet'!$E$17+1,1))</f>
        <v>460.46300302025099</v>
      </c>
      <c r="GF103" s="59">
        <f t="shared" si="104"/>
        <v>340.22534554615879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62.459155488433026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62.459155488433026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66.220416729952817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1.1368683772161603E-13</v>
      </c>
      <c r="GV103" s="17">
        <f>GU103*VLOOKUP('Données projet'!$B$18,Paramètres!$A$1:$I$89,3,0)*VLOOKUP('Données projet'!$B$18,Paramètres!$A$1:$I$89,5,0)</f>
        <v>6.7984728957526396E-14</v>
      </c>
      <c r="GW103" s="13">
        <f t="shared" si="105"/>
        <v>1.0682447123141398E-12</v>
      </c>
      <c r="GX103" s="20">
        <f t="shared" si="82"/>
        <v>1.978932943548152E-12</v>
      </c>
      <c r="GY103" s="59">
        <f t="shared" si="83"/>
        <v>279.47486134316233</v>
      </c>
      <c r="GZ103" s="59">
        <f ca="1">AVERAGE(OFFSET($GY$3,0,0,'Données projet'!$E$18+1,1))-AVERAGE(OFFSET($H$3,0,0,'Données projet'!$E$18+1,1))</f>
        <v>-15.950000000000017</v>
      </c>
      <c r="HA103" s="59">
        <f t="shared" si="106"/>
        <v>-15.950000000000017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69.767378140566152</v>
      </c>
      <c r="HH103" s="21">
        <f>EXP(-LN(2)/25)*HH102+(1-EXP(-LN(2)/25))/(LN(2)/25)*Calculateur!HC103*Calculateur!HE103*VLOOKUP('Données projet'!$B$18,Paramètres!$A$1:$I$89,3,0)*0.475*44/12</f>
        <v>33.681815694445838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103.44919383501198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4.3499999999999996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15.949999999999998</v>
      </c>
      <c r="H104" s="67">
        <f t="shared" si="56"/>
        <v>192.86666666666667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-9.9316821433603781E-14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433.46721010558042</v>
      </c>
      <c r="T104" s="59">
        <f t="shared" si="88"/>
        <v>306.18862295347509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98.713922538232339</v>
      </c>
      <c r="AA104" s="21">
        <f>EXP(-LN(2)/25)*AA103+(1-EXP(-LN(2)/25))/(LN(2)/25)*Calculateur!V104*Calculateur!X104*VLOOKUP('Données projet'!$B$9,Paramètres!$A$1:$I$89,3,0)*0.475*44/12</f>
        <v>40.32091186127483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139.03483439950716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279.71527484929004</v>
      </c>
      <c r="AN104" s="59">
        <f ca="1">AVERAGE(OFFSET($AM$3,0,0,'Données projet'!$E$10+1,1))-AVERAGE(OFFSET($H$3,0,0,'Données projet'!$E$10+1,1))</f>
        <v>400.1942260113168</v>
      </c>
      <c r="AO104" s="59">
        <f t="shared" si="90"/>
        <v>497.04866930593926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68.39928240912846</v>
      </c>
      <c r="AV104" s="21">
        <f>EXP(-LN(2)/25)*AV103+(1-EXP(-LN(2)/25))/(LN(2)/25)*Calculateur!AQ104*Calculateur!AS104*VLOOKUP('Données projet'!$B$10,Paramètres!$A$1:$I$89,3,0)*0.475*44/12</f>
        <v>32.760784673031509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101.16006708215997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284.78505691662588</v>
      </c>
      <c r="BJ104" s="59">
        <f t="shared" si="92"/>
        <v>664.42623058686308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380.64318988568527</v>
      </c>
      <c r="CE104" s="59">
        <f t="shared" si="94"/>
        <v>885.24651320439159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39.028236976037192</v>
      </c>
      <c r="CL104" s="21">
        <f>EXP(-LN(2)/25)*CL103+(1-EXP(-LN(2)/25))/(LN(2)/25)*Calculateur!CG104*Calculateur!CI104*VLOOKUP('Données projet'!$B$12,Paramètres!$A$1:$I$89,3,0)*0.475*44/12</f>
        <v>5.722800374252107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44.751037350289302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-1.1368683772161603E-13</v>
      </c>
      <c r="CU104" s="17">
        <f>CT104*VLOOKUP('Données projet'!$B$13,Paramètres!$A$1:$I$89,3,0)*VLOOKUP('Données projet'!$B$13,Paramètres!$A$1:$I$89,5,0)</f>
        <v>-6.3550942286383367E-14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404.10467005188889</v>
      </c>
      <c r="CZ104" s="59">
        <f t="shared" si="96"/>
        <v>372.70490129557845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127.79530308828495</v>
      </c>
      <c r="DG104" s="21">
        <f>EXP(-LN(2)/25)*DG103+(1-EXP(-LN(2)/25))/(LN(2)/25)*Calculateur!DB104*Calculateur!DD104*VLOOKUP('Données projet'!$B$13,Paramètres!$A$1:$I$89,3,0)*0.475*44/12</f>
        <v>55.154940608970122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182.95024369725508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6.0711111111111125</v>
      </c>
      <c r="DO104" s="12">
        <f>IF('Données projet'!$A$166&gt;35,DO103+DN104-DW103,IF(A104&lt;'Données projet'!$A$166,$DL$205^A104,IF(A104='Données projet'!$A$166,'Données projet'!$B$166,DO103+DN104-DW103)))</f>
        <v>228.5466666666666</v>
      </c>
      <c r="DP104" s="17">
        <f>DO104*VLOOKUP('Données projet'!$B$14,Paramètres!$A$1:$I$89,3,0)*VLOOKUP('Données projet'!$B$14,Paramètres!$A$1:$I$89,5,0)</f>
        <v>206.78902399999996</v>
      </c>
      <c r="DQ104" s="13">
        <f t="shared" si="97"/>
        <v>51.23327864977481</v>
      </c>
      <c r="DR104" s="20">
        <f t="shared" si="70"/>
        <v>449.38884378169104</v>
      </c>
      <c r="DS104" s="59">
        <f t="shared" si="71"/>
        <v>729.10411863097909</v>
      </c>
      <c r="DT104" s="59">
        <f ca="1">AVERAGE(OFFSET($DS$3,0,0,'Données projet'!$E$14+1,1))-AVERAGE(OFFSET($H$3,0,0,'Données projet'!$E$14+1,1))</f>
        <v>479.53113328461268</v>
      </c>
      <c r="DU104" s="59">
        <f t="shared" si="98"/>
        <v>244.6360664588118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33.944551133421307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33.944551133421307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2.2737367544323206E-13</v>
      </c>
      <c r="EK104" s="17">
        <f>EJ104*VLOOKUP('Données projet'!$B$15,Paramètres!$A$1:$I$89,3,0)*VLOOKUP('Données projet'!$B$15,Paramètres!$A$1:$I$89,5,0)</f>
        <v>1.0049916454590858E-13</v>
      </c>
      <c r="EL104" s="13">
        <f t="shared" si="99"/>
        <v>1.5089081593838289E-12</v>
      </c>
      <c r="EM104" s="20">
        <f t="shared" si="73"/>
        <v>2.8030510891776262E-12</v>
      </c>
      <c r="EN104" s="59">
        <f t="shared" si="74"/>
        <v>279.71527484929084</v>
      </c>
      <c r="EO104" s="59">
        <f ca="1">AVERAGE(OFFSET($EN$3,0,0,'Données projet'!$E$15+1,1))-AVERAGE(OFFSET($H$3,0,0,'Données projet'!$E$15+1,1))</f>
        <v>339.23049610652492</v>
      </c>
      <c r="EP104" s="59">
        <f t="shared" si="100"/>
        <v>448.85057640789785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73.280982628478213</v>
      </c>
      <c r="EW104" s="21">
        <f>EXP(-LN(2)/25)*EW103+(1-EXP(-LN(2)/25))/(LN(2)/25)*Calculateur!ER104*Calculateur!ET104*VLOOKUP('Données projet'!$B$15,Paramètres!$A$1:$I$89,3,0)*0.475*44/12</f>
        <v>37.669746946827686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110.9507295753059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9.0474999999999994</v>
      </c>
      <c r="FE104" s="12">
        <f>IF('Données projet'!$A$218&gt;35,FE103+FD104-FM103,IF(A104&lt;'Données projet'!$A$218,$FB$205^A104,IF(A104='Données projet'!$A$218,'Données projet'!$B$218,FE103+FD104-FM103)))</f>
        <v>392.78000000000077</v>
      </c>
      <c r="FF104" s="17">
        <f>FE104*VLOOKUP('Données projet'!$B$16,Paramètres!$A$1:$I$89,3,0)*VLOOKUP('Données projet'!$B$16,Paramètres!$A$1:$I$89,5,0)</f>
        <v>183.82104000000035</v>
      </c>
      <c r="FG104" s="13">
        <f t="shared" si="101"/>
        <v>46.17125508669745</v>
      </c>
      <c r="FH104" s="20">
        <f t="shared" si="76"/>
        <v>400.56991394266532</v>
      </c>
      <c r="FI104" s="59">
        <f t="shared" si="77"/>
        <v>680.28518879195337</v>
      </c>
      <c r="FJ104" s="59">
        <f ca="1">AVERAGE(OFFSET($FI$3,0,0,'Données projet'!$E$16+1,1))-AVERAGE(OFFSET($H$3,0,0,'Données projet'!$E$16+1,1))</f>
        <v>365.63278362856033</v>
      </c>
      <c r="FK104" s="59">
        <f t="shared" si="102"/>
        <v>290.68267842697452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76.344624117788214</v>
      </c>
      <c r="FR104" s="21">
        <f>EXP(-LN(2)/25)*FR103+(1-EXP(-LN(2)/25))/(LN(2)/25)*Calculateur!FM104*Calculateur!FO104*VLOOKUP('Données projet'!$B$16,Paramètres!$A$1:$I$89,3,0)*0.475*44/12</f>
        <v>26.91781679037895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103.26244090816716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8.4183333333333312</v>
      </c>
      <c r="FZ104" s="12">
        <f>IF('Données projet'!$A$244&gt;35,FZ103+FY104-GH103,IF(A104&lt;'Données projet'!$A$244,$FW$205^A104,IF(A104='Données projet'!$A$244,'Données projet'!$B$244,FZ103+FY104-GH103)))</f>
        <v>301.41666666666674</v>
      </c>
      <c r="GA104" s="17">
        <f>FZ104*VLOOKUP('Données projet'!$B$17,Paramètres!$A$1:$I$89,3,0)*VLOOKUP('Données projet'!$B$17,Paramètres!$A$1:$I$89,5,0)</f>
        <v>258.61550000000011</v>
      </c>
      <c r="GB104" s="13">
        <f t="shared" si="103"/>
        <v>62.427166861375824</v>
      </c>
      <c r="GC104" s="20">
        <f t="shared" si="79"/>
        <v>559.14931145022967</v>
      </c>
      <c r="GD104" s="59">
        <f t="shared" si="80"/>
        <v>838.86458629951767</v>
      </c>
      <c r="GE104" s="59">
        <f ca="1">AVERAGE(OFFSET($GD$3,0,0,'Données projet'!$E$17+1,1))-AVERAGE(OFFSET($H$3,0,0,'Données projet'!$E$17+1,1))</f>
        <v>460.46300302025099</v>
      </c>
      <c r="GF104" s="59">
        <f t="shared" si="104"/>
        <v>340.22534554615879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61.234369545628006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61.234369545628006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66.285984049805833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1.1368683772161603E-13</v>
      </c>
      <c r="GV104" s="17">
        <f>GU104*VLOOKUP('Données projet'!$B$18,Paramètres!$A$1:$I$89,3,0)*VLOOKUP('Données projet'!$B$18,Paramètres!$A$1:$I$89,5,0)</f>
        <v>6.7984728957526396E-14</v>
      </c>
      <c r="GW104" s="13">
        <f t="shared" si="105"/>
        <v>1.0682447123141398E-12</v>
      </c>
      <c r="GX104" s="20">
        <f t="shared" si="82"/>
        <v>1.978932943548152E-12</v>
      </c>
      <c r="GY104" s="59">
        <f t="shared" si="83"/>
        <v>279.71527484929004</v>
      </c>
      <c r="GZ104" s="59">
        <f ca="1">AVERAGE(OFFSET($GY$3,0,0,'Données projet'!$E$18+1,1))-AVERAGE(OFFSET($H$3,0,0,'Données projet'!$E$18+1,1))</f>
        <v>-15.950000000000017</v>
      </c>
      <c r="HA104" s="59">
        <f t="shared" si="106"/>
        <v>-15.950000000000017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68.39928240912846</v>
      </c>
      <c r="HH104" s="21">
        <f>EXP(-LN(2)/25)*HH103+(1-EXP(-LN(2)/25))/(LN(2)/25)*Calculateur!HC104*Calculateur!HE104*VLOOKUP('Données projet'!$B$18,Paramètres!$A$1:$I$89,3,0)*0.475*44/12</f>
        <v>32.760784673031509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101.16006708215997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4.3499999999999996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15.949999999999998</v>
      </c>
      <c r="H105" s="67">
        <f t="shared" si="56"/>
        <v>192.86666666666667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-9.9316821433603781E-14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433.46721010558042</v>
      </c>
      <c r="T105" s="59">
        <f t="shared" si="88"/>
        <v>306.18862295347509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96.778202726805148</v>
      </c>
      <c r="AA105" s="21">
        <f>EXP(-LN(2)/25)*AA104+(1-EXP(-LN(2)/25))/(LN(2)/25)*Calculateur!V105*Calculateur!X105*VLOOKUP('Données projet'!$B$9,Paramètres!$A$1:$I$89,3,0)*0.475*44/12</f>
        <v>39.218334406043667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135.9965371328488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279.95151771857047</v>
      </c>
      <c r="AN105" s="59">
        <f ca="1">AVERAGE(OFFSET($AM$3,0,0,'Données projet'!$E$10+1,1))-AVERAGE(OFFSET($H$3,0,0,'Données projet'!$E$10+1,1))</f>
        <v>400.1942260113168</v>
      </c>
      <c r="AO105" s="59">
        <f t="shared" si="90"/>
        <v>497.04866930593926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67.058014200528262</v>
      </c>
      <c r="AV105" s="21">
        <f>EXP(-LN(2)/25)*AV104+(1-EXP(-LN(2)/25))/(LN(2)/25)*Calculateur!AQ105*Calculateur!AS105*VLOOKUP('Données projet'!$B$10,Paramètres!$A$1:$I$89,3,0)*0.475*44/12</f>
        <v>31.864939293332672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98.922953493860931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284.78505691662588</v>
      </c>
      <c r="BJ105" s="59">
        <f t="shared" si="92"/>
        <v>664.42623058686308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380.64318988568527</v>
      </c>
      <c r="CE105" s="59">
        <f t="shared" si="94"/>
        <v>885.24651320439159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38.262917053811123</v>
      </c>
      <c r="CL105" s="21">
        <f>EXP(-LN(2)/25)*CL104+(1-EXP(-LN(2)/25))/(LN(2)/25)*Calculateur!CG105*Calculateur!CI105*VLOOKUP('Données projet'!$B$12,Paramètres!$A$1:$I$89,3,0)*0.475*44/12</f>
        <v>5.5663100970691914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43.829227150880314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-1.1368683772161603E-13</v>
      </c>
      <c r="CU105" s="17">
        <f>CT105*VLOOKUP('Données projet'!$B$13,Paramètres!$A$1:$I$89,3,0)*VLOOKUP('Données projet'!$B$13,Paramètres!$A$1:$I$89,5,0)</f>
        <v>-6.3550942286383367E-14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404.10467005188889</v>
      </c>
      <c r="CZ105" s="59">
        <f t="shared" si="96"/>
        <v>372.70490129557845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125.2893151421619</v>
      </c>
      <c r="DG105" s="21">
        <f>EXP(-LN(2)/25)*DG104+(1-EXP(-LN(2)/25))/(LN(2)/25)*Calculateur!DB105*Calculateur!DD105*VLOOKUP('Données projet'!$B$13,Paramètres!$A$1:$I$89,3,0)*0.475*44/12</f>
        <v>53.646725857545569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178.93604099970747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6.0711111111111125</v>
      </c>
      <c r="DO105" s="12">
        <f>IF('Données projet'!$A$166&gt;35,DO104+DN105-DW104,IF(A105&lt;'Données projet'!$A$166,$DL$205^A105,IF(A105='Données projet'!$A$166,'Données projet'!$B$166,DO104+DN105-DW104)))</f>
        <v>234.61777777777772</v>
      </c>
      <c r="DP105" s="17">
        <f>DO105*VLOOKUP('Données projet'!$B$14,Paramètres!$A$1:$I$89,3,0)*VLOOKUP('Données projet'!$B$14,Paramètres!$A$1:$I$89,5,0)</f>
        <v>212.2821653333333</v>
      </c>
      <c r="DQ105" s="13">
        <f t="shared" si="97"/>
        <v>52.433982083077204</v>
      </c>
      <c r="DR105" s="20">
        <f t="shared" si="70"/>
        <v>461.04729008358157</v>
      </c>
      <c r="DS105" s="59">
        <f t="shared" si="71"/>
        <v>740.99880780215005</v>
      </c>
      <c r="DT105" s="59">
        <f ca="1">AVERAGE(OFFSET($DS$3,0,0,'Données projet'!$E$14+1,1))-AVERAGE(OFFSET($H$3,0,0,'Données projet'!$E$14+1,1))</f>
        <v>479.53113328461268</v>
      </c>
      <c r="DU105" s="59">
        <f t="shared" si="98"/>
        <v>244.6360664588118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33.278919189826745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33.278919189826745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2.2737367544323206E-13</v>
      </c>
      <c r="EK105" s="17">
        <f>EJ105*VLOOKUP('Données projet'!$B$15,Paramètres!$A$1:$I$89,3,0)*VLOOKUP('Données projet'!$B$15,Paramètres!$A$1:$I$89,5,0)</f>
        <v>1.0049916454590858E-13</v>
      </c>
      <c r="EL105" s="13">
        <f t="shared" si="99"/>
        <v>1.5089081593838289E-12</v>
      </c>
      <c r="EM105" s="20">
        <f t="shared" si="73"/>
        <v>2.8030510891776262E-12</v>
      </c>
      <c r="EN105" s="59">
        <f t="shared" si="74"/>
        <v>279.95151771857127</v>
      </c>
      <c r="EO105" s="59">
        <f ca="1">AVERAGE(OFFSET($EN$3,0,0,'Données projet'!$E$15+1,1))-AVERAGE(OFFSET($H$3,0,0,'Données projet'!$E$15+1,1))</f>
        <v>339.23049610652492</v>
      </c>
      <c r="EP105" s="59">
        <f t="shared" si="100"/>
        <v>448.85057640789785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71.843987256119703</v>
      </c>
      <c r="EW105" s="21">
        <f>EXP(-LN(2)/25)*EW104+(1-EXP(-LN(2)/25))/(LN(2)/25)*Calculateur!ER105*Calculateur!ET105*VLOOKUP('Données projet'!$B$15,Paramètres!$A$1:$I$89,3,0)*0.475*44/12</f>
        <v>36.639665735600786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108.48365299172049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9.0474999999999994</v>
      </c>
      <c r="FE105" s="12">
        <f>IF('Données projet'!$A$218&gt;35,FE104+FD105-FM104,IF(A105&lt;'Données projet'!$A$218,$FB$205^A105,IF(A105='Données projet'!$A$218,'Données projet'!$B$218,FE104+FD105-FM104)))</f>
        <v>401.82750000000078</v>
      </c>
      <c r="FF105" s="17">
        <f>FE105*VLOOKUP('Données projet'!$B$16,Paramètres!$A$1:$I$89,3,0)*VLOOKUP('Données projet'!$B$16,Paramètres!$A$1:$I$89,5,0)</f>
        <v>188.05527000000035</v>
      </c>
      <c r="FG105" s="13">
        <f t="shared" si="101"/>
        <v>47.109743555877948</v>
      </c>
      <c r="FH105" s="20">
        <f t="shared" si="76"/>
        <v>409.57906527648794</v>
      </c>
      <c r="FI105" s="59">
        <f t="shared" si="77"/>
        <v>689.53058299505642</v>
      </c>
      <c r="FJ105" s="59">
        <f ca="1">AVERAGE(OFFSET($FI$3,0,0,'Données projet'!$E$16+1,1))-AVERAGE(OFFSET($H$3,0,0,'Données projet'!$E$16+1,1))</f>
        <v>365.63278362856033</v>
      </c>
      <c r="FK105" s="59">
        <f t="shared" si="102"/>
        <v>290.68267842697452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74.847552604461129</v>
      </c>
      <c r="FR105" s="21">
        <f>EXP(-LN(2)/25)*FR104+(1-EXP(-LN(2)/25))/(LN(2)/25)*Calculateur!FM105*Calculateur!FO105*VLOOKUP('Données projet'!$B$16,Paramètres!$A$1:$I$89,3,0)*0.475*44/12</f>
        <v>26.181747674699576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101.02930027916071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8.4183333333333312</v>
      </c>
      <c r="FZ105" s="12">
        <f>IF('Données projet'!$A$244&gt;35,FZ104+FY105-GH104,IF(A105&lt;'Données projet'!$A$244,$FW$205^A105,IF(A105='Données projet'!$A$244,'Données projet'!$B$244,FZ104+FY105-GH104)))</f>
        <v>309.83500000000009</v>
      </c>
      <c r="GA105" s="17">
        <f>FZ105*VLOOKUP('Données projet'!$B$17,Paramètres!$A$1:$I$89,3,0)*VLOOKUP('Données projet'!$B$17,Paramètres!$A$1:$I$89,5,0)</f>
        <v>265.83843000000013</v>
      </c>
      <c r="GB105" s="13">
        <f t="shared" si="103"/>
        <v>63.965282255842986</v>
      </c>
      <c r="GC105" s="20">
        <f t="shared" si="79"/>
        <v>574.40813217892662</v>
      </c>
      <c r="GD105" s="59">
        <f t="shared" si="80"/>
        <v>854.35964989749505</v>
      </c>
      <c r="GE105" s="59">
        <f ca="1">AVERAGE(OFFSET($GD$3,0,0,'Données projet'!$E$17+1,1))-AVERAGE(OFFSET($H$3,0,0,'Données projet'!$E$17+1,1))</f>
        <v>460.46300302025099</v>
      </c>
      <c r="GF105" s="59">
        <f t="shared" si="104"/>
        <v>340.22534554615879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60.03360090811573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60.03360090811573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66.350413923245952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1.1368683772161603E-13</v>
      </c>
      <c r="GV105" s="17">
        <f>GU105*VLOOKUP('Données projet'!$B$18,Paramètres!$A$1:$I$89,3,0)*VLOOKUP('Données projet'!$B$18,Paramètres!$A$1:$I$89,5,0)</f>
        <v>6.7984728957526396E-14</v>
      </c>
      <c r="GW105" s="13">
        <f t="shared" si="105"/>
        <v>1.0682447123141398E-12</v>
      </c>
      <c r="GX105" s="20">
        <f t="shared" si="82"/>
        <v>1.978932943548152E-12</v>
      </c>
      <c r="GY105" s="59">
        <f t="shared" si="83"/>
        <v>279.95151771857047</v>
      </c>
      <c r="GZ105" s="59">
        <f ca="1">AVERAGE(OFFSET($GY$3,0,0,'Données projet'!$E$18+1,1))-AVERAGE(OFFSET($H$3,0,0,'Données projet'!$E$18+1,1))</f>
        <v>-15.950000000000017</v>
      </c>
      <c r="HA105" s="59">
        <f t="shared" si="106"/>
        <v>-15.950000000000017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67.058014200528262</v>
      </c>
      <c r="HH105" s="21">
        <f>EXP(-LN(2)/25)*HH104+(1-EXP(-LN(2)/25))/(LN(2)/25)*Calculateur!HC105*Calculateur!HE105*VLOOKUP('Données projet'!$B$18,Paramètres!$A$1:$I$89,3,0)*0.475*44/12</f>
        <v>31.864939293332672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98.922953493860931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4.3499999999999996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15.949999999999998</v>
      </c>
      <c r="H106" s="67">
        <f t="shared" si="56"/>
        <v>192.86666666666667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-9.9316821433603781E-14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433.46721010558042</v>
      </c>
      <c r="T106" s="59">
        <f t="shared" si="88"/>
        <v>306.18862295347509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94.880441200207542</v>
      </c>
      <c r="AA106" s="21">
        <f>EXP(-LN(2)/25)*AA105+(1-EXP(-LN(2)/25))/(LN(2)/25)*Calculateur!V106*Calculateur!X106*VLOOKUP('Données projet'!$B$9,Paramètres!$A$1:$I$89,3,0)*0.475*44/12</f>
        <v>38.145906989307832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133.02634818951537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280.18366230222887</v>
      </c>
      <c r="AN106" s="59">
        <f ca="1">AVERAGE(OFFSET($AM$3,0,0,'Données projet'!$E$10+1,1))-AVERAGE(OFFSET($H$3,0,0,'Données projet'!$E$10+1,1))</f>
        <v>400.1942260113168</v>
      </c>
      <c r="AO106" s="59">
        <f t="shared" si="90"/>
        <v>497.04866930593926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65.743047443405899</v>
      </c>
      <c r="AV106" s="21">
        <f>EXP(-LN(2)/25)*AV105+(1-EXP(-LN(2)/25))/(LN(2)/25)*Calculateur!AQ106*Calculateur!AS106*VLOOKUP('Données projet'!$B$10,Paramètres!$A$1:$I$89,3,0)*0.475*44/12</f>
        <v>30.993590852652162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96.736638296058061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284.78505691662588</v>
      </c>
      <c r="BJ106" s="59">
        <f t="shared" si="92"/>
        <v>664.42623058686308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380.64318988568527</v>
      </c>
      <c r="CE106" s="59">
        <f t="shared" si="94"/>
        <v>885.24651320439159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37.512604588460846</v>
      </c>
      <c r="CL106" s="21">
        <f>EXP(-LN(2)/25)*CL105+(1-EXP(-LN(2)/25))/(LN(2)/25)*Calculateur!CG106*Calculateur!CI106*VLOOKUP('Données projet'!$B$12,Paramètres!$A$1:$I$89,3,0)*0.475*44/12</f>
        <v>5.4140990547453081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42.926703643206153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-1.1368683772161603E-13</v>
      </c>
      <c r="CU106" s="17">
        <f>CT106*VLOOKUP('Données projet'!$B$13,Paramètres!$A$1:$I$89,3,0)*VLOOKUP('Données projet'!$B$13,Paramètres!$A$1:$I$89,5,0)</f>
        <v>-6.3550942286383367E-14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404.10467005188889</v>
      </c>
      <c r="CZ106" s="59">
        <f t="shared" si="96"/>
        <v>372.70490129557845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122.83246809116059</v>
      </c>
      <c r="DG106" s="21">
        <f>EXP(-LN(2)/25)*DG105+(1-EXP(-LN(2)/25))/(LN(2)/25)*Calculateur!DB106*Calculateur!DD106*VLOOKUP('Données projet'!$B$13,Paramètres!$A$1:$I$89,3,0)*0.475*44/12</f>
        <v>52.179753317812285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175.01222140897289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6.0711111111111125</v>
      </c>
      <c r="DO106" s="12">
        <f>IF('Données projet'!$A$166&gt;35,DO105+DN106-DW105,IF(A106&lt;'Données projet'!$A$166,$DL$205^A106,IF(A106='Données projet'!$A$166,'Données projet'!$B$166,DO105+DN106-DW105)))</f>
        <v>240.68888888888884</v>
      </c>
      <c r="DP106" s="17">
        <f>DO106*VLOOKUP('Données projet'!$B$14,Paramètres!$A$1:$I$89,3,0)*VLOOKUP('Données projet'!$B$14,Paramètres!$A$1:$I$89,5,0)</f>
        <v>217.77530666666664</v>
      </c>
      <c r="DQ106" s="13">
        <f t="shared" si="97"/>
        <v>53.63107396890728</v>
      </c>
      <c r="DR106" s="20">
        <f t="shared" si="70"/>
        <v>472.69944627362452</v>
      </c>
      <c r="DS106" s="59">
        <f t="shared" si="71"/>
        <v>752.88310857585134</v>
      </c>
      <c r="DT106" s="59">
        <f ca="1">AVERAGE(OFFSET($DS$3,0,0,'Données projet'!$E$14+1,1))-AVERAGE(OFFSET($H$3,0,0,'Données projet'!$E$14+1,1))</f>
        <v>479.53113328461268</v>
      </c>
      <c r="DU106" s="59">
        <f t="shared" si="98"/>
        <v>244.6360664588118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32.626339882650676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32.626339882650676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2.2737367544323206E-13</v>
      </c>
      <c r="EK106" s="17">
        <f>EJ106*VLOOKUP('Données projet'!$B$15,Paramètres!$A$1:$I$89,3,0)*VLOOKUP('Données projet'!$B$15,Paramètres!$A$1:$I$89,5,0)</f>
        <v>1.0049916454590858E-13</v>
      </c>
      <c r="EL106" s="13">
        <f t="shared" si="99"/>
        <v>1.5089081593838289E-12</v>
      </c>
      <c r="EM106" s="20">
        <f t="shared" si="73"/>
        <v>2.8030510891776262E-12</v>
      </c>
      <c r="EN106" s="59">
        <f t="shared" si="74"/>
        <v>280.18366230222966</v>
      </c>
      <c r="EO106" s="59">
        <f ca="1">AVERAGE(OFFSET($EN$3,0,0,'Données projet'!$E$15+1,1))-AVERAGE(OFFSET($H$3,0,0,'Données projet'!$E$15+1,1))</f>
        <v>339.23049610652492</v>
      </c>
      <c r="EP106" s="59">
        <f t="shared" si="100"/>
        <v>448.85057640789785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70.435170486532513</v>
      </c>
      <c r="EW106" s="21">
        <f>EXP(-LN(2)/25)*EW105+(1-EXP(-LN(2)/25))/(LN(2)/25)*Calculateur!ER106*Calculateur!ET106*VLOOKUP('Données projet'!$B$15,Paramètres!$A$1:$I$89,3,0)*0.475*44/12</f>
        <v>35.6377521492645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106.07292263579701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9.0474999999999994</v>
      </c>
      <c r="FE106" s="12">
        <f>IF('Données projet'!$A$218&gt;35,FE105+FD106-FM105,IF(A106&lt;'Données projet'!$A$218,$FB$205^A106,IF(A106='Données projet'!$A$218,'Données projet'!$B$218,FE105+FD106-FM105)))</f>
        <v>410.8750000000008</v>
      </c>
      <c r="FF106" s="17">
        <f>FE106*VLOOKUP('Données projet'!$B$16,Paramètres!$A$1:$I$89,3,0)*VLOOKUP('Données projet'!$B$16,Paramètres!$A$1:$I$89,5,0)</f>
        <v>192.28950000000037</v>
      </c>
      <c r="FG106" s="13">
        <f t="shared" si="101"/>
        <v>48.045775389924884</v>
      </c>
      <c r="FH106" s="20">
        <f t="shared" si="76"/>
        <v>418.58393797078651</v>
      </c>
      <c r="FI106" s="59">
        <f t="shared" si="77"/>
        <v>698.76760027301339</v>
      </c>
      <c r="FJ106" s="59">
        <f ca="1">AVERAGE(OFFSET($FI$3,0,0,'Données projet'!$E$16+1,1))-AVERAGE(OFFSET($H$3,0,0,'Données projet'!$E$16+1,1))</f>
        <v>365.63278362856033</v>
      </c>
      <c r="FK106" s="59">
        <f t="shared" si="102"/>
        <v>290.68267842697452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73.379837750386926</v>
      </c>
      <c r="FR106" s="21">
        <f>EXP(-LN(2)/25)*FR105+(1-EXP(-LN(2)/25))/(LN(2)/25)*Calculateur!FM106*Calculateur!FO106*VLOOKUP('Données projet'!$B$16,Paramètres!$A$1:$I$89,3,0)*0.475*44/12</f>
        <v>25.465806407696643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98.845644158083573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8.4183333333333312</v>
      </c>
      <c r="FZ106" s="12">
        <f>IF('Données projet'!$A$244&gt;35,FZ105+FY106-GH105,IF(A106&lt;'Données projet'!$A$244,$FW$205^A106,IF(A106='Données projet'!$A$244,'Données projet'!$B$244,FZ105+FY106-GH105)))</f>
        <v>318.25333333333344</v>
      </c>
      <c r="GA106" s="17">
        <f>FZ106*VLOOKUP('Données projet'!$B$17,Paramètres!$A$1:$I$89,3,0)*VLOOKUP('Données projet'!$B$17,Paramètres!$A$1:$I$89,5,0)</f>
        <v>273.06136000000015</v>
      </c>
      <c r="GB106" s="13">
        <f t="shared" si="103"/>
        <v>65.498540210418341</v>
      </c>
      <c r="GC106" s="20">
        <f t="shared" si="79"/>
        <v>589.65849286647892</v>
      </c>
      <c r="GD106" s="59">
        <f t="shared" si="80"/>
        <v>869.84215516870586</v>
      </c>
      <c r="GE106" s="59">
        <f ca="1">AVERAGE(OFFSET($GD$3,0,0,'Données projet'!$E$17+1,1))-AVERAGE(OFFSET($H$3,0,0,'Données projet'!$E$17+1,1))</f>
        <v>460.46300302025099</v>
      </c>
      <c r="GF106" s="59">
        <f t="shared" si="104"/>
        <v>340.22534554615879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58.856378611188518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58.856378611188518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66.413726082425512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1.1368683772161603E-13</v>
      </c>
      <c r="GV106" s="17">
        <f>GU106*VLOOKUP('Données projet'!$B$18,Paramètres!$A$1:$I$89,3,0)*VLOOKUP('Données projet'!$B$18,Paramètres!$A$1:$I$89,5,0)</f>
        <v>6.7984728957526396E-14</v>
      </c>
      <c r="GW106" s="13">
        <f t="shared" si="105"/>
        <v>1.0682447123141398E-12</v>
      </c>
      <c r="GX106" s="20">
        <f t="shared" si="82"/>
        <v>1.978932943548152E-12</v>
      </c>
      <c r="GY106" s="59">
        <f t="shared" si="83"/>
        <v>280.18366230222887</v>
      </c>
      <c r="GZ106" s="59">
        <f ca="1">AVERAGE(OFFSET($GY$3,0,0,'Données projet'!$E$18+1,1))-AVERAGE(OFFSET($H$3,0,0,'Données projet'!$E$18+1,1))</f>
        <v>-15.950000000000017</v>
      </c>
      <c r="HA106" s="59">
        <f t="shared" si="106"/>
        <v>-15.950000000000017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65.743047443405899</v>
      </c>
      <c r="HH106" s="21">
        <f>EXP(-LN(2)/25)*HH105+(1-EXP(-LN(2)/25))/(LN(2)/25)*Calculateur!HC106*Calculateur!HE106*VLOOKUP('Données projet'!$B$18,Paramètres!$A$1:$I$89,3,0)*0.475*44/12</f>
        <v>30.993590852652162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96.736638296058061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4.3499999999999996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15.949999999999998</v>
      </c>
      <c r="H107" s="67">
        <f t="shared" si="56"/>
        <v>192.86666666666667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-9.9316821433603781E-14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433.46721010558042</v>
      </c>
      <c r="T107" s="59">
        <f t="shared" si="88"/>
        <v>306.18862295347509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93.019893619626288</v>
      </c>
      <c r="AA107" s="21">
        <f>EXP(-LN(2)/25)*AA106+(1-EXP(-LN(2)/25))/(LN(2)/25)*Calculateur!V107*Calculateur!X107*VLOOKUP('Données projet'!$B$9,Paramètres!$A$1:$I$89,3,0)*0.475*44/12</f>
        <v>37.102805156679146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130.12269877630544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280.41177969635828</v>
      </c>
      <c r="AN107" s="59">
        <f ca="1">AVERAGE(OFFSET($AM$3,0,0,'Données projet'!$E$10+1,1))-AVERAGE(OFFSET($H$3,0,0,'Données projet'!$E$10+1,1))</f>
        <v>400.1942260113168</v>
      </c>
      <c r="AO107" s="59">
        <f t="shared" si="90"/>
        <v>497.04866930593926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64.453866382340166</v>
      </c>
      <c r="AV107" s="21">
        <f>EXP(-LN(2)/25)*AV106+(1-EXP(-LN(2)/25))/(LN(2)/25)*Calculateur!AQ107*Calculateur!AS107*VLOOKUP('Données projet'!$B$10,Paramètres!$A$1:$I$89,3,0)*0.475*44/12</f>
        <v>30.146069480904281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94.59993586324444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284.78505691662588</v>
      </c>
      <c r="BJ107" s="59">
        <f t="shared" si="92"/>
        <v>664.42623058686308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380.64318988568527</v>
      </c>
      <c r="CE107" s="59">
        <f t="shared" si="94"/>
        <v>885.24651320439159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36.777005292910673</v>
      </c>
      <c r="CL107" s="21">
        <f>EXP(-LN(2)/25)*CL106+(1-EXP(-LN(2)/25))/(LN(2)/25)*Calculateur!CG107*Calculateur!CI107*VLOOKUP('Données projet'!$B$12,Paramètres!$A$1:$I$89,3,0)*0.475*44/12</f>
        <v>5.2660502313782027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42.043055524288874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-1.1368683772161603E-13</v>
      </c>
      <c r="CU107" s="17">
        <f>CT107*VLOOKUP('Données projet'!$B$13,Paramètres!$A$1:$I$89,3,0)*VLOOKUP('Données projet'!$B$13,Paramètres!$A$1:$I$89,5,0)</f>
        <v>-6.3550942286383367E-14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404.10467005188889</v>
      </c>
      <c r="CZ107" s="59">
        <f t="shared" si="96"/>
        <v>372.70490129557845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120.42379831230069</v>
      </c>
      <c r="DG107" s="21">
        <f>EXP(-LN(2)/25)*DG106+(1-EXP(-LN(2)/25))/(LN(2)/25)*Calculateur!DB107*Calculateur!DD107*VLOOKUP('Données projet'!$B$13,Paramètres!$A$1:$I$89,3,0)*0.475*44/12</f>
        <v>50.752895219322738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171.17669353162341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246.76</v>
      </c>
      <c r="DM107" s="12">
        <f>VLOOKUP(A107,'Données projet'!$A$165:$I$185,9,0)</f>
        <v>6.0711111111111125</v>
      </c>
      <c r="DN107" s="12">
        <f t="array" ref="DN107">INDEX(DM:DM,MIN(IF(ISNUMBER(DM107:DM303),ROW(DM107:DM303),"")))</f>
        <v>6.0711111111111125</v>
      </c>
      <c r="DO107" s="12">
        <f>IF('Données projet'!$A$166&gt;35,DO106+DN107-DW106,IF(A107&lt;'Données projet'!$A$166,$DL$205^A107,IF(A107='Données projet'!$A$166,'Données projet'!$B$166,DO106+DN107-DW106)))</f>
        <v>246.75999999999996</v>
      </c>
      <c r="DP107" s="17">
        <f>DO107*VLOOKUP('Données projet'!$B$14,Paramètres!$A$1:$I$89,3,0)*VLOOKUP('Données projet'!$B$14,Paramètres!$A$1:$I$89,5,0)</f>
        <v>223.26844799999998</v>
      </c>
      <c r="DQ107" s="13">
        <f t="shared" si="97"/>
        <v>54.82465588091992</v>
      </c>
      <c r="DR107" s="20">
        <f t="shared" si="70"/>
        <v>484.34548925926879</v>
      </c>
      <c r="DS107" s="59">
        <f t="shared" si="71"/>
        <v>764.75726895562502</v>
      </c>
      <c r="DT107" s="59">
        <f ca="1">AVERAGE(OFFSET($DS$3,0,0,'Données projet'!$E$14+1,1))-AVERAGE(OFFSET($H$3,0,0,'Données projet'!$E$14+1,1))</f>
        <v>479.53113328461268</v>
      </c>
      <c r="DU107" s="59">
        <f t="shared" si="98"/>
        <v>244.6360664588118</v>
      </c>
      <c r="DV107" s="15">
        <f>IF(ISNA(VLOOKUP(A107,'Données projet'!$A$165:$I$185,3,0)),0,VLOOKUP(A107,'Données projet'!$A$165:$I$185,3,0))</f>
        <v>6</v>
      </c>
      <c r="DW107" s="15">
        <f>IF(ISNA(VLOOKUP(A107,'Données projet'!$A$165:$I$185,4,0)),0,VLOOKUP(A107,'Données projet'!$A$165:$I$185,4,0))</f>
        <v>35.979999999999997</v>
      </c>
      <c r="DX107" s="16">
        <f>IF(ISNA(VLOOKUP(A107,'Données projet'!$A$165:$I$185,5,0)),0%,VLOOKUP(A107,'Données projet'!$A$165:$I$185,5,0)*VLOOKUP('Données projet'!$B$14,Paramètres!$A$1:$I$89,7,0))</f>
        <v>0.25800000000000001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41.271528592161665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41.271528592161665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2.2737367544323206E-13</v>
      </c>
      <c r="EK107" s="17">
        <f>EJ107*VLOOKUP('Données projet'!$B$15,Paramètres!$A$1:$I$89,3,0)*VLOOKUP('Données projet'!$B$15,Paramètres!$A$1:$I$89,5,0)</f>
        <v>1.0049916454590858E-13</v>
      </c>
      <c r="EL107" s="13">
        <f t="shared" si="99"/>
        <v>1.5089081593838289E-12</v>
      </c>
      <c r="EM107" s="20">
        <f t="shared" si="73"/>
        <v>2.8030510891776262E-12</v>
      </c>
      <c r="EN107" s="59">
        <f t="shared" si="74"/>
        <v>280.41177969635908</v>
      </c>
      <c r="EO107" s="59">
        <f ca="1">AVERAGE(OFFSET($EN$3,0,0,'Données projet'!$E$15+1,1))-AVERAGE(OFFSET($H$3,0,0,'Données projet'!$E$15+1,1))</f>
        <v>339.23049610652492</v>
      </c>
      <c r="EP107" s="59">
        <f t="shared" si="100"/>
        <v>448.85057640789785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69.053979754503544</v>
      </c>
      <c r="EW107" s="21">
        <f>EXP(-LN(2)/25)*EW106+(1-EXP(-LN(2)/25))/(LN(2)/25)*Calculateur!ER107*Calculateur!ET107*VLOOKUP('Données projet'!$B$15,Paramètres!$A$1:$I$89,3,0)*0.475*44/12</f>
        <v>34.663235942634927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103.71721569713847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9.0474999999999994</v>
      </c>
      <c r="FE107" s="12">
        <f>IF('Données projet'!$A$218&gt;35,FE106+FD107-FM106,IF(A107&lt;'Données projet'!$A$218,$FB$205^A107,IF(A107='Données projet'!$A$218,'Données projet'!$B$218,FE106+FD107-FM106)))</f>
        <v>419.92250000000081</v>
      </c>
      <c r="FF107" s="17">
        <f>FE107*VLOOKUP('Données projet'!$B$16,Paramètres!$A$1:$I$89,3,0)*VLOOKUP('Données projet'!$B$16,Paramètres!$A$1:$I$89,5,0)</f>
        <v>196.52373000000037</v>
      </c>
      <c r="FG107" s="13">
        <f t="shared" si="101"/>
        <v>48.979410913349057</v>
      </c>
      <c r="FH107" s="20">
        <f t="shared" si="76"/>
        <v>427.58463709075022</v>
      </c>
      <c r="FI107" s="59">
        <f t="shared" si="77"/>
        <v>707.99641678710645</v>
      </c>
      <c r="FJ107" s="59">
        <f ca="1">AVERAGE(OFFSET($FI$3,0,0,'Données projet'!$E$16+1,1))-AVERAGE(OFFSET($H$3,0,0,'Données projet'!$E$16+1,1))</f>
        <v>365.63278362856033</v>
      </c>
      <c r="FK107" s="59">
        <f t="shared" si="102"/>
        <v>290.68267842697452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71.940903889383449</v>
      </c>
      <c r="FR107" s="21">
        <f>EXP(-LN(2)/25)*FR106+(1-EXP(-LN(2)/25))/(LN(2)/25)*Calculateur!FM107*Calculateur!FO107*VLOOKUP('Données projet'!$B$16,Paramètres!$A$1:$I$89,3,0)*0.475*44/12</f>
        <v>24.769442592289622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96.710346481673071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8.4183333333333312</v>
      </c>
      <c r="FZ107" s="12">
        <f>IF('Données projet'!$A$244&gt;35,FZ106+FY107-GH106,IF(A107&lt;'Données projet'!$A$244,$FW$205^A107,IF(A107='Données projet'!$A$244,'Données projet'!$B$244,FZ106+FY107-GH106)))</f>
        <v>326.67166666666679</v>
      </c>
      <c r="GA107" s="17">
        <f>FZ107*VLOOKUP('Données projet'!$B$17,Paramètres!$A$1:$I$89,3,0)*VLOOKUP('Données projet'!$B$17,Paramètres!$A$1:$I$89,5,0)</f>
        <v>280.28429000000017</v>
      </c>
      <c r="GB107" s="13">
        <f t="shared" si="103"/>
        <v>67.027083981668966</v>
      </c>
      <c r="GC107" s="20">
        <f t="shared" si="79"/>
        <v>604.90064301807365</v>
      </c>
      <c r="GD107" s="59">
        <f t="shared" si="80"/>
        <v>885.31242271442989</v>
      </c>
      <c r="GE107" s="59">
        <f ca="1">AVERAGE(OFFSET($GD$3,0,0,'Données projet'!$E$17+1,1))-AVERAGE(OFFSET($H$3,0,0,'Données projet'!$E$17+1,1))</f>
        <v>460.46300302025099</v>
      </c>
      <c r="GF107" s="59">
        <f t="shared" si="104"/>
        <v>340.22534554615879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57.702240925469347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57.702240925469347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66.475939917188086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1.1368683772161603E-13</v>
      </c>
      <c r="GV107" s="17">
        <f>GU107*VLOOKUP('Données projet'!$B$18,Paramètres!$A$1:$I$89,3,0)*VLOOKUP('Données projet'!$B$18,Paramètres!$A$1:$I$89,5,0)</f>
        <v>6.7984728957526396E-14</v>
      </c>
      <c r="GW107" s="13">
        <f t="shared" si="105"/>
        <v>1.0682447123141398E-12</v>
      </c>
      <c r="GX107" s="20">
        <f t="shared" si="82"/>
        <v>1.978932943548152E-12</v>
      </c>
      <c r="GY107" s="59">
        <f t="shared" si="83"/>
        <v>280.41177969635828</v>
      </c>
      <c r="GZ107" s="59">
        <f ca="1">AVERAGE(OFFSET($GY$3,0,0,'Données projet'!$E$18+1,1))-AVERAGE(OFFSET($H$3,0,0,'Données projet'!$E$18+1,1))</f>
        <v>-15.950000000000017</v>
      </c>
      <c r="HA107" s="59">
        <f t="shared" si="106"/>
        <v>-15.950000000000017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64.453866382340166</v>
      </c>
      <c r="HH107" s="21">
        <f>EXP(-LN(2)/25)*HH106+(1-EXP(-LN(2)/25))/(LN(2)/25)*Calculateur!HC107*Calculateur!HE107*VLOOKUP('Données projet'!$B$18,Paramètres!$A$1:$I$89,3,0)*0.475*44/12</f>
        <v>30.146069480904281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94.59993586324444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4.3499999999999996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15.949999999999998</v>
      </c>
      <c r="H108" s="67">
        <f t="shared" si="56"/>
        <v>192.86666666666667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-9.9316821433603781E-14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433.46721010558042</v>
      </c>
      <c r="T108" s="59">
        <f t="shared" si="88"/>
        <v>306.18862295347509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91.195830242278262</v>
      </c>
      <c r="AA108" s="21">
        <f>EXP(-LN(2)/25)*AA107+(1-EXP(-LN(2)/25))/(LN(2)/25)*Calculateur!V108*Calculateur!X108*VLOOKUP('Données projet'!$B$9,Paramètres!$A$1:$I$89,3,0)*0.475*44/12</f>
        <v>36.088226998518032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127.2840572407963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280.63593976369373</v>
      </c>
      <c r="AN108" s="59">
        <f ca="1">AVERAGE(OFFSET($AM$3,0,0,'Données projet'!$E$10+1,1))-AVERAGE(OFFSET($H$3,0,0,'Données projet'!$E$10+1,1))</f>
        <v>400.1942260113168</v>
      </c>
      <c r="AO108" s="59">
        <f t="shared" si="90"/>
        <v>497.04866930593926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63.189965375559133</v>
      </c>
      <c r="AV108" s="21">
        <f>EXP(-LN(2)/25)*AV107+(1-EXP(-LN(2)/25))/(LN(2)/25)*Calculateur!AQ108*Calculateur!AS108*VLOOKUP('Données projet'!$B$10,Paramètres!$A$1:$I$89,3,0)*0.475*44/12</f>
        <v>29.321723625636057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92.511689001195194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284.78505691662588</v>
      </c>
      <c r="BJ108" s="59">
        <f t="shared" si="92"/>
        <v>664.42623058686308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380.64318988568527</v>
      </c>
      <c r="CE108" s="59">
        <f t="shared" si="94"/>
        <v>885.24651320439159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36.055830650874974</v>
      </c>
      <c r="CL108" s="21">
        <f>EXP(-LN(2)/25)*CL107+(1-EXP(-LN(2)/25))/(LN(2)/25)*Calculateur!CG108*Calculateur!CI108*VLOOKUP('Données projet'!$B$12,Paramètres!$A$1:$I$89,3,0)*0.475*44/12</f>
        <v>5.1220498108716201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41.177880461746597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-1.1368683772161603E-13</v>
      </c>
      <c r="CU108" s="17">
        <f>CT108*VLOOKUP('Données projet'!$B$13,Paramètres!$A$1:$I$89,3,0)*VLOOKUP('Données projet'!$B$13,Paramètres!$A$1:$I$89,5,0)</f>
        <v>-6.3550942286383367E-14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404.10467005188889</v>
      </c>
      <c r="CZ108" s="59">
        <f t="shared" si="96"/>
        <v>372.70490129557845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118.06236107866073</v>
      </c>
      <c r="DG108" s="21">
        <f>EXP(-LN(2)/25)*DG107+(1-EXP(-LN(2)/25))/(LN(2)/25)*Calculateur!DB108*Calculateur!DD108*VLOOKUP('Données projet'!$B$13,Paramètres!$A$1:$I$89,3,0)*0.475*44/12</f>
        <v>49.365054630571599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167.42741570923232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6.1422222222222222</v>
      </c>
      <c r="DO108" s="12">
        <f>IF('Données projet'!$A$166&gt;35,DO107+DN108-DW107,IF(A108&lt;'Données projet'!$A$166,$DL$205^A108,IF(A108='Données projet'!$A$166,'Données projet'!$B$166,DO107+DN108-DW107)))</f>
        <v>216.92222222222219</v>
      </c>
      <c r="DP108" s="17">
        <f>DO108*VLOOKUP('Données projet'!$B$14,Paramètres!$A$1:$I$89,3,0)*VLOOKUP('Données projet'!$B$14,Paramètres!$A$1:$I$89,5,0)</f>
        <v>196.27122666666662</v>
      </c>
      <c r="DQ108" s="13">
        <f t="shared" si="97"/>
        <v>48.923800788254191</v>
      </c>
      <c r="DR108" s="20">
        <f t="shared" si="70"/>
        <v>427.04800615065375</v>
      </c>
      <c r="DS108" s="59">
        <f t="shared" si="71"/>
        <v>707.68394591434549</v>
      </c>
      <c r="DT108" s="59">
        <f ca="1">AVERAGE(OFFSET($DS$3,0,0,'Données projet'!$E$14+1,1))-AVERAGE(OFFSET($H$3,0,0,'Données projet'!$E$14+1,1))</f>
        <v>479.53113328461268</v>
      </c>
      <c r="DU108" s="59">
        <f t="shared" si="98"/>
        <v>244.6360664588118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40.462219089616177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40.462219089616177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2.2737367544323206E-13</v>
      </c>
      <c r="EK108" s="17">
        <f>EJ108*VLOOKUP('Données projet'!$B$15,Paramètres!$A$1:$I$89,3,0)*VLOOKUP('Données projet'!$B$15,Paramètres!$A$1:$I$89,5,0)</f>
        <v>1.0049916454590858E-13</v>
      </c>
      <c r="EL108" s="13">
        <f t="shared" si="99"/>
        <v>1.5089081593838289E-12</v>
      </c>
      <c r="EM108" s="20">
        <f t="shared" si="73"/>
        <v>2.8030510891776262E-12</v>
      </c>
      <c r="EN108" s="59">
        <f t="shared" si="74"/>
        <v>280.63593976369452</v>
      </c>
      <c r="EO108" s="59">
        <f ca="1">AVERAGE(OFFSET($EN$3,0,0,'Données projet'!$E$15+1,1))-AVERAGE(OFFSET($H$3,0,0,'Données projet'!$E$15+1,1))</f>
        <v>339.23049610652492</v>
      </c>
      <c r="EP108" s="59">
        <f t="shared" si="100"/>
        <v>448.85057640789785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67.699873330286493</v>
      </c>
      <c r="EW108" s="21">
        <f>EXP(-LN(2)/25)*EW107+(1-EXP(-LN(2)/25))/(LN(2)/25)*Calculateur!ER108*Calculateur!ET108*VLOOKUP('Données projet'!$B$15,Paramètres!$A$1:$I$89,3,0)*0.475*44/12</f>
        <v>33.715367932923222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101.41524126320971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9.0474999999999994</v>
      </c>
      <c r="FE108" s="12">
        <f>IF('Données projet'!$A$218&gt;35,FE107+FD108-FM107,IF(A108&lt;'Données projet'!$A$218,$FB$205^A108,IF(A108='Données projet'!$A$218,'Données projet'!$B$218,FE107+FD108-FM107)))</f>
        <v>428.97000000000082</v>
      </c>
      <c r="FF108" s="17">
        <f>FE108*VLOOKUP('Données projet'!$B$16,Paramètres!$A$1:$I$89,3,0)*VLOOKUP('Données projet'!$B$16,Paramètres!$A$1:$I$89,5,0)</f>
        <v>200.75796000000039</v>
      </c>
      <c r="FG108" s="13">
        <f t="shared" si="101"/>
        <v>49.910707702719861</v>
      </c>
      <c r="FH108" s="20">
        <f t="shared" si="76"/>
        <v>436.58126291557113</v>
      </c>
      <c r="FI108" s="59">
        <f t="shared" si="77"/>
        <v>717.21720267926287</v>
      </c>
      <c r="FJ108" s="59">
        <f ca="1">AVERAGE(OFFSET($FI$3,0,0,'Données projet'!$E$16+1,1))-AVERAGE(OFFSET($H$3,0,0,'Données projet'!$E$16+1,1))</f>
        <v>365.63278362856033</v>
      </c>
      <c r="FK108" s="59">
        <f t="shared" si="102"/>
        <v>290.68267842697452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70.530186643731255</v>
      </c>
      <c r="FR108" s="21">
        <f>EXP(-LN(2)/25)*FR107+(1-EXP(-LN(2)/25))/(LN(2)/25)*Calculateur!FM108*Calculateur!FO108*VLOOKUP('Données projet'!$B$16,Paramètres!$A$1:$I$89,3,0)*0.475*44/12</f>
        <v>24.092120882035086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94.622307525766345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>
        <f>VLOOKUP(A108,'Données projet'!$A$243:$I$263,2,0)</f>
        <v>335.09</v>
      </c>
      <c r="FX108" s="12">
        <f>VLOOKUP(A108,'Données projet'!$A$243:$I$263,9,0)</f>
        <v>8.4183333333333312</v>
      </c>
      <c r="FY108" s="12">
        <f t="array" ref="FY108">INDEX(FX:FX,MIN(IF(ISNUMBER(FX108:FX304),ROW(FX108:FX304),"")))</f>
        <v>8.4183333333333312</v>
      </c>
      <c r="FZ108" s="12">
        <f>IF('Données projet'!$A$244&gt;35,FZ107+FY108-GH107,IF(A108&lt;'Données projet'!$A$244,$FW$205^A108,IF(A108='Données projet'!$A$244,'Données projet'!$B$244,FZ107+FY108-GH107)))</f>
        <v>335.09000000000015</v>
      </c>
      <c r="GA108" s="17">
        <f>FZ108*VLOOKUP('Données projet'!$B$17,Paramètres!$A$1:$I$89,3,0)*VLOOKUP('Données projet'!$B$17,Paramètres!$A$1:$I$89,5,0)</f>
        <v>287.50722000000019</v>
      </c>
      <c r="GB108" s="13">
        <f t="shared" si="103"/>
        <v>68.55104902209861</v>
      </c>
      <c r="GC108" s="20">
        <f t="shared" si="79"/>
        <v>620.13481854682209</v>
      </c>
      <c r="GD108" s="59">
        <f t="shared" si="80"/>
        <v>900.77075831051388</v>
      </c>
      <c r="GE108" s="59">
        <f ca="1">AVERAGE(OFFSET($GD$3,0,0,'Données projet'!$E$17+1,1))-AVERAGE(OFFSET($H$3,0,0,'Données projet'!$E$17+1,1))</f>
        <v>460.46300302025099</v>
      </c>
      <c r="GF108" s="59">
        <f t="shared" si="104"/>
        <v>340.22534554615879</v>
      </c>
      <c r="GG108" s="15">
        <f>IF(ISNA(VLOOKUP(A108,'Données projet'!$A$243:$I$263,3,0)),0,VLOOKUP(A108,'Données projet'!$A$243:$I$263,3,0))</f>
        <v>6</v>
      </c>
      <c r="GH108" s="15">
        <f>IF(ISNA(VLOOKUP(A108,'Données projet'!$A$243:$I$263,4,0)),0,VLOOKUP(A108,'Données projet'!$A$243:$I$263,4,0))</f>
        <v>77.41</v>
      </c>
      <c r="GI108" s="16">
        <f>IF(ISNA(VLOOKUP(A108,'Données projet'!$A$243:$I$263,5,0)),0%,VLOOKUP(A108,'Données projet'!$A$243:$I$263,5,0)*VLOOKUP('Données projet'!$B$17,Paramètres!$A$1:$I$89,7,0))</f>
        <v>0.318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79.919213707471499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79.919213707471499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66.53707448100684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1.1368683772161603E-13</v>
      </c>
      <c r="GV108" s="17">
        <f>GU108*VLOOKUP('Données projet'!$B$18,Paramètres!$A$1:$I$89,3,0)*VLOOKUP('Données projet'!$B$18,Paramètres!$A$1:$I$89,5,0)</f>
        <v>6.7984728957526396E-14</v>
      </c>
      <c r="GW108" s="13">
        <f t="shared" si="105"/>
        <v>1.0682447123141398E-12</v>
      </c>
      <c r="GX108" s="20">
        <f t="shared" si="82"/>
        <v>1.978932943548152E-12</v>
      </c>
      <c r="GY108" s="59">
        <f t="shared" si="83"/>
        <v>280.63593976369373</v>
      </c>
      <c r="GZ108" s="59">
        <f ca="1">AVERAGE(OFFSET($GY$3,0,0,'Données projet'!$E$18+1,1))-AVERAGE(OFFSET($H$3,0,0,'Données projet'!$E$18+1,1))</f>
        <v>-15.950000000000017</v>
      </c>
      <c r="HA108" s="59">
        <f t="shared" si="106"/>
        <v>-15.950000000000017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63.189965375559133</v>
      </c>
      <c r="HH108" s="21">
        <f>EXP(-LN(2)/25)*HH107+(1-EXP(-LN(2)/25))/(LN(2)/25)*Calculateur!HC108*Calculateur!HE108*VLOOKUP('Données projet'!$B$18,Paramètres!$A$1:$I$89,3,0)*0.475*44/12</f>
        <v>29.321723625636057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92.511689001195194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4.3499999999999996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15.949999999999998</v>
      </c>
      <c r="H109" s="67">
        <f t="shared" si="56"/>
        <v>192.86666666666667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-9.9316821433603781E-14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433.46721010558042</v>
      </c>
      <c r="T109" s="59">
        <f t="shared" si="88"/>
        <v>306.18862295347509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89.407535635191223</v>
      </c>
      <c r="AA109" s="21">
        <f>EXP(-LN(2)/25)*AA108+(1-EXP(-LN(2)/25))/(LN(2)/25)*Calculateur!V109*Calculateur!X109*VLOOKUP('Données projet'!$B$9,Paramètres!$A$1:$I$89,3,0)*0.475*44/12</f>
        <v>35.10139253344618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124.5089281686374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280.85621115500766</v>
      </c>
      <c r="AN109" s="59">
        <f ca="1">AVERAGE(OFFSET($AM$3,0,0,'Données projet'!$E$10+1,1))-AVERAGE(OFFSET($H$3,0,0,'Données projet'!$E$10+1,1))</f>
        <v>400.1942260113168</v>
      </c>
      <c r="AO109" s="59">
        <f t="shared" si="90"/>
        <v>497.04866930593926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61.950848696617584</v>
      </c>
      <c r="AV109" s="21">
        <f>EXP(-LN(2)/25)*AV108+(1-EXP(-LN(2)/25))/(LN(2)/25)*Calculateur!AQ109*Calculateur!AS109*VLOOKUP('Données projet'!$B$10,Paramètres!$A$1:$I$89,3,0)*0.475*44/12</f>
        <v>28.519919551130609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90.470768247748197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284.78505691662588</v>
      </c>
      <c r="BJ109" s="59">
        <f t="shared" si="92"/>
        <v>664.42623058686308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380.64318988568527</v>
      </c>
      <c r="CE109" s="59">
        <f t="shared" si="94"/>
        <v>885.24651320439159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35.348797803696492</v>
      </c>
      <c r="CL109" s="21">
        <f>EXP(-LN(2)/25)*CL108+(1-EXP(-LN(2)/25))/(LN(2)/25)*Calculateur!CG109*Calculateur!CI109*VLOOKUP('Données projet'!$B$12,Paramètres!$A$1:$I$89,3,0)*0.475*44/12</f>
        <v>4.9819870894364424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40.330784893132936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-1.1368683772161603E-13</v>
      </c>
      <c r="CU109" s="17">
        <f>CT109*VLOOKUP('Données projet'!$B$13,Paramètres!$A$1:$I$89,3,0)*VLOOKUP('Données projet'!$B$13,Paramètres!$A$1:$I$89,5,0)</f>
        <v>-6.3550942286383367E-14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404.10467005188889</v>
      </c>
      <c r="CZ109" s="59">
        <f t="shared" si="96"/>
        <v>372.70490129557845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115.74723018883796</v>
      </c>
      <c r="DG109" s="21">
        <f>EXP(-LN(2)/25)*DG108+(1-EXP(-LN(2)/25))/(LN(2)/25)*Calculateur!DB109*Calculateur!DD109*VLOOKUP('Données projet'!$B$13,Paramètres!$A$1:$I$89,3,0)*0.475*44/12</f>
        <v>48.01516461570322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163.76239480454117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6.1422222222222222</v>
      </c>
      <c r="DO109" s="12">
        <f>IF('Données projet'!$A$166&gt;35,DO108+DN109-DW108,IF(A109&lt;'Données projet'!$A$166,$DL$205^A109,IF(A109='Données projet'!$A$166,'Données projet'!$B$166,DO108+DN109-DW108)))</f>
        <v>223.0644444444444</v>
      </c>
      <c r="DP109" s="17">
        <f>DO109*VLOOKUP('Données projet'!$B$14,Paramètres!$A$1:$I$89,3,0)*VLOOKUP('Données projet'!$B$14,Paramètres!$A$1:$I$89,5,0)</f>
        <v>201.82870933333331</v>
      </c>
      <c r="DQ109" s="13">
        <f t="shared" si="97"/>
        <v>50.145849541363276</v>
      </c>
      <c r="DR109" s="20">
        <f t="shared" si="70"/>
        <v>438.85569004009653</v>
      </c>
      <c r="DS109" s="59">
        <f t="shared" si="71"/>
        <v>719.7119011951022</v>
      </c>
      <c r="DT109" s="59">
        <f ca="1">AVERAGE(OFFSET($DS$3,0,0,'Données projet'!$E$14+1,1))-AVERAGE(OFFSET($H$3,0,0,'Données projet'!$E$14+1,1))</f>
        <v>479.53113328461268</v>
      </c>
      <c r="DU109" s="59">
        <f t="shared" si="98"/>
        <v>244.6360664588118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39.668779652785545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39.668779652785545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2.2737367544323206E-13</v>
      </c>
      <c r="EK109" s="17">
        <f>EJ109*VLOOKUP('Données projet'!$B$15,Paramètres!$A$1:$I$89,3,0)*VLOOKUP('Données projet'!$B$15,Paramètres!$A$1:$I$89,5,0)</f>
        <v>1.0049916454590858E-13</v>
      </c>
      <c r="EL109" s="13">
        <f t="shared" si="99"/>
        <v>1.5089081593838289E-12</v>
      </c>
      <c r="EM109" s="20">
        <f t="shared" si="73"/>
        <v>2.8030510891776262E-12</v>
      </c>
      <c r="EN109" s="59">
        <f t="shared" si="74"/>
        <v>280.85621115500845</v>
      </c>
      <c r="EO109" s="59">
        <f ca="1">AVERAGE(OFFSET($EN$3,0,0,'Données projet'!$E$15+1,1))-AVERAGE(OFFSET($H$3,0,0,'Données projet'!$E$15+1,1))</f>
        <v>339.23049610652492</v>
      </c>
      <c r="EP109" s="59">
        <f t="shared" si="100"/>
        <v>448.85057640789785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66.372320107124978</v>
      </c>
      <c r="EW109" s="21">
        <f>EXP(-LN(2)/25)*EW108+(1-EXP(-LN(2)/25))/(LN(2)/25)*Calculateur!ER109*Calculateur!ET109*VLOOKUP('Données projet'!$B$15,Paramètres!$A$1:$I$89,3,0)*0.475*44/12</f>
        <v>32.793419423783291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99.165739530908269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9.0474999999999994</v>
      </c>
      <c r="FE109" s="12">
        <f>IF('Données projet'!$A$218&gt;35,FE108+FD109-FM108,IF(A109&lt;'Données projet'!$A$218,$FB$205^A109,IF(A109='Données projet'!$A$218,'Données projet'!$B$218,FE108+FD109-FM108)))</f>
        <v>438.01750000000084</v>
      </c>
      <c r="FF109" s="17">
        <f>FE109*VLOOKUP('Données projet'!$B$16,Paramètres!$A$1:$I$89,3,0)*VLOOKUP('Données projet'!$B$16,Paramètres!$A$1:$I$89,5,0)</f>
        <v>204.99219000000039</v>
      </c>
      <c r="FG109" s="13">
        <f t="shared" si="101"/>
        <v>50.839720767115892</v>
      </c>
      <c r="FH109" s="20">
        <f t="shared" si="76"/>
        <v>445.57391125272744</v>
      </c>
      <c r="FI109" s="59">
        <f t="shared" si="77"/>
        <v>726.43012240773305</v>
      </c>
      <c r="FJ109" s="59">
        <f ca="1">AVERAGE(OFFSET($FI$3,0,0,'Données projet'!$E$16+1,1))-AVERAGE(OFFSET($H$3,0,0,'Données projet'!$E$16+1,1))</f>
        <v>365.63278362856033</v>
      </c>
      <c r="FK109" s="59">
        <f t="shared" si="102"/>
        <v>290.68267842697452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69.147132702813749</v>
      </c>
      <c r="FR109" s="21">
        <f>EXP(-LN(2)/25)*FR108+(1-EXP(-LN(2)/25))/(LN(2)/25)*Calculateur!FM109*Calculateur!FO109*VLOOKUP('Données projet'!$B$16,Paramètres!$A$1:$I$89,3,0)*0.475*44/12</f>
        <v>23.433320569566263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92.580453272380012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7.619166666666672</v>
      </c>
      <c r="FZ109" s="12">
        <f>IF('Données projet'!$A$244&gt;35,FZ108+FY109-GH108,IF(A109&lt;'Données projet'!$A$244,$FW$205^A109,IF(A109='Données projet'!$A$244,'Données projet'!$B$244,FZ108+FY109-GH108)))</f>
        <v>265.29916666666679</v>
      </c>
      <c r="GA109" s="17">
        <f>FZ109*VLOOKUP('Données projet'!$B$17,Paramètres!$A$1:$I$89,3,0)*VLOOKUP('Données projet'!$B$17,Paramètres!$A$1:$I$89,5,0)</f>
        <v>227.62668500000012</v>
      </c>
      <c r="GB109" s="13">
        <f t="shared" si="103"/>
        <v>55.769205967193329</v>
      </c>
      <c r="GC109" s="20">
        <f t="shared" si="79"/>
        <v>493.58117676786196</v>
      </c>
      <c r="GD109" s="59">
        <f t="shared" si="80"/>
        <v>774.43738792286763</v>
      </c>
      <c r="GE109" s="59">
        <f ca="1">AVERAGE(OFFSET($GD$3,0,0,'Données projet'!$E$17+1,1))-AVERAGE(OFFSET($H$3,0,0,'Données projet'!$E$17+1,1))</f>
        <v>460.46300302025099</v>
      </c>
      <c r="GF109" s="59">
        <f t="shared" si="104"/>
        <v>340.22534554615879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78.352046672575085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78.352046672575085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66.597148496819727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1.1368683772161603E-13</v>
      </c>
      <c r="GV109" s="17">
        <f>GU109*VLOOKUP('Données projet'!$B$18,Paramètres!$A$1:$I$89,3,0)*VLOOKUP('Données projet'!$B$18,Paramètres!$A$1:$I$89,5,0)</f>
        <v>6.7984728957526396E-14</v>
      </c>
      <c r="GW109" s="13">
        <f t="shared" si="105"/>
        <v>1.0682447123141398E-12</v>
      </c>
      <c r="GX109" s="20">
        <f t="shared" si="82"/>
        <v>1.978932943548152E-12</v>
      </c>
      <c r="GY109" s="59">
        <f t="shared" si="83"/>
        <v>280.85621115500766</v>
      </c>
      <c r="GZ109" s="59">
        <f ca="1">AVERAGE(OFFSET($GY$3,0,0,'Données projet'!$E$18+1,1))-AVERAGE(OFFSET($H$3,0,0,'Données projet'!$E$18+1,1))</f>
        <v>-15.950000000000017</v>
      </c>
      <c r="HA109" s="59">
        <f t="shared" si="106"/>
        <v>-15.950000000000017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61.950848696617584</v>
      </c>
      <c r="HH109" s="21">
        <f>EXP(-LN(2)/25)*HH108+(1-EXP(-LN(2)/25))/(LN(2)/25)*Calculateur!HC109*Calculateur!HE109*VLOOKUP('Données projet'!$B$18,Paramètres!$A$1:$I$89,3,0)*0.475*44/12</f>
        <v>28.519919551130609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90.470768247748197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4.3499999999999996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15.949999999999998</v>
      </c>
      <c r="H110" s="67">
        <f t="shared" si="56"/>
        <v>192.86666666666667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-9.9316821433603781E-14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433.46721010558042</v>
      </c>
      <c r="T110" s="59">
        <f t="shared" si="88"/>
        <v>306.18862295347509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87.654308394597152</v>
      </c>
      <c r="AA110" s="21">
        <f>EXP(-LN(2)/25)*AA109+(1-EXP(-LN(2)/25))/(LN(2)/25)*Calculateur!V110*Calculateur!X110*VLOOKUP('Données projet'!$B$9,Paramètres!$A$1:$I$89,3,0)*0.475*44/12</f>
        <v>34.141543108717087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121.79585150331424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281.07266133013536</v>
      </c>
      <c r="AN110" s="59">
        <f ca="1">AVERAGE(OFFSET($AM$3,0,0,'Données projet'!$E$10+1,1))-AVERAGE(OFFSET($H$3,0,0,'Données projet'!$E$10+1,1))</f>
        <v>400.1942260113168</v>
      </c>
      <c r="AO110" s="59">
        <f t="shared" si="90"/>
        <v>497.04866930593926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60.736030339963534</v>
      </c>
      <c r="AV110" s="21">
        <f>EXP(-LN(2)/25)*AV109+(1-EXP(-LN(2)/25))/(LN(2)/25)*Calculateur!AQ110*Calculateur!AS110*VLOOKUP('Données projet'!$B$10,Paramètres!$A$1:$I$89,3,0)*0.475*44/12</f>
        <v>27.740040851207556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88.476071191171087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284.78505691662588</v>
      </c>
      <c r="BJ110" s="59">
        <f t="shared" si="92"/>
        <v>664.42623058686308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380.64318988568527</v>
      </c>
      <c r="CE110" s="59">
        <f t="shared" si="94"/>
        <v>885.24651320439159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34.655629439403725</v>
      </c>
      <c r="CL110" s="21">
        <f>EXP(-LN(2)/25)*CL109+(1-EXP(-LN(2)/25))/(LN(2)/25)*Calculateur!CG110*Calculateur!CI110*VLOOKUP('Données projet'!$B$12,Paramètres!$A$1:$I$89,3,0)*0.475*44/12</f>
        <v>4.8457543904844886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39.501383829888212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-1.1368683772161603E-13</v>
      </c>
      <c r="CU110" s="17">
        <f>CT110*VLOOKUP('Données projet'!$B$13,Paramètres!$A$1:$I$89,3,0)*VLOOKUP('Données projet'!$B$13,Paramètres!$A$1:$I$89,5,0)</f>
        <v>-6.3550942286383367E-14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404.10467005188889</v>
      </c>
      <c r="CZ110" s="59">
        <f t="shared" si="96"/>
        <v>372.70490129557845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113.47749760367421</v>
      </c>
      <c r="DG110" s="21">
        <f>EXP(-LN(2)/25)*DG109+(1-EXP(-LN(2)/25))/(LN(2)/25)*Calculateur!DB110*Calculateur!DD110*VLOOKUP('Données projet'!$B$13,Paramètres!$A$1:$I$89,3,0)*0.475*44/12</f>
        <v>46.702187414279052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160.17968501795326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6.1422222222222222</v>
      </c>
      <c r="DO110" s="12">
        <f>IF('Données projet'!$A$166&gt;35,DO109+DN110-DW109,IF(A110&lt;'Données projet'!$A$166,$DL$205^A110,IF(A110='Données projet'!$A$166,'Données projet'!$B$166,DO109+DN110-DW109)))</f>
        <v>229.20666666666662</v>
      </c>
      <c r="DP110" s="17">
        <f>DO110*VLOOKUP('Données projet'!$B$14,Paramètres!$A$1:$I$89,3,0)*VLOOKUP('Données projet'!$B$14,Paramètres!$A$1:$I$89,5,0)</f>
        <v>207.38619199999997</v>
      </c>
      <c r="DQ110" s="13">
        <f t="shared" si="97"/>
        <v>51.363987194835225</v>
      </c>
      <c r="DR110" s="20">
        <f t="shared" si="70"/>
        <v>450.65656209767127</v>
      </c>
      <c r="DS110" s="59">
        <f t="shared" si="71"/>
        <v>731.72922342780464</v>
      </c>
      <c r="DT110" s="59">
        <f ca="1">AVERAGE(OFFSET($DS$3,0,0,'Données projet'!$E$14+1,1))-AVERAGE(OFFSET($H$3,0,0,'Données projet'!$E$14+1,1))</f>
        <v>479.53113328461268</v>
      </c>
      <c r="DU110" s="59">
        <f t="shared" si="98"/>
        <v>244.6360664588118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38.890899079360892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38.890899079360892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2.2737367544323206E-13</v>
      </c>
      <c r="EK110" s="17">
        <f>EJ110*VLOOKUP('Données projet'!$B$15,Paramètres!$A$1:$I$89,3,0)*VLOOKUP('Données projet'!$B$15,Paramètres!$A$1:$I$89,5,0)</f>
        <v>1.0049916454590858E-13</v>
      </c>
      <c r="EL110" s="13">
        <f t="shared" si="99"/>
        <v>1.5089081593838289E-12</v>
      </c>
      <c r="EM110" s="20">
        <f t="shared" si="73"/>
        <v>2.8030510891776262E-12</v>
      </c>
      <c r="EN110" s="59">
        <f t="shared" si="74"/>
        <v>281.07266133013616</v>
      </c>
      <c r="EO110" s="59">
        <f ca="1">AVERAGE(OFFSET($EN$3,0,0,'Données projet'!$E$15+1,1))-AVERAGE(OFFSET($H$3,0,0,'Données projet'!$E$15+1,1))</f>
        <v>339.23049610652492</v>
      </c>
      <c r="EP110" s="59">
        <f t="shared" si="100"/>
        <v>448.85057640789785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65.070799392942149</v>
      </c>
      <c r="EW110" s="21">
        <f>EXP(-LN(2)/25)*EW109+(1-EXP(-LN(2)/25))/(LN(2)/25)*Calculateur!ER110*Calculateur!ET110*VLOOKUP('Données projet'!$B$15,Paramètres!$A$1:$I$89,3,0)*0.475*44/12</f>
        <v>31.896681645108959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96.967481038051105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9.0474999999999994</v>
      </c>
      <c r="FE110" s="12">
        <f>IF('Données projet'!$A$218&gt;35,FE109+FD110-FM109,IF(A110&lt;'Données projet'!$A$218,$FB$205^A110,IF(A110='Données projet'!$A$218,'Données projet'!$B$218,FE109+FD110-FM109)))</f>
        <v>447.06500000000085</v>
      </c>
      <c r="FF110" s="17">
        <f>FE110*VLOOKUP('Données projet'!$B$16,Paramètres!$A$1:$I$89,3,0)*VLOOKUP('Données projet'!$B$16,Paramètres!$A$1:$I$89,5,0)</f>
        <v>209.22642000000042</v>
      </c>
      <c r="FG110" s="13">
        <f t="shared" si="101"/>
        <v>51.76650271324506</v>
      </c>
      <c r="FH110" s="20">
        <f t="shared" si="76"/>
        <v>454.56267372556914</v>
      </c>
      <c r="FI110" s="59">
        <f t="shared" si="77"/>
        <v>735.63533505570251</v>
      </c>
      <c r="FJ110" s="59">
        <f ca="1">AVERAGE(OFFSET($FI$3,0,0,'Données projet'!$E$16+1,1))-AVERAGE(OFFSET($H$3,0,0,'Données projet'!$E$16+1,1))</f>
        <v>365.63278362856033</v>
      </c>
      <c r="FK110" s="59">
        <f t="shared" si="102"/>
        <v>290.68267842697452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67.791199606098033</v>
      </c>
      <c r="FR110" s="21">
        <f>EXP(-LN(2)/25)*FR109+(1-EXP(-LN(2)/25))/(LN(2)/25)*Calculateur!FM110*Calculateur!FO110*VLOOKUP('Données projet'!$B$16,Paramètres!$A$1:$I$89,3,0)*0.475*44/12</f>
        <v>22.792535186286702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90.583734792384732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7.619166666666672</v>
      </c>
      <c r="FZ110" s="12">
        <f>IF('Données projet'!$A$244&gt;35,FZ109+FY110-GH109,IF(A110&lt;'Données projet'!$A$244,$FW$205^A110,IF(A110='Données projet'!$A$244,'Données projet'!$B$244,FZ109+FY110-GH109)))</f>
        <v>272.91833333333346</v>
      </c>
      <c r="GA110" s="17">
        <f>FZ110*VLOOKUP('Données projet'!$B$17,Paramètres!$A$1:$I$89,3,0)*VLOOKUP('Données projet'!$B$17,Paramètres!$A$1:$I$89,5,0)</f>
        <v>234.16393000000016</v>
      </c>
      <c r="GB110" s="13">
        <f t="shared" si="103"/>
        <v>57.182078233444145</v>
      </c>
      <c r="GC110" s="20">
        <f t="shared" si="79"/>
        <v>507.42763100658209</v>
      </c>
      <c r="GD110" s="59">
        <f t="shared" si="80"/>
        <v>788.50029233671546</v>
      </c>
      <c r="GE110" s="59">
        <f ca="1">AVERAGE(OFFSET($GD$3,0,0,'Données projet'!$E$17+1,1))-AVERAGE(OFFSET($H$3,0,0,'Données projet'!$E$17+1,1))</f>
        <v>460.46300302025099</v>
      </c>
      <c r="GF110" s="59">
        <f t="shared" si="104"/>
        <v>340.22534554615879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76.815610827355485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76.815610827355485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66.656180362763649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1.1368683772161603E-13</v>
      </c>
      <c r="GV110" s="17">
        <f>GU110*VLOOKUP('Données projet'!$B$18,Paramètres!$A$1:$I$89,3,0)*VLOOKUP('Données projet'!$B$18,Paramètres!$A$1:$I$89,5,0)</f>
        <v>6.7984728957526396E-14</v>
      </c>
      <c r="GW110" s="13">
        <f t="shared" si="105"/>
        <v>1.0682447123141398E-12</v>
      </c>
      <c r="GX110" s="20">
        <f t="shared" si="82"/>
        <v>1.978932943548152E-12</v>
      </c>
      <c r="GY110" s="59">
        <f t="shared" si="83"/>
        <v>281.07266133013536</v>
      </c>
      <c r="GZ110" s="59">
        <f ca="1">AVERAGE(OFFSET($GY$3,0,0,'Données projet'!$E$18+1,1))-AVERAGE(OFFSET($H$3,0,0,'Données projet'!$E$18+1,1))</f>
        <v>-15.950000000000017</v>
      </c>
      <c r="HA110" s="59">
        <f t="shared" si="106"/>
        <v>-15.950000000000017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60.736030339963534</v>
      </c>
      <c r="HH110" s="21">
        <f>EXP(-LN(2)/25)*HH109+(1-EXP(-LN(2)/25))/(LN(2)/25)*Calculateur!HC110*Calculateur!HE110*VLOOKUP('Données projet'!$B$18,Paramètres!$A$1:$I$89,3,0)*0.475*44/12</f>
        <v>27.740040851207556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88.476071191171087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4.3499999999999996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15.949999999999998</v>
      </c>
      <c r="H111" s="67">
        <f t="shared" si="56"/>
        <v>192.86666666666667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-9.9316821433603781E-14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433.46721010558042</v>
      </c>
      <c r="T111" s="59">
        <f t="shared" si="88"/>
        <v>306.18862295347509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85.935460870828109</v>
      </c>
      <c r="AA111" s="21">
        <f>EXP(-LN(2)/25)*AA110+(1-EXP(-LN(2)/25))/(LN(2)/25)*Calculateur!V111*Calculateur!X111*VLOOKUP('Données projet'!$B$9,Paramètres!$A$1:$I$89,3,0)*0.475*44/12</f>
        <v>33.207940816983495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119.1434016878116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281.28535657863472</v>
      </c>
      <c r="AN111" s="59">
        <f ca="1">AVERAGE(OFFSET($AM$3,0,0,'Données projet'!$E$10+1,1))-AVERAGE(OFFSET($H$3,0,0,'Données projet'!$E$10+1,1))</f>
        <v>400.1942260113168</v>
      </c>
      <c r="AO111" s="59">
        <f t="shared" si="90"/>
        <v>497.04866930593926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59.545033830317436</v>
      </c>
      <c r="AV111" s="21">
        <f>EXP(-LN(2)/25)*AV110+(1-EXP(-LN(2)/25))/(LN(2)/25)*Calculateur!AQ111*Calculateur!AS111*VLOOKUP('Données projet'!$B$10,Paramètres!$A$1:$I$89,3,0)*0.475*44/12</f>
        <v>26.981487975345939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86.526521805663378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284.78505691662588</v>
      </c>
      <c r="BJ111" s="59">
        <f t="shared" si="92"/>
        <v>664.42623058686308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380.64318988568527</v>
      </c>
      <c r="CE111" s="59">
        <f t="shared" si="94"/>
        <v>885.24651320439159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33.976053683943789</v>
      </c>
      <c r="CL111" s="21">
        <f>EXP(-LN(2)/25)*CL110+(1-EXP(-LN(2)/25))/(LN(2)/25)*Calculateur!CG111*Calculateur!CI111*VLOOKUP('Données projet'!$B$12,Paramètres!$A$1:$I$89,3,0)*0.475*44/12</f>
        <v>4.7132469818495419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38.689300665793333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-1.1368683772161603E-13</v>
      </c>
      <c r="CU111" s="17">
        <f>CT111*VLOOKUP('Données projet'!$B$13,Paramètres!$A$1:$I$89,3,0)*VLOOKUP('Données projet'!$B$13,Paramètres!$A$1:$I$89,5,0)</f>
        <v>-6.3550942286383367E-14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404.10467005188889</v>
      </c>
      <c r="CZ111" s="59">
        <f t="shared" si="96"/>
        <v>372.70490129557845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111.25227309010533</v>
      </c>
      <c r="DG111" s="21">
        <f>EXP(-LN(2)/25)*DG110+(1-EXP(-LN(2)/25))/(LN(2)/25)*Calculateur!DB111*Calculateur!DD111*VLOOKUP('Données projet'!$B$13,Paramètres!$A$1:$I$89,3,0)*0.475*44/12</f>
        <v>45.425113643474297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156.67738673357962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6.1422222222222222</v>
      </c>
      <c r="DO111" s="12">
        <f>IF('Données projet'!$A$166&gt;35,DO110+DN111-DW110,IF(A111&lt;'Données projet'!$A$166,$DL$205^A111,IF(A111='Données projet'!$A$166,'Données projet'!$B$166,DO110+DN111-DW110)))</f>
        <v>235.34888888888884</v>
      </c>
      <c r="DP111" s="17">
        <f>DO111*VLOOKUP('Données projet'!$B$14,Paramètres!$A$1:$I$89,3,0)*VLOOKUP('Données projet'!$B$14,Paramètres!$A$1:$I$89,5,0)</f>
        <v>212.9436746666666</v>
      </c>
      <c r="DQ111" s="13">
        <f t="shared" si="97"/>
        <v>52.578330603073567</v>
      </c>
      <c r="DR111" s="20">
        <f t="shared" si="70"/>
        <v>462.45082584479741</v>
      </c>
      <c r="DS111" s="59">
        <f t="shared" si="71"/>
        <v>743.73618242343014</v>
      </c>
      <c r="DT111" s="59">
        <f ca="1">AVERAGE(OFFSET($DS$3,0,0,'Données projet'!$E$14+1,1))-AVERAGE(OFFSET($H$3,0,0,'Données projet'!$E$14+1,1))</f>
        <v>479.53113328461268</v>
      </c>
      <c r="DU111" s="59">
        <f t="shared" si="98"/>
        <v>244.6360664588118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38.128272269520799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38.128272269520799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2.2737367544323206E-13</v>
      </c>
      <c r="EK111" s="17">
        <f>EJ111*VLOOKUP('Données projet'!$B$15,Paramètres!$A$1:$I$89,3,0)*VLOOKUP('Données projet'!$B$15,Paramètres!$A$1:$I$89,5,0)</f>
        <v>1.0049916454590858E-13</v>
      </c>
      <c r="EL111" s="13">
        <f t="shared" si="99"/>
        <v>1.5089081593838289E-12</v>
      </c>
      <c r="EM111" s="20">
        <f t="shared" si="73"/>
        <v>2.8030510891776262E-12</v>
      </c>
      <c r="EN111" s="59">
        <f t="shared" si="74"/>
        <v>281.28535657863551</v>
      </c>
      <c r="EO111" s="59">
        <f ca="1">AVERAGE(OFFSET($EN$3,0,0,'Données projet'!$E$15+1,1))-AVERAGE(OFFSET($H$3,0,0,'Données projet'!$E$15+1,1))</f>
        <v>339.23049610652492</v>
      </c>
      <c r="EP111" s="59">
        <f t="shared" si="100"/>
        <v>448.85057640789785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63.794800706115197</v>
      </c>
      <c r="EW111" s="21">
        <f>EXP(-LN(2)/25)*EW110+(1-EXP(-LN(2)/25))/(LN(2)/25)*Calculateur!ER111*Calculateur!ET111*VLOOKUP('Données projet'!$B$15,Paramètres!$A$1:$I$89,3,0)*0.475*44/12</f>
        <v>31.024465208149866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94.81926591426506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9.0474999999999994</v>
      </c>
      <c r="FE111" s="12">
        <f>IF('Données projet'!$A$218&gt;35,FE110+FD111-FM110,IF(A111&lt;'Données projet'!$A$218,$FB$205^A111,IF(A111='Données projet'!$A$218,'Données projet'!$B$218,FE110+FD111-FM110)))</f>
        <v>456.11250000000086</v>
      </c>
      <c r="FF111" s="17">
        <f>FE111*VLOOKUP('Données projet'!$B$16,Paramètres!$A$1:$I$89,3,0)*VLOOKUP('Données projet'!$B$16,Paramètres!$A$1:$I$89,5,0)</f>
        <v>213.46065000000041</v>
      </c>
      <c r="FG111" s="13">
        <f t="shared" si="101"/>
        <v>52.691103896821531</v>
      </c>
      <c r="FH111" s="20">
        <f t="shared" si="76"/>
        <v>463.54763803696488</v>
      </c>
      <c r="FI111" s="59">
        <f t="shared" si="77"/>
        <v>744.83299461559761</v>
      </c>
      <c r="FJ111" s="59">
        <f ca="1">AVERAGE(OFFSET($FI$3,0,0,'Données projet'!$E$16+1,1))-AVERAGE(OFFSET($H$3,0,0,'Données projet'!$E$16+1,1))</f>
        <v>365.63278362856033</v>
      </c>
      <c r="FK111" s="59">
        <f t="shared" si="102"/>
        <v>290.68267842697452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66.46185553037138</v>
      </c>
      <c r="FR111" s="21">
        <f>EXP(-LN(2)/25)*FR110+(1-EXP(-LN(2)/25))/(LN(2)/25)*Calculateur!FM111*Calculateur!FO111*VLOOKUP('Données projet'!$B$16,Paramètres!$A$1:$I$89,3,0)*0.475*44/12</f>
        <v>22.169272113010361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88.631127643381745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7.619166666666672</v>
      </c>
      <c r="FZ111" s="12">
        <f>IF('Données projet'!$A$244&gt;35,FZ110+FY111-GH110,IF(A111&lt;'Données projet'!$A$244,$FW$205^A111,IF(A111='Données projet'!$A$244,'Données projet'!$B$244,FZ110+FY111-GH110)))</f>
        <v>280.53750000000014</v>
      </c>
      <c r="GA111" s="17">
        <f>FZ111*VLOOKUP('Données projet'!$B$17,Paramètres!$A$1:$I$89,3,0)*VLOOKUP('Données projet'!$B$17,Paramètres!$A$1:$I$89,5,0)</f>
        <v>240.70117500000015</v>
      </c>
      <c r="GB111" s="13">
        <f t="shared" si="103"/>
        <v>58.590366075331005</v>
      </c>
      <c r="GC111" s="20">
        <f t="shared" si="79"/>
        <v>521.26610070620177</v>
      </c>
      <c r="GD111" s="59">
        <f t="shared" si="80"/>
        <v>802.55145728483444</v>
      </c>
      <c r="GE111" s="59">
        <f ca="1">AVERAGE(OFFSET($GD$3,0,0,'Données projet'!$E$17+1,1))-AVERAGE(OFFSET($H$3,0,0,'Données projet'!$E$17+1,1))</f>
        <v>460.46300302025099</v>
      </c>
      <c r="GF111" s="59">
        <f t="shared" si="104"/>
        <v>340.22534554615879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75.309303551927314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75.309303551927314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66.714188157808934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1.1368683772161603E-13</v>
      </c>
      <c r="GV111" s="17">
        <f>GU111*VLOOKUP('Données projet'!$B$18,Paramètres!$A$1:$I$89,3,0)*VLOOKUP('Données projet'!$B$18,Paramètres!$A$1:$I$89,5,0)</f>
        <v>6.7984728957526396E-14</v>
      </c>
      <c r="GW111" s="13">
        <f t="shared" si="105"/>
        <v>1.0682447123141398E-12</v>
      </c>
      <c r="GX111" s="20">
        <f t="shared" si="82"/>
        <v>1.978932943548152E-12</v>
      </c>
      <c r="GY111" s="59">
        <f t="shared" si="83"/>
        <v>281.28535657863472</v>
      </c>
      <c r="GZ111" s="59">
        <f ca="1">AVERAGE(OFFSET($GY$3,0,0,'Données projet'!$E$18+1,1))-AVERAGE(OFFSET($H$3,0,0,'Données projet'!$E$18+1,1))</f>
        <v>-15.950000000000017</v>
      </c>
      <c r="HA111" s="59">
        <f t="shared" si="106"/>
        <v>-15.950000000000017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59.545033830317436</v>
      </c>
      <c r="HH111" s="21">
        <f>EXP(-LN(2)/25)*HH110+(1-EXP(-LN(2)/25))/(LN(2)/25)*Calculateur!HC111*Calculateur!HE111*VLOOKUP('Données projet'!$B$18,Paramètres!$A$1:$I$89,3,0)*0.475*44/12</f>
        <v>26.981487975345939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86.526521805663378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4.3499999999999996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15.949999999999998</v>
      </c>
      <c r="H112" s="67">
        <f t="shared" si="56"/>
        <v>192.86666666666667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-9.9316821433603781E-14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433.46721010558042</v>
      </c>
      <c r="T112" s="59">
        <f t="shared" si="88"/>
        <v>306.18862295347509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84.250318898606707</v>
      </c>
      <c r="AA112" s="21">
        <f>EXP(-LN(2)/25)*AA111+(1-EXP(-LN(2)/25))/(LN(2)/25)*Calculateur!V112*Calculateur!X112*VLOOKUP('Données projet'!$B$9,Paramètres!$A$1:$I$89,3,0)*0.475*44/12</f>
        <v>32.299867929013374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116.55018682762008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281.49436204008799</v>
      </c>
      <c r="AN112" s="59">
        <f ca="1">AVERAGE(OFFSET($AM$3,0,0,'Données projet'!$E$10+1,1))-AVERAGE(OFFSET($H$3,0,0,'Données projet'!$E$10+1,1))</f>
        <v>400.1942260113168</v>
      </c>
      <c r="AO112" s="59">
        <f t="shared" si="90"/>
        <v>497.04866930593926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58.377392035789356</v>
      </c>
      <c r="AV112" s="21">
        <f>EXP(-LN(2)/25)*AV111+(1-EXP(-LN(2)/25))/(LN(2)/25)*Calculateur!AQ112*Calculateur!AS112*VLOOKUP('Données projet'!$B$10,Paramètres!$A$1:$I$89,3,0)*0.475*44/12</f>
        <v>26.24367776776532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84.621069803554676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284.78505691662588</v>
      </c>
      <c r="BJ112" s="59">
        <f t="shared" si="92"/>
        <v>664.42623058686308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380.64318988568527</v>
      </c>
      <c r="CE112" s="59">
        <f t="shared" si="94"/>
        <v>885.24651320439159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33.30980399454814</v>
      </c>
      <c r="CL112" s="21">
        <f>EXP(-LN(2)/25)*CL111+(1-EXP(-LN(2)/25))/(LN(2)/25)*Calculateur!CG112*Calculateur!CI112*VLOOKUP('Données projet'!$B$12,Paramètres!$A$1:$I$89,3,0)*0.475*44/12</f>
        <v>4.58436299527198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37.894166989820121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-1.1368683772161603E-13</v>
      </c>
      <c r="CU112" s="17">
        <f>CT112*VLOOKUP('Données projet'!$B$13,Paramètres!$A$1:$I$89,3,0)*VLOOKUP('Données projet'!$B$13,Paramètres!$A$1:$I$89,5,0)</f>
        <v>-6.3550942286383367E-14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404.10467005188889</v>
      </c>
      <c r="CZ112" s="59">
        <f t="shared" si="96"/>
        <v>372.70490129557845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109.07068387199462</v>
      </c>
      <c r="DG112" s="21">
        <f>EXP(-LN(2)/25)*DG111+(1-EXP(-LN(2)/25))/(LN(2)/25)*Calculateur!DB112*Calculateur!DD112*VLOOKUP('Données projet'!$B$13,Paramètres!$A$1:$I$89,3,0)*0.475*44/12</f>
        <v>44.182961522090586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153.2536453940852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6.1422222222222222</v>
      </c>
      <c r="DO112" s="12">
        <f>IF('Données projet'!$A$166&gt;35,DO111+DN112-DW111,IF(A112&lt;'Données projet'!$A$166,$DL$205^A112,IF(A112='Données projet'!$A$166,'Données projet'!$B$166,DO111+DN112-DW111)))</f>
        <v>241.49111111111105</v>
      </c>
      <c r="DP112" s="17">
        <f>DO112*VLOOKUP('Données projet'!$B$14,Paramètres!$A$1:$I$89,3,0)*VLOOKUP('Données projet'!$B$14,Paramètres!$A$1:$I$89,5,0)</f>
        <v>218.50115733333325</v>
      </c>
      <c r="DQ112" s="13">
        <f t="shared" si="97"/>
        <v>53.788990173661979</v>
      </c>
      <c r="DR112" s="20">
        <f t="shared" si="70"/>
        <v>474.23867357468339</v>
      </c>
      <c r="DS112" s="59">
        <f t="shared" si="71"/>
        <v>755.73303561476939</v>
      </c>
      <c r="DT112" s="59">
        <f ca="1">AVERAGE(OFFSET($DS$3,0,0,'Données projet'!$E$14+1,1))-AVERAGE(OFFSET($H$3,0,0,'Données projet'!$E$14+1,1))</f>
        <v>479.53113328461268</v>
      </c>
      <c r="DU112" s="59">
        <f t="shared" si="98"/>
        <v>244.6360664588118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37.380600106265248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37.380600106265248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2.2737367544323206E-13</v>
      </c>
      <c r="EK112" s="17">
        <f>EJ112*VLOOKUP('Données projet'!$B$15,Paramètres!$A$1:$I$89,3,0)*VLOOKUP('Données projet'!$B$15,Paramètres!$A$1:$I$89,5,0)</f>
        <v>1.0049916454590858E-13</v>
      </c>
      <c r="EL112" s="13">
        <f t="shared" si="99"/>
        <v>1.5089081593838289E-12</v>
      </c>
      <c r="EM112" s="20">
        <f t="shared" si="73"/>
        <v>2.8030510891776262E-12</v>
      </c>
      <c r="EN112" s="59">
        <f t="shared" si="74"/>
        <v>281.49436204008879</v>
      </c>
      <c r="EO112" s="59">
        <f ca="1">AVERAGE(OFFSET($EN$3,0,0,'Données projet'!$E$15+1,1))-AVERAGE(OFFSET($H$3,0,0,'Données projet'!$E$15+1,1))</f>
        <v>339.23049610652492</v>
      </c>
      <c r="EP112" s="59">
        <f t="shared" si="100"/>
        <v>448.85057640789785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62.543823575254571</v>
      </c>
      <c r="EW112" s="21">
        <f>EXP(-LN(2)/25)*EW111+(1-EXP(-LN(2)/25))/(LN(2)/25)*Calculateur!ER112*Calculateur!ET112*VLOOKUP('Données projet'!$B$15,Paramètres!$A$1:$I$89,3,0)*0.475*44/12</f>
        <v>30.176099575527289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92.719923150781852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>
        <f>VLOOKUP(A112,'Données projet'!$A$217:$I$237,2,0)</f>
        <v>465.16</v>
      </c>
      <c r="FC112" s="12">
        <f>VLOOKUP(A112,'Données projet'!$A$217:$I$237,9,0)</f>
        <v>9.0474999999999994</v>
      </c>
      <c r="FD112" s="12">
        <f t="array" ref="FD112">INDEX(FC:FC,MIN(IF(ISNUMBER(FC112:FC308),ROW(FC112:FC308),"")))</f>
        <v>9.0474999999999994</v>
      </c>
      <c r="FE112" s="12">
        <f>IF('Données projet'!$A$218&gt;35,FE111+FD112-FM111,IF(A112&lt;'Données projet'!$A$218,$FB$205^A112,IF(A112='Données projet'!$A$218,'Données projet'!$B$218,FE111+FD112-FM111)))</f>
        <v>465.16000000000088</v>
      </c>
      <c r="FF112" s="17">
        <f>FE112*VLOOKUP('Données projet'!$B$16,Paramètres!$A$1:$I$89,3,0)*VLOOKUP('Données projet'!$B$16,Paramètres!$A$1:$I$89,5,0)</f>
        <v>217.69488000000038</v>
      </c>
      <c r="FG112" s="13">
        <f t="shared" si="101"/>
        <v>53.613572561591781</v>
      </c>
      <c r="FH112" s="20">
        <f t="shared" si="76"/>
        <v>472.52888821143966</v>
      </c>
      <c r="FI112" s="59">
        <f t="shared" si="77"/>
        <v>754.02325025152572</v>
      </c>
      <c r="FJ112" s="59">
        <f ca="1">AVERAGE(OFFSET($FI$3,0,0,'Données projet'!$E$16+1,1))-AVERAGE(OFFSET($H$3,0,0,'Données projet'!$E$16+1,1))</f>
        <v>365.63278362856033</v>
      </c>
      <c r="FK112" s="59">
        <f t="shared" si="102"/>
        <v>290.68267842697452</v>
      </c>
      <c r="FL112" s="15">
        <f>IF(ISNA(VLOOKUP(A112,'Données projet'!$A$217:$I$237,3,0)),0,VLOOKUP(A112,'Données projet'!$A$217:$I$237,3,0))</f>
        <v>6</v>
      </c>
      <c r="FM112" s="15">
        <f>IF(ISNA(VLOOKUP(A112,'Données projet'!$A$217:$I$237,4,0)),0,VLOOKUP(A112,'Données projet'!$A$217:$I$237,4,0))</f>
        <v>91.09</v>
      </c>
      <c r="FN112" s="16">
        <f>IF(ISNA(VLOOKUP(A112,'Données projet'!$A$217:$I$237,5,0)),0%,VLOOKUP(A112,'Données projet'!$A$217:$I$237,5,0)*VLOOKUP('Données projet'!$B$16,Paramètres!$A$1:$I$89,7,0))</f>
        <v>0.38500000000000001</v>
      </c>
      <c r="FO112" s="16">
        <f>IF(ISNA(VLOOKUP(A112,'Données projet'!$A$217:$I$237,6,0)),0%,VLOOKUP(A112,'Données projet'!$A$217:$I$237,6,0)*VLOOKUP('Données projet'!$B$16,Paramètres!$A$1:$I$89,7,0))</f>
        <v>0.16500000000000001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86.930945821551987</v>
      </c>
      <c r="FR112" s="21">
        <f>EXP(-LN(2)/25)*FR111+(1-EXP(-LN(2)/25))/(LN(2)/25)*Calculateur!FM112*Calculateur!FO112*VLOOKUP('Données projet'!$B$16,Paramètres!$A$1:$I$89,3,0)*0.475*44/12</f>
        <v>30.857326759801449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117.78827258135344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7.619166666666672</v>
      </c>
      <c r="FZ112" s="12">
        <f>IF('Données projet'!$A$244&gt;35,FZ111+FY112-GH111,IF(A112&lt;'Données projet'!$A$244,$FW$205^A112,IF(A112='Données projet'!$A$244,'Données projet'!$B$244,FZ111+FY112-GH111)))</f>
        <v>288.15666666666681</v>
      </c>
      <c r="GA112" s="17">
        <f>FZ112*VLOOKUP('Données projet'!$B$17,Paramètres!$A$1:$I$89,3,0)*VLOOKUP('Données projet'!$B$17,Paramètres!$A$1:$I$89,5,0)</f>
        <v>247.23842000000013</v>
      </c>
      <c r="GB112" s="13">
        <f t="shared" si="103"/>
        <v>59.994208309975086</v>
      </c>
      <c r="GC112" s="20">
        <f t="shared" si="79"/>
        <v>535.09682763987348</v>
      </c>
      <c r="GD112" s="59">
        <f t="shared" si="80"/>
        <v>816.59118967995948</v>
      </c>
      <c r="GE112" s="59">
        <f ca="1">AVERAGE(OFFSET($GD$3,0,0,'Données projet'!$E$17+1,1))-AVERAGE(OFFSET($H$3,0,0,'Données projet'!$E$17+1,1))</f>
        <v>460.46300302025099</v>
      </c>
      <c r="GF112" s="59">
        <f t="shared" si="104"/>
        <v>340.22534554615879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73.832534043413574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73.832534043413574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66.771189647296183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1.1368683772161603E-13</v>
      </c>
      <c r="GV112" s="17">
        <f>GU112*VLOOKUP('Données projet'!$B$18,Paramètres!$A$1:$I$89,3,0)*VLOOKUP('Données projet'!$B$18,Paramètres!$A$1:$I$89,5,0)</f>
        <v>6.7984728957526396E-14</v>
      </c>
      <c r="GW112" s="13">
        <f t="shared" si="105"/>
        <v>1.0682447123141398E-12</v>
      </c>
      <c r="GX112" s="20">
        <f t="shared" si="82"/>
        <v>1.978932943548152E-12</v>
      </c>
      <c r="GY112" s="59">
        <f t="shared" si="83"/>
        <v>281.49436204008799</v>
      </c>
      <c r="GZ112" s="59">
        <f ca="1">AVERAGE(OFFSET($GY$3,0,0,'Données projet'!$E$18+1,1))-AVERAGE(OFFSET($H$3,0,0,'Données projet'!$E$18+1,1))</f>
        <v>-15.950000000000017</v>
      </c>
      <c r="HA112" s="59">
        <f t="shared" si="106"/>
        <v>-15.950000000000017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58.377392035789356</v>
      </c>
      <c r="HH112" s="21">
        <f>EXP(-LN(2)/25)*HH111+(1-EXP(-LN(2)/25))/(LN(2)/25)*Calculateur!HC112*Calculateur!HE112*VLOOKUP('Données projet'!$B$18,Paramètres!$A$1:$I$89,3,0)*0.475*44/12</f>
        <v>26.24367776776532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84.621069803554676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4.3499999999999996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15.949999999999998</v>
      </c>
      <c r="H113" s="67">
        <f t="shared" si="56"/>
        <v>192.86666666666667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-9.9316821433603781E-14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433.46721010558042</v>
      </c>
      <c r="T113" s="59">
        <f t="shared" si="88"/>
        <v>306.18862295347509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82.598221532625445</v>
      </c>
      <c r="AA113" s="21">
        <f>EXP(-LN(2)/25)*AA112+(1-EXP(-LN(2)/25))/(LN(2)/25)*Calculateur!V113*Calculateur!X113*VLOOKUP('Données projet'!$B$9,Paramètres!$A$1:$I$89,3,0)*0.475*44/12</f>
        <v>31.416626341918271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114.01484787454372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281.69974172405119</v>
      </c>
      <c r="AN113" s="59">
        <f ca="1">AVERAGE(OFFSET($AM$3,0,0,'Données projet'!$E$10+1,1))-AVERAGE(OFFSET($H$3,0,0,'Données projet'!$E$10+1,1))</f>
        <v>400.1942260113168</v>
      </c>
      <c r="AO113" s="59">
        <f t="shared" si="90"/>
        <v>497.04866930593926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57.232646984660796</v>
      </c>
      <c r="AV113" s="21">
        <f>EXP(-LN(2)/25)*AV112+(1-EXP(-LN(2)/25))/(LN(2)/25)*Calculateur!AQ113*Calculateur!AS113*VLOOKUP('Données projet'!$B$10,Paramètres!$A$1:$I$89,3,0)*0.475*44/12</f>
        <v>25.526043019110745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82.758690003771534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284.78505691662588</v>
      </c>
      <c r="BJ113" s="59">
        <f t="shared" si="92"/>
        <v>664.42623058686308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380.64318988568527</v>
      </c>
      <c r="CE113" s="59">
        <f t="shared" si="94"/>
        <v>885.24651320439159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32.656619055189353</v>
      </c>
      <c r="CL113" s="21">
        <f>EXP(-LN(2)/25)*CL112+(1-EXP(-LN(2)/25))/(LN(2)/25)*Calculateur!CG113*Calculateur!CI113*VLOOKUP('Données projet'!$B$12,Paramètres!$A$1:$I$89,3,0)*0.475*44/12</f>
        <v>4.4590033480850959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37.11562240327445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-1.1368683772161603E-13</v>
      </c>
      <c r="CU113" s="17">
        <f>CT113*VLOOKUP('Données projet'!$B$13,Paramètres!$A$1:$I$89,3,0)*VLOOKUP('Données projet'!$B$13,Paramètres!$A$1:$I$89,5,0)</f>
        <v>-6.3550942286383367E-14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404.10467005188889</v>
      </c>
      <c r="CZ113" s="59">
        <f t="shared" si="96"/>
        <v>372.70490129557845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106.93187428781302</v>
      </c>
      <c r="DG113" s="21">
        <f>EXP(-LN(2)/25)*DG112+(1-EXP(-LN(2)/25))/(LN(2)/25)*Calculateur!DB113*Calculateur!DD113*VLOOKUP('Données projet'!$B$13,Paramètres!$A$1:$I$89,3,0)*0.475*44/12</f>
        <v>42.974776115788053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149.90665040360108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6.1422222222222222</v>
      </c>
      <c r="DO113" s="12">
        <f>IF('Données projet'!$A$166&gt;35,DO112+DN113-DW112,IF(A113&lt;'Données projet'!$A$166,$DL$205^A113,IF(A113='Données projet'!$A$166,'Données projet'!$B$166,DO112+DN113-DW112)))</f>
        <v>247.63333333333327</v>
      </c>
      <c r="DP113" s="17">
        <f>DO113*VLOOKUP('Données projet'!$B$14,Paramètres!$A$1:$I$89,3,0)*VLOOKUP('Données projet'!$B$14,Paramètres!$A$1:$I$89,5,0)</f>
        <v>224.05863999999994</v>
      </c>
      <c r="DQ113" s="13">
        <f t="shared" si="97"/>
        <v>54.996070377833384</v>
      </c>
      <c r="DR113" s="20">
        <f t="shared" si="70"/>
        <v>486.02028724139296</v>
      </c>
      <c r="DS113" s="59">
        <f t="shared" si="71"/>
        <v>767.72002896544222</v>
      </c>
      <c r="DT113" s="59">
        <f ca="1">AVERAGE(OFFSET($DS$3,0,0,'Données projet'!$E$14+1,1))-AVERAGE(OFFSET($H$3,0,0,'Données projet'!$E$14+1,1))</f>
        <v>479.53113328461268</v>
      </c>
      <c r="DU113" s="59">
        <f t="shared" si="98"/>
        <v>244.6360664588118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36.647589338096147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36.647589338096147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2.2737367544323206E-13</v>
      </c>
      <c r="EK113" s="17">
        <f>EJ113*VLOOKUP('Données projet'!$B$15,Paramètres!$A$1:$I$89,3,0)*VLOOKUP('Données projet'!$B$15,Paramètres!$A$1:$I$89,5,0)</f>
        <v>1.0049916454590858E-13</v>
      </c>
      <c r="EL113" s="13">
        <f t="shared" si="99"/>
        <v>1.5089081593838289E-12</v>
      </c>
      <c r="EM113" s="20">
        <f t="shared" si="73"/>
        <v>2.8030510891776262E-12</v>
      </c>
      <c r="EN113" s="59">
        <f t="shared" si="74"/>
        <v>281.69974172405199</v>
      </c>
      <c r="EO113" s="59">
        <f ca="1">AVERAGE(OFFSET($EN$3,0,0,'Données projet'!$E$15+1,1))-AVERAGE(OFFSET($H$3,0,0,'Données projet'!$E$15+1,1))</f>
        <v>339.23049610652492</v>
      </c>
      <c r="EP113" s="59">
        <f t="shared" si="100"/>
        <v>448.85057640789785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61.31737734290941</v>
      </c>
      <c r="EW113" s="21">
        <f>EXP(-LN(2)/25)*EW112+(1-EXP(-LN(2)/25))/(LN(2)/25)*Calculateur!ER113*Calculateur!ET113*VLOOKUP('Données projet'!$B$15,Paramètres!$A$1:$I$89,3,0)*0.475*44/12</f>
        <v>29.350932545742388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90.668309888651805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8.0958333333333314</v>
      </c>
      <c r="FE113" s="12">
        <f>IF('Données projet'!$A$218&gt;35,FE112+FD113-FM112,IF(A113&lt;'Données projet'!$A$218,$FB$205^A113,IF(A113='Données projet'!$A$218,'Données projet'!$B$218,FE112+FD113-FM112)))</f>
        <v>382.16583333333415</v>
      </c>
      <c r="FF113" s="17">
        <f>FE113*VLOOKUP('Données projet'!$B$16,Paramètres!$A$1:$I$89,3,0)*VLOOKUP('Données projet'!$B$16,Paramètres!$A$1:$I$89,5,0)</f>
        <v>178.85361000000037</v>
      </c>
      <c r="FG113" s="13">
        <f t="shared" si="101"/>
        <v>45.067040749095575</v>
      </c>
      <c r="FH113" s="20">
        <f t="shared" si="76"/>
        <v>389.99513338800875</v>
      </c>
      <c r="FI113" s="59">
        <f t="shared" si="77"/>
        <v>671.69487511205796</v>
      </c>
      <c r="FJ113" s="59">
        <f ca="1">AVERAGE(OFFSET($FI$3,0,0,'Données projet'!$E$16+1,1))-AVERAGE(OFFSET($H$3,0,0,'Données projet'!$E$16+1,1))</f>
        <v>365.63278362856033</v>
      </c>
      <c r="FK113" s="59">
        <f t="shared" si="102"/>
        <v>290.68267842697452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85.226282996632747</v>
      </c>
      <c r="FR113" s="21">
        <f>EXP(-LN(2)/25)*FR112+(1-EXP(-LN(2)/25))/(LN(2)/25)*Calculateur!FM113*Calculateur!FO113*VLOOKUP('Données projet'!$B$16,Paramètres!$A$1:$I$89,3,0)*0.475*44/12</f>
        <v>30.013531536838389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115.23981453347113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7.619166666666672</v>
      </c>
      <c r="FZ113" s="12">
        <f>IF('Données projet'!$A$244&gt;35,FZ112+FY113-GH112,IF(A113&lt;'Données projet'!$A$244,$FW$205^A113,IF(A113='Données projet'!$A$244,'Données projet'!$B$244,FZ112+FY113-GH112)))</f>
        <v>295.77583333333348</v>
      </c>
      <c r="GA113" s="17">
        <f>FZ113*VLOOKUP('Données projet'!$B$17,Paramètres!$A$1:$I$89,3,0)*VLOOKUP('Données projet'!$B$17,Paramètres!$A$1:$I$89,5,0)</f>
        <v>253.77566500000017</v>
      </c>
      <c r="GB113" s="13">
        <f t="shared" si="103"/>
        <v>61.393735995524423</v>
      </c>
      <c r="GC113" s="20">
        <f t="shared" si="79"/>
        <v>548.92004006720538</v>
      </c>
      <c r="GD113" s="59">
        <f t="shared" si="80"/>
        <v>830.61978179125458</v>
      </c>
      <c r="GE113" s="59">
        <f ca="1">AVERAGE(OFFSET($GD$3,0,0,'Données projet'!$E$17+1,1))-AVERAGE(OFFSET($H$3,0,0,'Données projet'!$E$17+1,1))</f>
        <v>460.46300302025099</v>
      </c>
      <c r="GF113" s="59">
        <f t="shared" si="104"/>
        <v>340.22534554615879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72.384723084221321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72.384723084221321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66.827202288377052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1.1368683772161603E-13</v>
      </c>
      <c r="GV113" s="17">
        <f>GU113*VLOOKUP('Données projet'!$B$18,Paramètres!$A$1:$I$89,3,0)*VLOOKUP('Données projet'!$B$18,Paramètres!$A$1:$I$89,5,0)</f>
        <v>6.7984728957526396E-14</v>
      </c>
      <c r="GW113" s="13">
        <f t="shared" si="105"/>
        <v>1.0682447123141398E-12</v>
      </c>
      <c r="GX113" s="20">
        <f t="shared" si="82"/>
        <v>1.978932943548152E-12</v>
      </c>
      <c r="GY113" s="59">
        <f t="shared" si="83"/>
        <v>281.69974172405119</v>
      </c>
      <c r="GZ113" s="59">
        <f ca="1">AVERAGE(OFFSET($GY$3,0,0,'Données projet'!$E$18+1,1))-AVERAGE(OFFSET($H$3,0,0,'Données projet'!$E$18+1,1))</f>
        <v>-15.950000000000017</v>
      </c>
      <c r="HA113" s="59">
        <f t="shared" si="106"/>
        <v>-15.950000000000017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57.232646984660796</v>
      </c>
      <c r="HH113" s="21">
        <f>EXP(-LN(2)/25)*HH112+(1-EXP(-LN(2)/25))/(LN(2)/25)*Calculateur!HC113*Calculateur!HE113*VLOOKUP('Données projet'!$B$18,Paramètres!$A$1:$I$89,3,0)*0.475*44/12</f>
        <v>25.526043019110745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82.758690003771534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4.3499999999999996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15.949999999999998</v>
      </c>
      <c r="H114" s="67">
        <f t="shared" si="56"/>
        <v>192.86666666666667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-9.9316821433603781E-14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433.46721010558042</v>
      </c>
      <c r="T114" s="59">
        <f t="shared" si="88"/>
        <v>306.18862295347509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80.978520788311187</v>
      </c>
      <c r="AA114" s="21">
        <f>EXP(-LN(2)/25)*AA113+(1-EXP(-LN(2)/25))/(LN(2)/25)*Calculateur!V114*Calculateur!X114*VLOOKUP('Données projet'!$B$9,Paramètres!$A$1:$I$89,3,0)*0.475*44/12</f>
        <v>30.557537042469939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111.53605783078112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281.90155852965779</v>
      </c>
      <c r="AN114" s="59">
        <f ca="1">AVERAGE(OFFSET($AM$3,0,0,'Données projet'!$E$10+1,1))-AVERAGE(OFFSET($H$3,0,0,'Données projet'!$E$10+1,1))</f>
        <v>400.1942260113168</v>
      </c>
      <c r="AO114" s="59">
        <f t="shared" si="90"/>
        <v>497.04866930593926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56.110349685759331</v>
      </c>
      <c r="AV114" s="21">
        <f>EXP(-LN(2)/25)*AV113+(1-EXP(-LN(2)/25))/(LN(2)/25)*Calculateur!AQ114*Calculateur!AS114*VLOOKUP('Données projet'!$B$10,Paramètres!$A$1:$I$89,3,0)*0.475*44/12</f>
        <v>24.828032030396898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80.938381716156229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284.78505691662588</v>
      </c>
      <c r="BJ114" s="59">
        <f t="shared" si="92"/>
        <v>664.42623058686308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380.64318988568527</v>
      </c>
      <c r="CE114" s="59">
        <f t="shared" si="94"/>
        <v>885.24651320439159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32.01624267408792</v>
      </c>
      <c r="CL114" s="21">
        <f>EXP(-LN(2)/25)*CL113+(1-EXP(-LN(2)/25))/(LN(2)/25)*Calculateur!CG114*Calculateur!CI114*VLOOKUP('Données projet'!$B$12,Paramètres!$A$1:$I$89,3,0)*0.475*44/12</f>
        <v>4.3370716670429141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36.353314341130833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-1.1368683772161603E-13</v>
      </c>
      <c r="CU114" s="17">
        <f>CT114*VLOOKUP('Données projet'!$B$13,Paramètres!$A$1:$I$89,3,0)*VLOOKUP('Données projet'!$B$13,Paramètres!$A$1:$I$89,5,0)</f>
        <v>-6.3550942286383367E-14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404.10467005188889</v>
      </c>
      <c r="CZ114" s="59">
        <f t="shared" si="96"/>
        <v>372.70490129557845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104.83500545503217</v>
      </c>
      <c r="DG114" s="21">
        <f>EXP(-LN(2)/25)*DG113+(1-EXP(-LN(2)/25))/(LN(2)/25)*Calculateur!DB114*Calculateur!DD114*VLOOKUP('Données projet'!$B$13,Paramètres!$A$1:$I$89,3,0)*0.475*44/12</f>
        <v>41.799628602956574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146.63463405798876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6.1422222222222222</v>
      </c>
      <c r="DO114" s="12">
        <f>IF('Données projet'!$A$166&gt;35,DO113+DN114-DW113,IF(A114&lt;'Données projet'!$A$166,$DL$205^A114,IF(A114='Données projet'!$A$166,'Données projet'!$B$166,DO113+DN114-DW113)))</f>
        <v>253.77555555555548</v>
      </c>
      <c r="DP114" s="17">
        <f>DO114*VLOOKUP('Données projet'!$B$14,Paramètres!$A$1:$I$89,3,0)*VLOOKUP('Données projet'!$B$14,Paramètres!$A$1:$I$89,5,0)</f>
        <v>229.6161226666666</v>
      </c>
      <c r="DQ114" s="13">
        <f t="shared" si="97"/>
        <v>56.199670208866976</v>
      </c>
      <c r="DR114" s="20">
        <f t="shared" si="70"/>
        <v>497.79583925822095</v>
      </c>
      <c r="DS114" s="59">
        <f t="shared" si="71"/>
        <v>779.69739778787675</v>
      </c>
      <c r="DT114" s="59">
        <f ca="1">AVERAGE(OFFSET($DS$3,0,0,'Données projet'!$E$14+1,1))-AVERAGE(OFFSET($H$3,0,0,'Données projet'!$E$14+1,1))</f>
        <v>479.53113328461268</v>
      </c>
      <c r="DU114" s="59">
        <f t="shared" si="98"/>
        <v>244.6360664588118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35.928952463998421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35.928952463998421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2.2737367544323206E-13</v>
      </c>
      <c r="EK114" s="17">
        <f>EJ114*VLOOKUP('Données projet'!$B$15,Paramètres!$A$1:$I$89,3,0)*VLOOKUP('Données projet'!$B$15,Paramètres!$A$1:$I$89,5,0)</f>
        <v>1.0049916454590858E-13</v>
      </c>
      <c r="EL114" s="13">
        <f t="shared" si="99"/>
        <v>1.5089081593838289E-12</v>
      </c>
      <c r="EM114" s="20">
        <f t="shared" si="73"/>
        <v>2.8030510891776262E-12</v>
      </c>
      <c r="EN114" s="59">
        <f t="shared" si="74"/>
        <v>281.90155852965859</v>
      </c>
      <c r="EO114" s="59">
        <f ca="1">AVERAGE(OFFSET($EN$3,0,0,'Données projet'!$E$15+1,1))-AVERAGE(OFFSET($H$3,0,0,'Données projet'!$E$15+1,1))</f>
        <v>339.23049610652492</v>
      </c>
      <c r="EP114" s="59">
        <f t="shared" si="100"/>
        <v>448.85057640789785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60.114980973122201</v>
      </c>
      <c r="EW114" s="21">
        <f>EXP(-LN(2)/25)*EW113+(1-EXP(-LN(2)/25))/(LN(2)/25)*Calculateur!ER114*Calculateur!ET114*VLOOKUP('Données projet'!$B$15,Paramètres!$A$1:$I$89,3,0)*0.475*44/12</f>
        <v>28.548329751780603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88.6633107249028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8.0958333333333314</v>
      </c>
      <c r="FE114" s="12">
        <f>IF('Données projet'!$A$218&gt;35,FE113+FD114-FM113,IF(A114&lt;'Données projet'!$A$218,$FB$205^A114,IF(A114='Données projet'!$A$218,'Données projet'!$B$218,FE113+FD114-FM113)))</f>
        <v>390.26166666666745</v>
      </c>
      <c r="FF114" s="17">
        <f>FE114*VLOOKUP('Données projet'!$B$16,Paramètres!$A$1:$I$89,3,0)*VLOOKUP('Données projet'!$B$16,Paramètres!$A$1:$I$89,5,0)</f>
        <v>182.6424600000004</v>
      </c>
      <c r="FG114" s="13">
        <f t="shared" si="101"/>
        <v>45.909585257164984</v>
      </c>
      <c r="FH114" s="20">
        <f t="shared" si="76"/>
        <v>398.06147882289639</v>
      </c>
      <c r="FI114" s="59">
        <f t="shared" si="77"/>
        <v>679.96303735255219</v>
      </c>
      <c r="FJ114" s="59">
        <f ca="1">AVERAGE(OFFSET($FI$3,0,0,'Données projet'!$E$16+1,1))-AVERAGE(OFFSET($H$3,0,0,'Données projet'!$E$16+1,1))</f>
        <v>365.63278362856033</v>
      </c>
      <c r="FK114" s="59">
        <f t="shared" si="102"/>
        <v>290.68267842697452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83.555047569968522</v>
      </c>
      <c r="FR114" s="21">
        <f>EXP(-LN(2)/25)*FR113+(1-EXP(-LN(2)/25))/(LN(2)/25)*Calculateur!FM114*Calculateur!FO114*VLOOKUP('Données projet'!$B$16,Paramètres!$A$1:$I$89,3,0)*0.475*44/12</f>
        <v>29.192809938620517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112.74785750858904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7.619166666666672</v>
      </c>
      <c r="FZ114" s="12">
        <f>IF('Données projet'!$A$244&gt;35,FZ113+FY114-GH113,IF(A114&lt;'Données projet'!$A$244,$FW$205^A114,IF(A114='Données projet'!$A$244,'Données projet'!$B$244,FZ113+FY114-GH113)))</f>
        <v>303.39500000000015</v>
      </c>
      <c r="GA114" s="17">
        <f>FZ114*VLOOKUP('Données projet'!$B$17,Paramètres!$A$1:$I$89,3,0)*VLOOKUP('Données projet'!$B$17,Paramètres!$A$1:$I$89,5,0)</f>
        <v>260.31291000000016</v>
      </c>
      <c r="GB114" s="13">
        <f t="shared" si="103"/>
        <v>62.789073053375837</v>
      </c>
      <c r="GC114" s="20">
        <f t="shared" si="79"/>
        <v>562.73595381796315</v>
      </c>
      <c r="GD114" s="59">
        <f t="shared" si="80"/>
        <v>844.63751234761889</v>
      </c>
      <c r="GE114" s="59">
        <f ca="1">AVERAGE(OFFSET($GD$3,0,0,'Données projet'!$E$17+1,1))-AVERAGE(OFFSET($H$3,0,0,'Données projet'!$E$17+1,1))</f>
        <v>460.46300302025099</v>
      </c>
      <c r="GF114" s="59">
        <f t="shared" si="104"/>
        <v>340.22534554615879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70.965302814861346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70.965302814861346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66.882243235360676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1.1368683772161603E-13</v>
      </c>
      <c r="GV114" s="17">
        <f>GU114*VLOOKUP('Données projet'!$B$18,Paramètres!$A$1:$I$89,3,0)*VLOOKUP('Données projet'!$B$18,Paramètres!$A$1:$I$89,5,0)</f>
        <v>6.7984728957526396E-14</v>
      </c>
      <c r="GW114" s="13">
        <f t="shared" si="105"/>
        <v>1.0682447123141398E-12</v>
      </c>
      <c r="GX114" s="20">
        <f t="shared" si="82"/>
        <v>1.978932943548152E-12</v>
      </c>
      <c r="GY114" s="59">
        <f t="shared" si="83"/>
        <v>281.90155852965779</v>
      </c>
      <c r="GZ114" s="59">
        <f ca="1">AVERAGE(OFFSET($GY$3,0,0,'Données projet'!$E$18+1,1))-AVERAGE(OFFSET($H$3,0,0,'Données projet'!$E$18+1,1))</f>
        <v>-15.950000000000017</v>
      </c>
      <c r="HA114" s="59">
        <f t="shared" si="106"/>
        <v>-15.950000000000017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56.110349685759331</v>
      </c>
      <c r="HH114" s="21">
        <f>EXP(-LN(2)/25)*HH113+(1-EXP(-LN(2)/25))/(LN(2)/25)*Calculateur!HC114*Calculateur!HE114*VLOOKUP('Données projet'!$B$18,Paramètres!$A$1:$I$89,3,0)*0.475*44/12</f>
        <v>24.828032030396898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80.938381716156229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4.3499999999999996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15.949999999999998</v>
      </c>
      <c r="H115" s="67">
        <f t="shared" si="56"/>
        <v>192.86666666666667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-9.9316821433603781E-14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433.46721010558042</v>
      </c>
      <c r="T115" s="59">
        <f t="shared" si="88"/>
        <v>306.18862295347509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79.390581387673024</v>
      </c>
      <c r="AA115" s="21">
        <f>EXP(-LN(2)/25)*AA114+(1-EXP(-LN(2)/25))/(LN(2)/25)*Calculateur!V115*Calculateur!X115*VLOOKUP('Données projet'!$B$9,Paramètres!$A$1:$I$89,3,0)*0.475*44/12</f>
        <v>29.721939585092564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109.11252097276559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282.09987426488203</v>
      </c>
      <c r="AN115" s="59">
        <f ca="1">AVERAGE(OFFSET($AM$3,0,0,'Données projet'!$E$10+1,1))-AVERAGE(OFFSET($H$3,0,0,'Données projet'!$E$10+1,1))</f>
        <v>400.1942260113168</v>
      </c>
      <c r="AO115" s="59">
        <f t="shared" si="90"/>
        <v>497.04866930593926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55.010059952355569</v>
      </c>
      <c r="AV115" s="21">
        <f>EXP(-LN(2)/25)*AV114+(1-EXP(-LN(2)/25))/(LN(2)/25)*Calculateur!AQ115*Calculateur!AS115*VLOOKUP('Données projet'!$B$10,Paramètres!$A$1:$I$89,3,0)*0.475*44/12</f>
        <v>24.149108188876234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79.159168141231802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284.78505691662588</v>
      </c>
      <c r="BJ115" s="59">
        <f t="shared" si="92"/>
        <v>664.42623058686308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380.64318988568527</v>
      </c>
      <c r="CE115" s="59">
        <f t="shared" si="94"/>
        <v>885.24651320439159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31.388423683228858</v>
      </c>
      <c r="CL115" s="21">
        <f>EXP(-LN(2)/25)*CL114+(1-EXP(-LN(2)/25))/(LN(2)/25)*Calculateur!CG115*Calculateur!CI115*VLOOKUP('Données projet'!$B$12,Paramètres!$A$1:$I$89,3,0)*0.475*44/12</f>
        <v>4.2184742142309393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35.606897897459795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-1.1368683772161603E-13</v>
      </c>
      <c r="CU115" s="17">
        <f>CT115*VLOOKUP('Données projet'!$B$13,Paramètres!$A$1:$I$89,3,0)*VLOOKUP('Données projet'!$B$13,Paramètres!$A$1:$I$89,5,0)</f>
        <v>-6.3550942286383367E-14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404.10467005188889</v>
      </c>
      <c r="CZ115" s="59">
        <f t="shared" si="96"/>
        <v>372.70490129557845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102.77925494109847</v>
      </c>
      <c r="DG115" s="21">
        <f>EXP(-LN(2)/25)*DG114+(1-EXP(-LN(2)/25))/(LN(2)/25)*Calculateur!DB115*Calculateur!DD115*VLOOKUP('Données projet'!$B$13,Paramètres!$A$1:$I$89,3,0)*0.475*44/12</f>
        <v>40.656615560661791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143.43587050176026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6.1422222222222222</v>
      </c>
      <c r="DO115" s="12">
        <f>IF('Données projet'!$A$166&gt;35,DO114+DN115-DW114,IF(A115&lt;'Données projet'!$A$166,$DL$205^A115,IF(A115='Données projet'!$A$166,'Données projet'!$B$166,DO114+DN115-DW114)))</f>
        <v>259.9177777777777</v>
      </c>
      <c r="DP115" s="17">
        <f>DO115*VLOOKUP('Données projet'!$B$14,Paramètres!$A$1:$I$89,3,0)*VLOOKUP('Données projet'!$B$14,Paramètres!$A$1:$I$89,5,0)</f>
        <v>235.17360533333326</v>
      </c>
      <c r="DQ115" s="13">
        <f t="shared" si="97"/>
        <v>57.399883594856874</v>
      </c>
      <c r="DR115" s="20">
        <f t="shared" si="70"/>
        <v>509.56549321659782</v>
      </c>
      <c r="DS115" s="59">
        <f t="shared" si="71"/>
        <v>791.66536748147792</v>
      </c>
      <c r="DT115" s="59">
        <f ca="1">AVERAGE(OFFSET($DS$3,0,0,'Données projet'!$E$14+1,1))-AVERAGE(OFFSET($H$3,0,0,'Données projet'!$E$14+1,1))</f>
        <v>479.53113328461268</v>
      </c>
      <c r="DU115" s="59">
        <f t="shared" si="98"/>
        <v>244.6360664588118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35.224407620676537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35.224407620676537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2.2737367544323206E-13</v>
      </c>
      <c r="EK115" s="17">
        <f>EJ115*VLOOKUP('Données projet'!$B$15,Paramètres!$A$1:$I$89,3,0)*VLOOKUP('Données projet'!$B$15,Paramètres!$A$1:$I$89,5,0)</f>
        <v>1.0049916454590858E-13</v>
      </c>
      <c r="EL115" s="13">
        <f t="shared" si="99"/>
        <v>1.5089081593838289E-12</v>
      </c>
      <c r="EM115" s="20">
        <f t="shared" si="73"/>
        <v>2.8030510891776262E-12</v>
      </c>
      <c r="EN115" s="59">
        <f t="shared" si="74"/>
        <v>282.09987426488283</v>
      </c>
      <c r="EO115" s="59">
        <f ca="1">AVERAGE(OFFSET($EN$3,0,0,'Données projet'!$E$15+1,1))-AVERAGE(OFFSET($H$3,0,0,'Données projet'!$E$15+1,1))</f>
        <v>339.23049610652492</v>
      </c>
      <c r="EP115" s="59">
        <f t="shared" si="100"/>
        <v>448.85057640789785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58.936162862757151</v>
      </c>
      <c r="EW115" s="21">
        <f>EXP(-LN(2)/25)*EW114+(1-EXP(-LN(2)/25))/(LN(2)/25)*Calculateur!ER115*Calculateur!ET115*VLOOKUP('Données projet'!$B$15,Paramètres!$A$1:$I$89,3,0)*0.475*44/12</f>
        <v>27.767674173426748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86.703837036183899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8.0958333333333314</v>
      </c>
      <c r="FE115" s="12">
        <f>IF('Données projet'!$A$218&gt;35,FE114+FD115-FM114,IF(A115&lt;'Données projet'!$A$218,$FB$205^A115,IF(A115='Données projet'!$A$218,'Données projet'!$B$218,FE114+FD115-FM114)))</f>
        <v>398.35750000000075</v>
      </c>
      <c r="FF115" s="17">
        <f>FE115*VLOOKUP('Données projet'!$B$16,Paramètres!$A$1:$I$89,3,0)*VLOOKUP('Données projet'!$B$16,Paramètres!$A$1:$I$89,5,0)</f>
        <v>186.43131000000037</v>
      </c>
      <c r="FG115" s="13">
        <f t="shared" si="101"/>
        <v>46.750097594518834</v>
      </c>
      <c r="FH115" s="20">
        <f t="shared" si="76"/>
        <v>406.12428489378766</v>
      </c>
      <c r="FI115" s="59">
        <f t="shared" si="77"/>
        <v>688.2241591586677</v>
      </c>
      <c r="FJ115" s="59">
        <f ca="1">AVERAGE(OFFSET($FI$3,0,0,'Données projet'!$E$16+1,1))-AVERAGE(OFFSET($H$3,0,0,'Données projet'!$E$16+1,1))</f>
        <v>365.63278362856033</v>
      </c>
      <c r="FK115" s="59">
        <f t="shared" si="102"/>
        <v>290.68267842697452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81.91658405066822</v>
      </c>
      <c r="FR115" s="21">
        <f>EXP(-LN(2)/25)*FR114+(1-EXP(-LN(2)/25))/(LN(2)/25)*Calculateur!FM115*Calculateur!FO115*VLOOKUP('Données projet'!$B$16,Paramètres!$A$1:$I$89,3,0)*0.475*44/12</f>
        <v>28.394531015665784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110.311115066334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7.619166666666672</v>
      </c>
      <c r="FZ115" s="12">
        <f>IF('Données projet'!$A$244&gt;35,FZ114+FY115-GH114,IF(A115&lt;'Données projet'!$A$244,$FW$205^A115,IF(A115='Données projet'!$A$244,'Données projet'!$B$244,FZ114+FY115-GH114)))</f>
        <v>311.01416666666682</v>
      </c>
      <c r="GA115" s="17">
        <f>FZ115*VLOOKUP('Données projet'!$B$17,Paramètres!$A$1:$I$89,3,0)*VLOOKUP('Données projet'!$B$17,Paramètres!$A$1:$I$89,5,0)</f>
        <v>266.85015500000014</v>
      </c>
      <c r="GB115" s="13">
        <f t="shared" si="103"/>
        <v>64.180336826133981</v>
      </c>
      <c r="GC115" s="20">
        <f t="shared" si="79"/>
        <v>576.54477326385029</v>
      </c>
      <c r="GD115" s="59">
        <f t="shared" si="80"/>
        <v>858.64464752873027</v>
      </c>
      <c r="GE115" s="59">
        <f ca="1">AVERAGE(OFFSET($GD$3,0,0,'Données projet'!$E$17+1,1))-AVERAGE(OFFSET($H$3,0,0,'Données projet'!$E$17+1,1))</f>
        <v>460.46300302025099</v>
      </c>
      <c r="GF115" s="59">
        <f t="shared" si="104"/>
        <v>340.22534554615879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69.573716511222642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69.573716511222642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66.936329344967277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1.1368683772161603E-13</v>
      </c>
      <c r="GV115" s="17">
        <f>GU115*VLOOKUP('Données projet'!$B$18,Paramètres!$A$1:$I$89,3,0)*VLOOKUP('Données projet'!$B$18,Paramètres!$A$1:$I$89,5,0)</f>
        <v>6.7984728957526396E-14</v>
      </c>
      <c r="GW115" s="13">
        <f t="shared" si="105"/>
        <v>1.0682447123141398E-12</v>
      </c>
      <c r="GX115" s="20">
        <f t="shared" si="82"/>
        <v>1.978932943548152E-12</v>
      </c>
      <c r="GY115" s="59">
        <f t="shared" si="83"/>
        <v>282.09987426488203</v>
      </c>
      <c r="GZ115" s="59">
        <f ca="1">AVERAGE(OFFSET($GY$3,0,0,'Données projet'!$E$18+1,1))-AVERAGE(OFFSET($H$3,0,0,'Données projet'!$E$18+1,1))</f>
        <v>-15.950000000000017</v>
      </c>
      <c r="HA115" s="59">
        <f t="shared" si="106"/>
        <v>-15.950000000000017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55.010059952355569</v>
      </c>
      <c r="HH115" s="21">
        <f>EXP(-LN(2)/25)*HH114+(1-EXP(-LN(2)/25))/(LN(2)/25)*Calculateur!HC115*Calculateur!HE115*VLOOKUP('Données projet'!$B$18,Paramètres!$A$1:$I$89,3,0)*0.475*44/12</f>
        <v>24.149108188876234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79.159168141231802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4.3499999999999996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15.949999999999998</v>
      </c>
      <c r="H116" s="67">
        <f t="shared" si="56"/>
        <v>192.86666666666667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-9.9316821433603781E-14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433.46721010558042</v>
      </c>
      <c r="T116" s="59">
        <f t="shared" si="88"/>
        <v>306.18862295347509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77.833780510133977</v>
      </c>
      <c r="AA116" s="21">
        <f>EXP(-LN(2)/25)*AA115+(1-EXP(-LN(2)/25))/(LN(2)/25)*Calculateur!V116*Calculateur!X116*VLOOKUP('Données projet'!$B$9,Paramètres!$A$1:$I$89,3,0)*0.475*44/12</f>
        <v>28.909191584129335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106.74297209426331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282.29474966546758</v>
      </c>
      <c r="AN116" s="59">
        <f ca="1">AVERAGE(OFFSET($AM$3,0,0,'Données projet'!$E$10+1,1))-AVERAGE(OFFSET($H$3,0,0,'Données projet'!$E$10+1,1))</f>
        <v>400.1942260113168</v>
      </c>
      <c r="AO116" s="59">
        <f t="shared" si="90"/>
        <v>497.04866930593926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53.93134622951338</v>
      </c>
      <c r="AV116" s="21">
        <f>EXP(-LN(2)/25)*AV115+(1-EXP(-LN(2)/25))/(LN(2)/25)*Calculateur!AQ116*Calculateur!AS116*VLOOKUP('Données projet'!$B$10,Paramètres!$A$1:$I$89,3,0)*0.475*44/12</f>
        <v>23.488749555505006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77.42009578501839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284.78505691662588</v>
      </c>
      <c r="BJ116" s="59">
        <f t="shared" si="92"/>
        <v>664.42623058686308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380.64318988568527</v>
      </c>
      <c r="CE116" s="59">
        <f t="shared" si="94"/>
        <v>885.24651320439159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30.772915839848771</v>
      </c>
      <c r="CL116" s="21">
        <f>EXP(-LN(2)/25)*CL115+(1-EXP(-LN(2)/25))/(LN(2)/25)*Calculateur!CG116*Calculateur!CI116*VLOOKUP('Données projet'!$B$12,Paramètres!$A$1:$I$89,3,0)*0.475*44/12</f>
        <v>4.1031198150028771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34.876035654851648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-1.1368683772161603E-13</v>
      </c>
      <c r="CU116" s="17">
        <f>CT116*VLOOKUP('Données projet'!$B$13,Paramètres!$A$1:$I$89,3,0)*VLOOKUP('Données projet'!$B$13,Paramètres!$A$1:$I$89,5,0)</f>
        <v>-6.3550942286383367E-14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404.10467005188889</v>
      </c>
      <c r="CZ116" s="59">
        <f t="shared" si="96"/>
        <v>372.70490129557845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100.763816440859</v>
      </c>
      <c r="DG116" s="21">
        <f>EXP(-LN(2)/25)*DG115+(1-EXP(-LN(2)/25))/(LN(2)/25)*Calculateur!DB116*Calculateur!DD116*VLOOKUP('Données projet'!$B$13,Paramètres!$A$1:$I$89,3,0)*0.475*44/12</f>
        <v>39.544858270117004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140.30867471097599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266.06</v>
      </c>
      <c r="DM116" s="12">
        <f>VLOOKUP(A116,'Données projet'!$A$165:$I$185,9,0)</f>
        <v>6.1422222222222222</v>
      </c>
      <c r="DN116" s="12">
        <f t="array" ref="DN116">INDEX(DM:DM,MIN(IF(ISNUMBER(DM116:DM312),ROW(DM116:DM312),"")))</f>
        <v>6.1422222222222222</v>
      </c>
      <c r="DO116" s="12">
        <f>IF('Données projet'!$A$166&gt;35,DO115+DN116-DW115,IF(A116&lt;'Données projet'!$A$166,$DL$205^A116,IF(A116='Données projet'!$A$166,'Données projet'!$B$166,DO115+DN116-DW115)))</f>
        <v>266.05999999999995</v>
      </c>
      <c r="DP116" s="17">
        <f>DO116*VLOOKUP('Données projet'!$B$14,Paramètres!$A$1:$I$89,3,0)*VLOOKUP('Données projet'!$B$14,Paramètres!$A$1:$I$89,5,0)</f>
        <v>240.73108799999994</v>
      </c>
      <c r="DQ116" s="13">
        <f t="shared" si="97"/>
        <v>58.596799771364125</v>
      </c>
      <c r="DR116" s="20">
        <f t="shared" si="70"/>
        <v>521.32940453512572</v>
      </c>
      <c r="DS116" s="59">
        <f t="shared" si="71"/>
        <v>803.62415420059131</v>
      </c>
      <c r="DT116" s="59">
        <f ca="1">AVERAGE(OFFSET($DS$3,0,0,'Données projet'!$E$14+1,1))-AVERAGE(OFFSET($H$3,0,0,'Données projet'!$E$14+1,1))</f>
        <v>479.53113328461268</v>
      </c>
      <c r="DU116" s="59">
        <f t="shared" si="98"/>
        <v>244.6360664588118</v>
      </c>
      <c r="DV116" s="15">
        <f>IF(ISNA(VLOOKUP(A116,'Données projet'!$A$165:$I$185,3,0)),0,VLOOKUP(A116,'Données projet'!$A$165:$I$185,3,0))</f>
        <v>7</v>
      </c>
      <c r="DW116" s="15">
        <f>IF(ISNA(VLOOKUP(A116,'Données projet'!$A$165:$I$185,4,0)),0,VLOOKUP(A116,'Données projet'!$A$165:$I$185,4,0))</f>
        <v>37.82</v>
      </c>
      <c r="DX116" s="16">
        <f>IF(ISNA(VLOOKUP(A116,'Données projet'!$A$165:$I$185,5,0)),0%,VLOOKUP(A116,'Données projet'!$A$165:$I$185,5,0)*VLOOKUP('Données projet'!$B$14,Paramètres!$A$1:$I$89,7,0))</f>
        <v>0.25800000000000001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44.293478801937525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44.293478801937525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2.2737367544323206E-13</v>
      </c>
      <c r="EK116" s="17">
        <f>EJ116*VLOOKUP('Données projet'!$B$15,Paramètres!$A$1:$I$89,3,0)*VLOOKUP('Données projet'!$B$15,Paramètres!$A$1:$I$89,5,0)</f>
        <v>1.0049916454590858E-13</v>
      </c>
      <c r="EL116" s="13">
        <f t="shared" si="99"/>
        <v>1.5089081593838289E-12</v>
      </c>
      <c r="EM116" s="20">
        <f t="shared" si="73"/>
        <v>2.8030510891776262E-12</v>
      </c>
      <c r="EN116" s="59">
        <f t="shared" si="74"/>
        <v>282.29474966546837</v>
      </c>
      <c r="EO116" s="59">
        <f ca="1">AVERAGE(OFFSET($EN$3,0,0,'Données projet'!$E$15+1,1))-AVERAGE(OFFSET($H$3,0,0,'Données projet'!$E$15+1,1))</f>
        <v>339.23049610652492</v>
      </c>
      <c r="EP116" s="59">
        <f t="shared" si="100"/>
        <v>448.85057640789785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57.780460656528305</v>
      </c>
      <c r="EW116" s="21">
        <f>EXP(-LN(2)/25)*EW115+(1-EXP(-LN(2)/25))/(LN(2)/25)*Calculateur!ER116*Calculateur!ET116*VLOOKUP('Données projet'!$B$15,Paramètres!$A$1:$I$89,3,0)*0.475*44/12</f>
        <v>27.008365662915871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84.788826319444183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8.0958333333333314</v>
      </c>
      <c r="FE116" s="12">
        <f>IF('Données projet'!$A$218&gt;35,FE115+FD116-FM115,IF(A116&lt;'Données projet'!$A$218,$FB$205^A116,IF(A116='Données projet'!$A$218,'Données projet'!$B$218,FE115+FD116-FM115)))</f>
        <v>406.45333333333406</v>
      </c>
      <c r="FF116" s="17">
        <f>FE116*VLOOKUP('Données projet'!$B$16,Paramètres!$A$1:$I$89,3,0)*VLOOKUP('Données projet'!$B$16,Paramètres!$A$1:$I$89,5,0)</f>
        <v>190.22016000000033</v>
      </c>
      <c r="FG116" s="13">
        <f t="shared" si="101"/>
        <v>47.58862382024622</v>
      </c>
      <c r="FH116" s="20">
        <f t="shared" si="76"/>
        <v>414.18363182026269</v>
      </c>
      <c r="FI116" s="59">
        <f t="shared" si="77"/>
        <v>696.47838148572828</v>
      </c>
      <c r="FJ116" s="59">
        <f ca="1">AVERAGE(OFFSET($FI$3,0,0,'Données projet'!$E$16+1,1))-AVERAGE(OFFSET($H$3,0,0,'Données projet'!$E$16+1,1))</f>
        <v>365.63278362856033</v>
      </c>
      <c r="FK116" s="59">
        <f t="shared" si="102"/>
        <v>290.68267842697452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80.310249801617331</v>
      </c>
      <c r="FR116" s="21">
        <f>EXP(-LN(2)/25)*FR115+(1-EXP(-LN(2)/25))/(LN(2)/25)*Calculateur!FM116*Calculateur!FO116*VLOOKUP('Données projet'!$B$16,Paramètres!$A$1:$I$89,3,0)*0.475*44/12</f>
        <v>27.618081071838912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107.92833087345625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7.619166666666672</v>
      </c>
      <c r="FZ116" s="12">
        <f>IF('Données projet'!$A$244&gt;35,FZ115+FY116-GH115,IF(A116&lt;'Données projet'!$A$244,$FW$205^A116,IF(A116='Données projet'!$A$244,'Données projet'!$B$244,FZ115+FY116-GH115)))</f>
        <v>318.6333333333335</v>
      </c>
      <c r="GA116" s="17">
        <f>FZ116*VLOOKUP('Données projet'!$B$17,Paramètres!$A$1:$I$89,3,0)*VLOOKUP('Données projet'!$B$17,Paramètres!$A$1:$I$89,5,0)</f>
        <v>273.38740000000018</v>
      </c>
      <c r="GB116" s="13">
        <f t="shared" si="103"/>
        <v>65.5676385793561</v>
      </c>
      <c r="GC116" s="20">
        <f t="shared" si="79"/>
        <v>590.34669219237878</v>
      </c>
      <c r="GD116" s="59">
        <f t="shared" si="80"/>
        <v>872.64144185784437</v>
      </c>
      <c r="GE116" s="59">
        <f ca="1">AVERAGE(OFFSET($GD$3,0,0,'Données projet'!$E$17+1,1))-AVERAGE(OFFSET($H$3,0,0,'Données projet'!$E$17+1,1))</f>
        <v>460.46300302025099</v>
      </c>
      <c r="GF116" s="59">
        <f t="shared" si="104"/>
        <v>340.22534554615879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68.20941836621445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68.20941836621445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66.989477181490614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1.1368683772161603E-13</v>
      </c>
      <c r="GV116" s="17">
        <f>GU116*VLOOKUP('Données projet'!$B$18,Paramètres!$A$1:$I$89,3,0)*VLOOKUP('Données projet'!$B$18,Paramètres!$A$1:$I$89,5,0)</f>
        <v>6.7984728957526396E-14</v>
      </c>
      <c r="GW116" s="13">
        <f t="shared" si="105"/>
        <v>1.0682447123141398E-12</v>
      </c>
      <c r="GX116" s="20">
        <f t="shared" si="82"/>
        <v>1.978932943548152E-12</v>
      </c>
      <c r="GY116" s="59">
        <f t="shared" si="83"/>
        <v>282.29474966546758</v>
      </c>
      <c r="GZ116" s="59">
        <f ca="1">AVERAGE(OFFSET($GY$3,0,0,'Données projet'!$E$18+1,1))-AVERAGE(OFFSET($H$3,0,0,'Données projet'!$E$18+1,1))</f>
        <v>-15.950000000000017</v>
      </c>
      <c r="HA116" s="59">
        <f t="shared" si="106"/>
        <v>-15.950000000000017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53.93134622951338</v>
      </c>
      <c r="HH116" s="21">
        <f>EXP(-LN(2)/25)*HH115+(1-EXP(-LN(2)/25))/(LN(2)/25)*Calculateur!HC116*Calculateur!HE116*VLOOKUP('Données projet'!$B$18,Paramètres!$A$1:$I$89,3,0)*0.475*44/12</f>
        <v>23.488749555505006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77.42009578501839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4.3499999999999996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15.949999999999998</v>
      </c>
      <c r="H117" s="67">
        <f t="shared" si="56"/>
        <v>192.86666666666667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-9.9316821433603781E-14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433.46721010558042</v>
      </c>
      <c r="T117" s="59">
        <f t="shared" si="88"/>
        <v>306.18862295347509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76.307507548248694</v>
      </c>
      <c r="AA117" s="21">
        <f>EXP(-LN(2)/25)*AA116+(1-EXP(-LN(2)/25))/(LN(2)/25)*Calculateur!V117*Calculateur!X117*VLOOKUP('Données projet'!$B$9,Paramètres!$A$1:$I$89,3,0)*0.475*44/12</f>
        <v>28.118668219993005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104.42617576824171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282.48624441352911</v>
      </c>
      <c r="AN117" s="59">
        <f ca="1">AVERAGE(OFFSET($AM$3,0,0,'Données projet'!$E$10+1,1))-AVERAGE(OFFSET($H$3,0,0,'Données projet'!$E$10+1,1))</f>
        <v>400.1942260113168</v>
      </c>
      <c r="AO117" s="59">
        <f t="shared" si="90"/>
        <v>497.04866930593926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52.873785424825726</v>
      </c>
      <c r="AV117" s="21">
        <f>EXP(-LN(2)/25)*AV116+(1-EXP(-LN(2)/25))/(LN(2)/25)*Calculateur!AQ117*Calculateur!AS117*VLOOKUP('Données projet'!$B$10,Paramètres!$A$1:$I$89,3,0)*0.475*44/12</f>
        <v>22.846448463690066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75.720233888515793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284.78505691662588</v>
      </c>
      <c r="BJ117" s="59">
        <f t="shared" si="92"/>
        <v>664.42623058686308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380.64318988568527</v>
      </c>
      <c r="CE117" s="59">
        <f t="shared" si="94"/>
        <v>885.24651320439159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30.169477729854652</v>
      </c>
      <c r="CL117" s="21">
        <f>EXP(-LN(2)/25)*CL116+(1-EXP(-LN(2)/25))/(LN(2)/25)*Calculateur!CG117*Calculateur!CI117*VLOOKUP('Données projet'!$B$12,Paramètres!$A$1:$I$89,3,0)*0.475*44/12</f>
        <v>3.9909197878879303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34.160397517742581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-1.1368683772161603E-13</v>
      </c>
      <c r="CU117" s="17">
        <f>CT117*VLOOKUP('Données projet'!$B$13,Paramètres!$A$1:$I$89,3,0)*VLOOKUP('Données projet'!$B$13,Paramètres!$A$1:$I$89,5,0)</f>
        <v>-6.3550942286383367E-14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404.10467005188889</v>
      </c>
      <c r="CZ117" s="59">
        <f t="shared" si="96"/>
        <v>372.70490129557845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98.787899460313128</v>
      </c>
      <c r="DG117" s="21">
        <f>EXP(-LN(2)/25)*DG116+(1-EXP(-LN(2)/25))/(LN(2)/25)*Calculateur!DB117*Calculateur!DD117*VLOOKUP('Données projet'!$B$13,Paramètres!$A$1:$I$89,3,0)*0.475*44/12</f>
        <v>38.463502041146938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137.25140150146007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6.231111111111109</v>
      </c>
      <c r="DO117" s="12">
        <f>IF('Données projet'!$A$166&gt;35,DO116+DN117-DW116,IF(A117&lt;'Données projet'!$A$166,$DL$205^A117,IF(A117='Données projet'!$A$166,'Données projet'!$B$166,DO116+DN117-DW116)))</f>
        <v>234.47111111111104</v>
      </c>
      <c r="DP117" s="17">
        <f>DO117*VLOOKUP('Données projet'!$B$14,Paramètres!$A$1:$I$89,3,0)*VLOOKUP('Données projet'!$B$14,Paramètres!$A$1:$I$89,5,0)</f>
        <v>212.14946133333328</v>
      </c>
      <c r="DQ117" s="13">
        <f t="shared" si="97"/>
        <v>52.405018328592888</v>
      </c>
      <c r="DR117" s="20">
        <f t="shared" si="70"/>
        <v>460.76571874452139</v>
      </c>
      <c r="DS117" s="59">
        <f t="shared" si="71"/>
        <v>743.25196315804851</v>
      </c>
      <c r="DT117" s="59">
        <f ca="1">AVERAGE(OFFSET($DS$3,0,0,'Données projet'!$E$14+1,1))-AVERAGE(OFFSET($H$3,0,0,'Données projet'!$E$14+1,1))</f>
        <v>479.53113328461268</v>
      </c>
      <c r="DU117" s="59">
        <f t="shared" si="98"/>
        <v>244.6360664588118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43.424910698985954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43.424910698985954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2.2737367544323206E-13</v>
      </c>
      <c r="EK117" s="17">
        <f>EJ117*VLOOKUP('Données projet'!$B$15,Paramètres!$A$1:$I$89,3,0)*VLOOKUP('Données projet'!$B$15,Paramètres!$A$1:$I$89,5,0)</f>
        <v>1.0049916454590858E-13</v>
      </c>
      <c r="EL117" s="13">
        <f t="shared" si="99"/>
        <v>1.5089081593838289E-12</v>
      </c>
      <c r="EM117" s="20">
        <f t="shared" si="73"/>
        <v>2.8030510891776262E-12</v>
      </c>
      <c r="EN117" s="59">
        <f t="shared" si="74"/>
        <v>282.4862444135299</v>
      </c>
      <c r="EO117" s="59">
        <f ca="1">AVERAGE(OFFSET($EN$3,0,0,'Données projet'!$E$15+1,1))-AVERAGE(OFFSET($H$3,0,0,'Données projet'!$E$15+1,1))</f>
        <v>339.23049610652492</v>
      </c>
      <c r="EP117" s="59">
        <f t="shared" si="100"/>
        <v>448.85057640789785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56.647421065654868</v>
      </c>
      <c r="EW117" s="21">
        <f>EXP(-LN(2)/25)*EW116+(1-EXP(-LN(2)/25))/(LN(2)/25)*Calculateur!ER117*Calculateur!ET117*VLOOKUP('Données projet'!$B$15,Paramètres!$A$1:$I$89,3,0)*0.475*44/12</f>
        <v>26.269820483555215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82.917241549210075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8.0958333333333314</v>
      </c>
      <c r="FE117" s="12">
        <f>IF('Données projet'!$A$218&gt;35,FE116+FD117-FM116,IF(A117&lt;'Données projet'!$A$218,$FB$205^A117,IF(A117='Données projet'!$A$218,'Données projet'!$B$218,FE116+FD117-FM116)))</f>
        <v>414.54916666666736</v>
      </c>
      <c r="FF117" s="17">
        <f>FE117*VLOOKUP('Données projet'!$B$16,Paramètres!$A$1:$I$89,3,0)*VLOOKUP('Données projet'!$B$16,Paramètres!$A$1:$I$89,5,0)</f>
        <v>194.00901000000033</v>
      </c>
      <c r="FG117" s="13">
        <f t="shared" si="101"/>
        <v>48.425208053681985</v>
      </c>
      <c r="FH117" s="20">
        <f t="shared" si="76"/>
        <v>422.23959644349662</v>
      </c>
      <c r="FI117" s="59">
        <f t="shared" si="77"/>
        <v>704.72584085702374</v>
      </c>
      <c r="FJ117" s="59">
        <f ca="1">AVERAGE(OFFSET($FI$3,0,0,'Données projet'!$E$16+1,1))-AVERAGE(OFFSET($H$3,0,0,'Données projet'!$E$16+1,1))</f>
        <v>365.63278362856033</v>
      </c>
      <c r="FK117" s="59">
        <f t="shared" si="102"/>
        <v>290.68267842697452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78.735414787423181</v>
      </c>
      <c r="FR117" s="21">
        <f>EXP(-LN(2)/25)*FR116+(1-EXP(-LN(2)/25))/(LN(2)/25)*Calculateur!FM117*Calculateur!FO117*VLOOKUP('Données projet'!$B$16,Paramètres!$A$1:$I$89,3,0)*0.475*44/12</f>
        <v>26.862863192557715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105.59827797998089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7.619166666666672</v>
      </c>
      <c r="FZ117" s="12">
        <f>IF('Données projet'!$A$244&gt;35,FZ116+FY117-GH116,IF(A117&lt;'Données projet'!$A$244,$FW$205^A117,IF(A117='Données projet'!$A$244,'Données projet'!$B$244,FZ116+FY117-GH116)))</f>
        <v>326.25250000000017</v>
      </c>
      <c r="GA117" s="17">
        <f>FZ117*VLOOKUP('Données projet'!$B$17,Paramètres!$A$1:$I$89,3,0)*VLOOKUP('Données projet'!$B$17,Paramètres!$A$1:$I$89,5,0)</f>
        <v>279.92464500000017</v>
      </c>
      <c r="GB117" s="13">
        <f t="shared" si="103"/>
        <v>66.951083953953727</v>
      </c>
      <c r="GC117" s="20">
        <f t="shared" si="79"/>
        <v>604.14189459480303</v>
      </c>
      <c r="GD117" s="59">
        <f t="shared" si="80"/>
        <v>886.62813900833021</v>
      </c>
      <c r="GE117" s="59">
        <f ca="1">AVERAGE(OFFSET($GD$3,0,0,'Données projet'!$E$17+1,1))-AVERAGE(OFFSET($H$3,0,0,'Données projet'!$E$17+1,1))</f>
        <v>460.46300302025099</v>
      </c>
      <c r="GF117" s="59">
        <f t="shared" si="104"/>
        <v>340.22534554615879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66.871873275690177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66.871873275690177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67.041703021871029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1.1368683772161603E-13</v>
      </c>
      <c r="GV117" s="17">
        <f>GU117*VLOOKUP('Données projet'!$B$18,Paramètres!$A$1:$I$89,3,0)*VLOOKUP('Données projet'!$B$18,Paramètres!$A$1:$I$89,5,0)</f>
        <v>6.7984728957526396E-14</v>
      </c>
      <c r="GW117" s="13">
        <f t="shared" si="105"/>
        <v>1.0682447123141398E-12</v>
      </c>
      <c r="GX117" s="20">
        <f t="shared" si="82"/>
        <v>1.978932943548152E-12</v>
      </c>
      <c r="GY117" s="59">
        <f t="shared" si="83"/>
        <v>282.48624441352911</v>
      </c>
      <c r="GZ117" s="59">
        <f ca="1">AVERAGE(OFFSET($GY$3,0,0,'Données projet'!$E$18+1,1))-AVERAGE(OFFSET($H$3,0,0,'Données projet'!$E$18+1,1))</f>
        <v>-15.950000000000017</v>
      </c>
      <c r="HA117" s="59">
        <f t="shared" si="106"/>
        <v>-15.950000000000017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52.873785424825726</v>
      </c>
      <c r="HH117" s="21">
        <f>EXP(-LN(2)/25)*HH116+(1-EXP(-LN(2)/25))/(LN(2)/25)*Calculateur!HC117*Calculateur!HE117*VLOOKUP('Données projet'!$B$18,Paramètres!$A$1:$I$89,3,0)*0.475*44/12</f>
        <v>22.846448463690066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75.720233888515793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4.3499999999999996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15.949999999999998</v>
      </c>
      <c r="H118" s="67">
        <f t="shared" si="56"/>
        <v>192.86666666666667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-9.9316821433603781E-14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433.46721010558042</v>
      </c>
      <c r="T118" s="59">
        <f t="shared" si="88"/>
        <v>306.18862295347509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74.811163868211409</v>
      </c>
      <c r="AA118" s="21">
        <f>EXP(-LN(2)/25)*AA117+(1-EXP(-LN(2)/25))/(LN(2)/25)*Calculateur!V118*Calculateur!X118*VLOOKUP('Données projet'!$B$9,Paramètres!$A$1:$I$89,3,0)*0.475*44/12</f>
        <v>27.349761758820801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102.16092562703221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282.67441715582987</v>
      </c>
      <c r="AN118" s="59">
        <f ca="1">AVERAGE(OFFSET($AM$3,0,0,'Données projet'!$E$10+1,1))-AVERAGE(OFFSET($H$3,0,0,'Données projet'!$E$10+1,1))</f>
        <v>400.1942260113168</v>
      </c>
      <c r="AO118" s="59">
        <f t="shared" si="90"/>
        <v>497.04866930593926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51.836962742469595</v>
      </c>
      <c r="AV118" s="21">
        <f>EXP(-LN(2)/25)*AV117+(1-EXP(-LN(2)/25))/(LN(2)/25)*Calculateur!AQ118*Calculateur!AS118*VLOOKUP('Données projet'!$B$10,Paramètres!$A$1:$I$89,3,0)*0.475*44/12</f>
        <v>22.221711129007954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74.058673871477552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284.78505691662588</v>
      </c>
      <c r="BJ118" s="59">
        <f t="shared" si="92"/>
        <v>664.42623058686308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380.64318988568527</v>
      </c>
      <c r="CE118" s="59">
        <f t="shared" si="94"/>
        <v>885.24651320439159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29.577872673136614</v>
      </c>
      <c r="CL118" s="21">
        <f>EXP(-LN(2)/25)*CL117+(1-EXP(-LN(2)/25))/(LN(2)/25)*Calculateur!CG118*Calculateur!CI118*VLOOKUP('Données projet'!$B$12,Paramètres!$A$1:$I$89,3,0)*0.475*44/12</f>
        <v>3.8817878764147844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33.459660549551401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-1.1368683772161603E-13</v>
      </c>
      <c r="CU118" s="17">
        <f>CT118*VLOOKUP('Données projet'!$B$13,Paramètres!$A$1:$I$89,3,0)*VLOOKUP('Données projet'!$B$13,Paramètres!$A$1:$I$89,5,0)</f>
        <v>-6.3550942286383367E-14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404.10467005188889</v>
      </c>
      <c r="CZ118" s="59">
        <f t="shared" si="96"/>
        <v>372.70490129557845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96.850729006565402</v>
      </c>
      <c r="DG118" s="21">
        <f>EXP(-LN(2)/25)*DG117+(1-EXP(-LN(2)/25))/(LN(2)/25)*Calculateur!DB118*Calculateur!DD118*VLOOKUP('Données projet'!$B$13,Paramètres!$A$1:$I$89,3,0)*0.475*44/12</f>
        <v>37.411715555124111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134.26244456168951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6.231111111111109</v>
      </c>
      <c r="DO118" s="12">
        <f>IF('Données projet'!$A$166&gt;35,DO117+DN118-DW117,IF(A118&lt;'Données projet'!$A$166,$DL$205^A118,IF(A118='Données projet'!$A$166,'Données projet'!$B$166,DO117+DN118-DW117)))</f>
        <v>240.70222222222216</v>
      </c>
      <c r="DP118" s="17">
        <f>DO118*VLOOKUP('Données projet'!$B$14,Paramètres!$A$1:$I$89,3,0)*VLOOKUP('Données projet'!$B$14,Paramètres!$A$1:$I$89,5,0)</f>
        <v>217.78737066666659</v>
      </c>
      <c r="DQ118" s="13">
        <f t="shared" si="97"/>
        <v>53.633699115108655</v>
      </c>
      <c r="DR118" s="20">
        <f t="shared" si="70"/>
        <v>472.72502986992521</v>
      </c>
      <c r="DS118" s="59">
        <f t="shared" si="71"/>
        <v>755.39944702575303</v>
      </c>
      <c r="DT118" s="59">
        <f ca="1">AVERAGE(OFFSET($DS$3,0,0,'Données projet'!$E$14+1,1))-AVERAGE(OFFSET($H$3,0,0,'Données projet'!$E$14+1,1))</f>
        <v>479.53113328461268</v>
      </c>
      <c r="DU118" s="59">
        <f t="shared" si="98"/>
        <v>244.6360664588118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42.573374686759031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42.573374686759031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2.2737367544323206E-13</v>
      </c>
      <c r="EK118" s="17">
        <f>EJ118*VLOOKUP('Données projet'!$B$15,Paramètres!$A$1:$I$89,3,0)*VLOOKUP('Données projet'!$B$15,Paramètres!$A$1:$I$89,5,0)</f>
        <v>1.0049916454590858E-13</v>
      </c>
      <c r="EL118" s="13">
        <f t="shared" si="99"/>
        <v>1.5089081593838289E-12</v>
      </c>
      <c r="EM118" s="20">
        <f t="shared" si="73"/>
        <v>2.8030510891776262E-12</v>
      </c>
      <c r="EN118" s="59">
        <f t="shared" si="74"/>
        <v>282.67441715583067</v>
      </c>
      <c r="EO118" s="59">
        <f ca="1">AVERAGE(OFFSET($EN$3,0,0,'Données projet'!$E$15+1,1))-AVERAGE(OFFSET($H$3,0,0,'Données projet'!$E$15+1,1))</f>
        <v>339.23049610652492</v>
      </c>
      <c r="EP118" s="59">
        <f t="shared" si="100"/>
        <v>448.85057640789785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55.536599690072549</v>
      </c>
      <c r="EW118" s="21">
        <f>EXP(-LN(2)/25)*EW117+(1-EXP(-LN(2)/25))/(LN(2)/25)*Calculateur!ER118*Calculateur!ET118*VLOOKUP('Données projet'!$B$15,Paramètres!$A$1:$I$89,3,0)*0.475*44/12</f>
        <v>25.551470860962578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81.088070551035131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8.0958333333333314</v>
      </c>
      <c r="FE118" s="12">
        <f>IF('Données projet'!$A$218&gt;35,FE117+FD118-FM117,IF(A118&lt;'Données projet'!$A$218,$FB$205^A118,IF(A118='Données projet'!$A$218,'Données projet'!$B$218,FE117+FD118-FM117)))</f>
        <v>422.64500000000066</v>
      </c>
      <c r="FF118" s="17">
        <f>FE118*VLOOKUP('Données projet'!$B$16,Paramètres!$A$1:$I$89,3,0)*VLOOKUP('Données projet'!$B$16,Paramètres!$A$1:$I$89,5,0)</f>
        <v>197.7978600000003</v>
      </c>
      <c r="FG118" s="13">
        <f t="shared" si="101"/>
        <v>49.259892592357573</v>
      </c>
      <c r="FH118" s="20">
        <f t="shared" si="76"/>
        <v>430.29225243168997</v>
      </c>
      <c r="FI118" s="59">
        <f t="shared" si="77"/>
        <v>712.9666695875178</v>
      </c>
      <c r="FJ118" s="59">
        <f ca="1">AVERAGE(OFFSET($FI$3,0,0,'Données projet'!$E$16+1,1))-AVERAGE(OFFSET($H$3,0,0,'Données projet'!$E$16+1,1))</f>
        <v>365.63278362856033</v>
      </c>
      <c r="FK118" s="59">
        <f t="shared" si="102"/>
        <v>290.68267842697452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77.191461327302875</v>
      </c>
      <c r="FR118" s="21">
        <f>EXP(-LN(2)/25)*FR117+(1-EXP(-LN(2)/25))/(LN(2)/25)*Calculateur!FM118*Calculateur!FO118*VLOOKUP('Données projet'!$B$16,Paramètres!$A$1:$I$89,3,0)*0.475*44/12</f>
        <v>26.128296785900645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103.31975811320352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7.619166666666672</v>
      </c>
      <c r="FZ118" s="12">
        <f>IF('Données projet'!$A$244&gt;35,FZ117+FY118-GH117,IF(A118&lt;'Données projet'!$A$244,$FW$205^A118,IF(A118='Données projet'!$A$244,'Données projet'!$B$244,FZ117+FY118-GH117)))</f>
        <v>333.87166666666684</v>
      </c>
      <c r="GA118" s="17">
        <f>FZ118*VLOOKUP('Données projet'!$B$17,Paramètres!$A$1:$I$89,3,0)*VLOOKUP('Données projet'!$B$17,Paramètres!$A$1:$I$89,5,0)</f>
        <v>286.46189000000015</v>
      </c>
      <c r="GB118" s="13">
        <f t="shared" si="103"/>
        <v>68.330773375143636</v>
      </c>
      <c r="GC118" s="20">
        <f t="shared" si="79"/>
        <v>617.93055537837529</v>
      </c>
      <c r="GD118" s="59">
        <f t="shared" si="80"/>
        <v>900.60497253420317</v>
      </c>
      <c r="GE118" s="59">
        <f ca="1">AVERAGE(OFFSET($GD$3,0,0,'Données projet'!$E$17+1,1))-AVERAGE(OFFSET($H$3,0,0,'Données projet'!$E$17+1,1))</f>
        <v>460.46300302025099</v>
      </c>
      <c r="GF118" s="59">
        <f t="shared" si="104"/>
        <v>340.22534554615879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65.560556628569131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65.560556628569131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67.093022860680335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1.1368683772161603E-13</v>
      </c>
      <c r="GV118" s="17">
        <f>GU118*VLOOKUP('Données projet'!$B$18,Paramètres!$A$1:$I$89,3,0)*VLOOKUP('Données projet'!$B$18,Paramètres!$A$1:$I$89,5,0)</f>
        <v>6.7984728957526396E-14</v>
      </c>
      <c r="GW118" s="13">
        <f t="shared" si="105"/>
        <v>1.0682447123141398E-12</v>
      </c>
      <c r="GX118" s="20">
        <f t="shared" si="82"/>
        <v>1.978932943548152E-12</v>
      </c>
      <c r="GY118" s="59">
        <f t="shared" si="83"/>
        <v>282.67441715582987</v>
      </c>
      <c r="GZ118" s="59">
        <f ca="1">AVERAGE(OFFSET($GY$3,0,0,'Données projet'!$E$18+1,1))-AVERAGE(OFFSET($H$3,0,0,'Données projet'!$E$18+1,1))</f>
        <v>-15.950000000000017</v>
      </c>
      <c r="HA118" s="59">
        <f t="shared" si="106"/>
        <v>-15.950000000000017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51.836962742469595</v>
      </c>
      <c r="HH118" s="21">
        <f>EXP(-LN(2)/25)*HH117+(1-EXP(-LN(2)/25))/(LN(2)/25)*Calculateur!HC118*Calculateur!HE118*VLOOKUP('Données projet'!$B$18,Paramètres!$A$1:$I$89,3,0)*0.475*44/12</f>
        <v>22.221711129007954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74.058673871477552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4.3499999999999996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15.949999999999998</v>
      </c>
      <c r="H119" s="67">
        <f t="shared" si="56"/>
        <v>192.86666666666667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-9.9316821433603781E-14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433.46721010558042</v>
      </c>
      <c r="T119" s="59">
        <f t="shared" si="88"/>
        <v>306.18862295347509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73.344162575060125</v>
      </c>
      <c r="AA119" s="21">
        <f>EXP(-LN(2)/25)*AA118+(1-EXP(-LN(2)/25))/(LN(2)/25)*Calculateur!V119*Calculateur!X119*VLOOKUP('Données projet'!$B$9,Paramètres!$A$1:$I$89,3,0)*0.475*44/12</f>
        <v>26.601881085264385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99.946043660324506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282.85932552174302</v>
      </c>
      <c r="AN119" s="59">
        <f ca="1">AVERAGE(OFFSET($AM$3,0,0,'Données projet'!$E$10+1,1))-AVERAGE(OFFSET($H$3,0,0,'Données projet'!$E$10+1,1))</f>
        <v>400.1942260113168</v>
      </c>
      <c r="AO119" s="59">
        <f t="shared" si="90"/>
        <v>497.04866930593926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50.820471520515078</v>
      </c>
      <c r="AV119" s="21">
        <f>EXP(-LN(2)/25)*AV118+(1-EXP(-LN(2)/25))/(LN(2)/25)*Calculateur!AQ119*Calculateur!AS119*VLOOKUP('Données projet'!$B$10,Paramètres!$A$1:$I$89,3,0)*0.475*44/12</f>
        <v>21.614057269596231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72.434528790111301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284.78505691662588</v>
      </c>
      <c r="BJ119" s="59">
        <f t="shared" si="92"/>
        <v>664.42623058686308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380.64318988568527</v>
      </c>
      <c r="CE119" s="59">
        <f t="shared" si="94"/>
        <v>885.24651320439159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28.997868630737361</v>
      </c>
      <c r="CL119" s="21">
        <f>EXP(-LN(2)/25)*CL118+(1-EXP(-LN(2)/25))/(LN(2)/25)*Calculateur!CG119*Calculateur!CI119*VLOOKUP('Données projet'!$B$12,Paramètres!$A$1:$I$89,3,0)*0.475*44/12</f>
        <v>3.7756401827998696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32.773508813537234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-1.1368683772161603E-13</v>
      </c>
      <c r="CU119" s="17">
        <f>CT119*VLOOKUP('Données projet'!$B$13,Paramètres!$A$1:$I$89,3,0)*VLOOKUP('Données projet'!$B$13,Paramètres!$A$1:$I$89,5,0)</f>
        <v>-6.3550942286383367E-14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404.10467005188889</v>
      </c>
      <c r="CZ119" s="59">
        <f t="shared" si="96"/>
        <v>372.70490129557845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94.951545283858366</v>
      </c>
      <c r="DG119" s="21">
        <f>EXP(-LN(2)/25)*DG118+(1-EXP(-LN(2)/25))/(LN(2)/25)*Calculateur!DB119*Calculateur!DD119*VLOOKUP('Données projet'!$B$13,Paramètres!$A$1:$I$89,3,0)*0.475*44/12</f>
        <v>36.388690225872629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131.340235509731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6.231111111111109</v>
      </c>
      <c r="DO119" s="12">
        <f>IF('Données projet'!$A$166&gt;35,DO118+DN119-DW118,IF(A119&lt;'Données projet'!$A$166,$DL$205^A119,IF(A119='Données projet'!$A$166,'Données projet'!$B$166,DO118+DN119-DW118)))</f>
        <v>246.93333333333328</v>
      </c>
      <c r="DP119" s="17">
        <f>DO119*VLOOKUP('Données projet'!$B$14,Paramètres!$A$1:$I$89,3,0)*VLOOKUP('Données projet'!$B$14,Paramètres!$A$1:$I$89,5,0)</f>
        <v>223.42527999999993</v>
      </c>
      <c r="DQ119" s="13">
        <f t="shared" si="97"/>
        <v>54.858682687974884</v>
      </c>
      <c r="DR119" s="20">
        <f t="shared" si="70"/>
        <v>484.67790168155608</v>
      </c>
      <c r="DS119" s="59">
        <f t="shared" si="71"/>
        <v>767.53722720329711</v>
      </c>
      <c r="DT119" s="59">
        <f ca="1">AVERAGE(OFFSET($DS$3,0,0,'Données projet'!$E$14+1,1))-AVERAGE(OFFSET($H$3,0,0,'Données projet'!$E$14+1,1))</f>
        <v>479.53113328461268</v>
      </c>
      <c r="DU119" s="59">
        <f t="shared" si="98"/>
        <v>244.6360664588118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41.738536776346201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41.738536776346201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2.2737367544323206E-13</v>
      </c>
      <c r="EK119" s="17">
        <f>EJ119*VLOOKUP('Données projet'!$B$15,Paramètres!$A$1:$I$89,3,0)*VLOOKUP('Données projet'!$B$15,Paramètres!$A$1:$I$89,5,0)</f>
        <v>1.0049916454590858E-13</v>
      </c>
      <c r="EL119" s="13">
        <f t="shared" si="99"/>
        <v>1.5089081593838289E-12</v>
      </c>
      <c r="EM119" s="20">
        <f t="shared" si="73"/>
        <v>2.8030510891776262E-12</v>
      </c>
      <c r="EN119" s="59">
        <f t="shared" si="74"/>
        <v>282.85932552174381</v>
      </c>
      <c r="EO119" s="59">
        <f ca="1">AVERAGE(OFFSET($EN$3,0,0,'Données projet'!$E$15+1,1))-AVERAGE(OFFSET($H$3,0,0,'Données projet'!$E$15+1,1))</f>
        <v>339.23049610652492</v>
      </c>
      <c r="EP119" s="59">
        <f t="shared" si="100"/>
        <v>448.85057640789785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54.44756084413126</v>
      </c>
      <c r="EW119" s="21">
        <f>EXP(-LN(2)/25)*EW118+(1-EXP(-LN(2)/25))/(LN(2)/25)*Calculateur!ER119*Calculateur!ET119*VLOOKUP('Données projet'!$B$15,Paramètres!$A$1:$I$89,3,0)*0.475*44/12</f>
        <v>24.8527645465761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79.300325390707357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8.0958333333333314</v>
      </c>
      <c r="FE119" s="12">
        <f>IF('Données projet'!$A$218&gt;35,FE118+FD119-FM118,IF(A119&lt;'Données projet'!$A$218,$FB$205^A119,IF(A119='Données projet'!$A$218,'Données projet'!$B$218,FE118+FD119-FM118)))</f>
        <v>430.74083333333397</v>
      </c>
      <c r="FF119" s="17">
        <f>FE119*VLOOKUP('Données projet'!$B$16,Paramètres!$A$1:$I$89,3,0)*VLOOKUP('Données projet'!$B$16,Paramètres!$A$1:$I$89,5,0)</f>
        <v>201.58671000000029</v>
      </c>
      <c r="FG119" s="13">
        <f t="shared" si="101"/>
        <v>50.092718020659504</v>
      </c>
      <c r="FH119" s="20">
        <f t="shared" si="76"/>
        <v>438.34167046931583</v>
      </c>
      <c r="FI119" s="59">
        <f t="shared" si="77"/>
        <v>721.20099599105686</v>
      </c>
      <c r="FJ119" s="59">
        <f ca="1">AVERAGE(OFFSET($FI$3,0,0,'Données projet'!$E$16+1,1))-AVERAGE(OFFSET($H$3,0,0,'Données projet'!$E$16+1,1))</f>
        <v>365.63278362856033</v>
      </c>
      <c r="FK119" s="59">
        <f t="shared" si="102"/>
        <v>290.68267842697452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75.677783852816901</v>
      </c>
      <c r="FR119" s="21">
        <f>EXP(-LN(2)/25)*FR118+(1-EXP(-LN(2)/25))/(LN(2)/25)*Calculateur!FM119*Calculateur!FO119*VLOOKUP('Données projet'!$B$16,Paramètres!$A$1:$I$89,3,0)*0.475*44/12</f>
        <v>25.413817136262782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101.09160098907968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7.619166666666672</v>
      </c>
      <c r="FZ119" s="12">
        <f>IF('Données projet'!$A$244&gt;35,FZ118+FY119-GH118,IF(A119&lt;'Données projet'!$A$244,$FW$205^A119,IF(A119='Données projet'!$A$244,'Données projet'!$B$244,FZ118+FY119-GH118)))</f>
        <v>341.49083333333351</v>
      </c>
      <c r="GA119" s="17">
        <f>FZ119*VLOOKUP('Données projet'!$B$17,Paramètres!$A$1:$I$89,3,0)*VLOOKUP('Données projet'!$B$17,Paramètres!$A$1:$I$89,5,0)</f>
        <v>292.99913500000019</v>
      </c>
      <c r="GB119" s="13">
        <f t="shared" si="103"/>
        <v>69.706802423015461</v>
      </c>
      <c r="GC119" s="20">
        <f t="shared" si="79"/>
        <v>631.71284101175229</v>
      </c>
      <c r="GD119" s="59">
        <f t="shared" si="80"/>
        <v>914.57216653349337</v>
      </c>
      <c r="GE119" s="59">
        <f ca="1">AVERAGE(OFFSET($GD$3,0,0,'Données projet'!$E$17+1,1))-AVERAGE(OFFSET($H$3,0,0,'Données projet'!$E$17+1,1))</f>
        <v>460.46300302025099</v>
      </c>
      <c r="GF119" s="59">
        <f t="shared" si="104"/>
        <v>340.22534554615879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64.274954101073945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64.274954101073945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67.143452415020278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1.1368683772161603E-13</v>
      </c>
      <c r="GV119" s="17">
        <f>GU119*VLOOKUP('Données projet'!$B$18,Paramètres!$A$1:$I$89,3,0)*VLOOKUP('Données projet'!$B$18,Paramètres!$A$1:$I$89,5,0)</f>
        <v>6.7984728957526396E-14</v>
      </c>
      <c r="GW119" s="13">
        <f t="shared" si="105"/>
        <v>1.0682447123141398E-12</v>
      </c>
      <c r="GX119" s="20">
        <f t="shared" si="82"/>
        <v>1.978932943548152E-12</v>
      </c>
      <c r="GY119" s="59">
        <f t="shared" si="83"/>
        <v>282.85932552174302</v>
      </c>
      <c r="GZ119" s="59">
        <f ca="1">AVERAGE(OFFSET($GY$3,0,0,'Données projet'!$E$18+1,1))-AVERAGE(OFFSET($H$3,0,0,'Données projet'!$E$18+1,1))</f>
        <v>-15.950000000000017</v>
      </c>
      <c r="HA119" s="59">
        <f t="shared" si="106"/>
        <v>-15.950000000000017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50.820471520515078</v>
      </c>
      <c r="HH119" s="21">
        <f>EXP(-LN(2)/25)*HH118+(1-EXP(-LN(2)/25))/(LN(2)/25)*Calculateur!HC119*Calculateur!HE119*VLOOKUP('Données projet'!$B$18,Paramètres!$A$1:$I$89,3,0)*0.475*44/12</f>
        <v>21.614057269596231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72.434528790111301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4.3499999999999996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15.949999999999998</v>
      </c>
      <c r="H120" s="67">
        <f t="shared" si="56"/>
        <v>192.86666666666667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-9.9316821433603781E-14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433.46721010558042</v>
      </c>
      <c r="T120" s="59">
        <f t="shared" si="88"/>
        <v>306.18862295347509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71.905928282485107</v>
      </c>
      <c r="AA120" s="21">
        <f>EXP(-LN(2)/25)*AA119+(1-EXP(-LN(2)/25))/(LN(2)/25)*Calculateur!V120*Calculateur!X120*VLOOKUP('Données projet'!$B$9,Paramètres!$A$1:$I$89,3,0)*0.475*44/12</f>
        <v>25.874451248055703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97.780379530540813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283.04102614090073</v>
      </c>
      <c r="AN120" s="59">
        <f ca="1">AVERAGE(OFFSET($AM$3,0,0,'Données projet'!$E$10+1,1))-AVERAGE(OFFSET($H$3,0,0,'Données projet'!$E$10+1,1))</f>
        <v>400.1942260113168</v>
      </c>
      <c r="AO120" s="59">
        <f t="shared" si="90"/>
        <v>497.04866930593926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49.823913071424663</v>
      </c>
      <c r="AV120" s="21">
        <f>EXP(-LN(2)/25)*AV119+(1-EXP(-LN(2)/25))/(LN(2)/25)*Calculateur!AQ120*Calculateur!AS120*VLOOKUP('Données projet'!$B$10,Paramètres!$A$1:$I$89,3,0)*0.475*44/12</f>
        <v>21.023019736925249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70.846932808349919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284.78505691662588</v>
      </c>
      <c r="BJ120" s="59">
        <f t="shared" si="92"/>
        <v>664.42623058686308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380.64318988568527</v>
      </c>
      <c r="CE120" s="59">
        <f t="shared" si="94"/>
        <v>885.24651320439159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28.429238113842025</v>
      </c>
      <c r="CL120" s="21">
        <f>EXP(-LN(2)/25)*CL119+(1-EXP(-LN(2)/25))/(LN(2)/25)*Calculateur!CG120*Calculateur!CI120*VLOOKUP('Données projet'!$B$12,Paramètres!$A$1:$I$89,3,0)*0.475*44/12</f>
        <v>3.6723951034489191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32.101633217290946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-1.1368683772161603E-13</v>
      </c>
      <c r="CU120" s="17">
        <f>CT120*VLOOKUP('Données projet'!$B$13,Paramètres!$A$1:$I$89,3,0)*VLOOKUP('Données projet'!$B$13,Paramètres!$A$1:$I$89,5,0)</f>
        <v>-6.3550942286383367E-14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404.10467005188889</v>
      </c>
      <c r="CZ120" s="59">
        <f t="shared" si="96"/>
        <v>372.70490129557845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93.089603395565916</v>
      </c>
      <c r="DG120" s="21">
        <f>EXP(-LN(2)/25)*DG119+(1-EXP(-LN(2)/25))/(LN(2)/25)*Calculateur!DB120*Calculateur!DD120*VLOOKUP('Données projet'!$B$13,Paramètres!$A$1:$I$89,3,0)*0.475*44/12</f>
        <v>35.393639578048088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128.48324297361401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6.231111111111109</v>
      </c>
      <c r="DO120" s="12">
        <f>IF('Données projet'!$A$166&gt;35,DO119+DN120-DW119,IF(A120&lt;'Données projet'!$A$166,$DL$205^A120,IF(A120='Données projet'!$A$166,'Données projet'!$B$166,DO119+DN120-DW119)))</f>
        <v>253.1644444444444</v>
      </c>
      <c r="DP120" s="17">
        <f>DO120*VLOOKUP('Données projet'!$B$14,Paramètres!$A$1:$I$89,3,0)*VLOOKUP('Données projet'!$B$14,Paramètres!$A$1:$I$89,5,0)</f>
        <v>229.0631893333333</v>
      </c>
      <c r="DQ120" s="13">
        <f t="shared" si="97"/>
        <v>56.080073071720143</v>
      </c>
      <c r="DR120" s="20">
        <f t="shared" si="70"/>
        <v>496.62451535546808</v>
      </c>
      <c r="DS120" s="59">
        <f t="shared" si="71"/>
        <v>779.66554149636681</v>
      </c>
      <c r="DT120" s="59">
        <f ca="1">AVERAGE(OFFSET($DS$3,0,0,'Données projet'!$E$14+1,1))-AVERAGE(OFFSET($H$3,0,0,'Données projet'!$E$14+1,1))</f>
        <v>479.53113328461268</v>
      </c>
      <c r="DU120" s="59">
        <f t="shared" si="98"/>
        <v>244.6360664588118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40.920069528155715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40.920069528155715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2.2737367544323206E-13</v>
      </c>
      <c r="EK120" s="17">
        <f>EJ120*VLOOKUP('Données projet'!$B$15,Paramètres!$A$1:$I$89,3,0)*VLOOKUP('Données projet'!$B$15,Paramètres!$A$1:$I$89,5,0)</f>
        <v>1.0049916454590858E-13</v>
      </c>
      <c r="EL120" s="13">
        <f t="shared" si="99"/>
        <v>1.5089081593838289E-12</v>
      </c>
      <c r="EM120" s="20">
        <f t="shared" si="73"/>
        <v>2.8030510891776262E-12</v>
      </c>
      <c r="EN120" s="59">
        <f t="shared" si="74"/>
        <v>283.04102614090152</v>
      </c>
      <c r="EO120" s="59">
        <f ca="1">AVERAGE(OFFSET($EN$3,0,0,'Données projet'!$E$15+1,1))-AVERAGE(OFFSET($H$3,0,0,'Données projet'!$E$15+1,1))</f>
        <v>339.23049610652492</v>
      </c>
      <c r="EP120" s="59">
        <f t="shared" si="100"/>
        <v>448.85057640789785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53.37987738571077</v>
      </c>
      <c r="EW120" s="21">
        <f>EXP(-LN(2)/25)*EW119+(1-EXP(-LN(2)/25))/(LN(2)/25)*Calculateur!ER120*Calculateur!ET120*VLOOKUP('Données projet'!$B$15,Paramètres!$A$1:$I$89,3,0)*0.475*44/12</f>
        <v>24.173164393099892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77.553041778810666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8.0958333333333314</v>
      </c>
      <c r="FE120" s="12">
        <f>IF('Données projet'!$A$218&gt;35,FE119+FD120-FM119,IF(A120&lt;'Données projet'!$A$218,$FB$205^A120,IF(A120='Données projet'!$A$218,'Données projet'!$B$218,FE119+FD120-FM119)))</f>
        <v>438.83666666666727</v>
      </c>
      <c r="FF120" s="17">
        <f>FE120*VLOOKUP('Données projet'!$B$16,Paramètres!$A$1:$I$89,3,0)*VLOOKUP('Données projet'!$B$16,Paramètres!$A$1:$I$89,5,0)</f>
        <v>205.37556000000026</v>
      </c>
      <c r="FG120" s="13">
        <f t="shared" si="101"/>
        <v>50.923723310087418</v>
      </c>
      <c r="FH120" s="20">
        <f t="shared" si="76"/>
        <v>446.38791843173607</v>
      </c>
      <c r="FI120" s="59">
        <f t="shared" si="77"/>
        <v>729.4289445726348</v>
      </c>
      <c r="FJ120" s="59">
        <f ca="1">AVERAGE(OFFSET($FI$3,0,0,'Données projet'!$E$16+1,1))-AVERAGE(OFFSET($H$3,0,0,'Données projet'!$E$16+1,1))</f>
        <v>365.63278362856033</v>
      </c>
      <c r="FK120" s="59">
        <f t="shared" si="102"/>
        <v>290.68267842697452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74.193788670353499</v>
      </c>
      <c r="FR120" s="21">
        <f>EXP(-LN(2)/25)*FR119+(1-EXP(-LN(2)/25))/(LN(2)/25)*Calculateur!FM120*Calculateur!FO120*VLOOKUP('Données projet'!$B$16,Paramètres!$A$1:$I$89,3,0)*0.475*44/12</f>
        <v>24.718874970217119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98.912663640570614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>
        <f>VLOOKUP(A120,'Données projet'!$A$243:$I$263,2,0)</f>
        <v>349.11</v>
      </c>
      <c r="FX120" s="12">
        <f>VLOOKUP(A120,'Données projet'!$A$243:$I$263,9,0)</f>
        <v>7.619166666666672</v>
      </c>
      <c r="FY120" s="12">
        <f t="array" ref="FY120">INDEX(FX:FX,MIN(IF(ISNUMBER(FX120:FX316),ROW(FX120:FX316),"")))</f>
        <v>7.619166666666672</v>
      </c>
      <c r="FZ120" s="12">
        <f>IF('Données projet'!$A$244&gt;35,FZ119+FY120-GH119,IF(A120&lt;'Données projet'!$A$244,$FW$205^A120,IF(A120='Données projet'!$A$244,'Données projet'!$B$244,FZ119+FY120-GH119)))</f>
        <v>349.11000000000018</v>
      </c>
      <c r="GA120" s="17">
        <f>FZ120*VLOOKUP('Données projet'!$B$17,Paramètres!$A$1:$I$89,3,0)*VLOOKUP('Données projet'!$B$17,Paramètres!$A$1:$I$89,5,0)</f>
        <v>299.53638000000018</v>
      </c>
      <c r="GB120" s="13">
        <f t="shared" si="103"/>
        <v>71.079262169095813</v>
      </c>
      <c r="GC120" s="20">
        <f t="shared" si="79"/>
        <v>645.48891011117541</v>
      </c>
      <c r="GD120" s="59">
        <f t="shared" si="80"/>
        <v>928.52993625207409</v>
      </c>
      <c r="GE120" s="59">
        <f ca="1">AVERAGE(OFFSET($GD$3,0,0,'Données projet'!$E$17+1,1))-AVERAGE(OFFSET($H$3,0,0,'Données projet'!$E$17+1,1))</f>
        <v>460.46300302025099</v>
      </c>
      <c r="GF120" s="59">
        <f t="shared" si="104"/>
        <v>340.22534554615879</v>
      </c>
      <c r="GG120" s="15">
        <f>IF(ISNA(VLOOKUP(A120,'Données projet'!$A$243:$I$263,3,0)),0,VLOOKUP(A120,'Données projet'!$A$243:$I$263,3,0))</f>
        <v>7</v>
      </c>
      <c r="GH120" s="15">
        <f>IF(ISNA(VLOOKUP(A120,'Données projet'!$A$243:$I$263,4,0)),0,VLOOKUP(A120,'Données projet'!$A$243:$I$263,4,0))</f>
        <v>68.06</v>
      </c>
      <c r="GI120" s="16">
        <f>IF(ISNA(VLOOKUP(A120,'Données projet'!$A$243:$I$263,5,0)),0%,VLOOKUP(A120,'Données projet'!$A$243:$I$263,5,0)*VLOOKUP('Données projet'!$B$17,Paramètres!$A$1:$I$89,7,0))</f>
        <v>0.318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83.542884008480428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83.542884008480428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67.19300712933601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1.1368683772161603E-13</v>
      </c>
      <c r="GV120" s="17">
        <f>GU120*VLOOKUP('Données projet'!$B$18,Paramètres!$A$1:$I$89,3,0)*VLOOKUP('Données projet'!$B$18,Paramètres!$A$1:$I$89,5,0)</f>
        <v>6.7984728957526396E-14</v>
      </c>
      <c r="GW120" s="13">
        <f t="shared" si="105"/>
        <v>1.0682447123141398E-12</v>
      </c>
      <c r="GX120" s="20">
        <f t="shared" si="82"/>
        <v>1.978932943548152E-12</v>
      </c>
      <c r="GY120" s="59">
        <f t="shared" si="83"/>
        <v>283.04102614090073</v>
      </c>
      <c r="GZ120" s="59">
        <f ca="1">AVERAGE(OFFSET($GY$3,0,0,'Données projet'!$E$18+1,1))-AVERAGE(OFFSET($H$3,0,0,'Données projet'!$E$18+1,1))</f>
        <v>-15.950000000000017</v>
      </c>
      <c r="HA120" s="59">
        <f t="shared" si="106"/>
        <v>-15.950000000000017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49.823913071424663</v>
      </c>
      <c r="HH120" s="21">
        <f>EXP(-LN(2)/25)*HH119+(1-EXP(-LN(2)/25))/(LN(2)/25)*Calculateur!HC120*Calculateur!HE120*VLOOKUP('Données projet'!$B$18,Paramètres!$A$1:$I$89,3,0)*0.475*44/12</f>
        <v>21.023019736925249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70.846932808349919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4.3499999999999996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15.949999999999998</v>
      </c>
      <c r="H121" s="67">
        <f t="shared" si="56"/>
        <v>192.86666666666667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-9.9316821433603781E-14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433.46721010558042</v>
      </c>
      <c r="T121" s="59">
        <f t="shared" si="88"/>
        <v>306.18862295347509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70.495896887151176</v>
      </c>
      <c r="AA121" s="21">
        <f>EXP(-LN(2)/25)*AA120+(1-EXP(-LN(2)/25))/(LN(2)/25)*Calculateur!V121*Calculateur!X121*VLOOKUP('Données projet'!$B$9,Paramètres!$A$1:$I$89,3,0)*0.475*44/12</f>
        <v>25.166913017999367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95.662809905150539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283.21957466053772</v>
      </c>
      <c r="AN121" s="59">
        <f ca="1">AVERAGE(OFFSET($AM$3,0,0,'Données projet'!$E$10+1,1))-AVERAGE(OFFSET($H$3,0,0,'Données projet'!$E$10+1,1))</f>
        <v>400.1942260113168</v>
      </c>
      <c r="AO121" s="59">
        <f t="shared" si="90"/>
        <v>497.04866930593926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48.846896525680279</v>
      </c>
      <c r="AV121" s="21">
        <f>EXP(-LN(2)/25)*AV120+(1-EXP(-LN(2)/25))/(LN(2)/25)*Calculateur!AQ121*Calculateur!AS121*VLOOKUP('Données projet'!$B$10,Paramètres!$A$1:$I$89,3,0)*0.475*44/12</f>
        <v>20.448144156666469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69.295040682346752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284.78505691662588</v>
      </c>
      <c r="BJ121" s="59">
        <f t="shared" si="92"/>
        <v>664.42623058686308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380.64318988568527</v>
      </c>
      <c r="CE121" s="59">
        <f t="shared" si="94"/>
        <v>885.24651320439159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27.871758094552639</v>
      </c>
      <c r="CL121" s="21">
        <f>EXP(-LN(2)/25)*CL120+(1-EXP(-LN(2)/25))/(LN(2)/25)*Calculateur!CG121*Calculateur!CI121*VLOOKUP('Données projet'!$B$12,Paramètres!$A$1:$I$89,3,0)*0.475*44/12</f>
        <v>3.5719732662222432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31.443731360774883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-1.1368683772161603E-13</v>
      </c>
      <c r="CU121" s="17">
        <f>CT121*VLOOKUP('Données projet'!$B$13,Paramètres!$A$1:$I$89,3,0)*VLOOKUP('Données projet'!$B$13,Paramètres!$A$1:$I$89,5,0)</f>
        <v>-6.3550942286383367E-14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404.10467005188889</v>
      </c>
      <c r="CZ121" s="59">
        <f t="shared" si="96"/>
        <v>372.70490129557845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91.264173052030472</v>
      </c>
      <c r="DG121" s="21">
        <f>EXP(-LN(2)/25)*DG120+(1-EXP(-LN(2)/25))/(LN(2)/25)*Calculateur!DB121*Calculateur!DD121*VLOOKUP('Données projet'!$B$13,Paramètres!$A$1:$I$89,3,0)*0.475*44/12</f>
        <v>34.425798642515751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125.68997169454622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6.231111111111109</v>
      </c>
      <c r="DO121" s="12">
        <f>IF('Données projet'!$A$166&gt;35,DO120+DN121-DW120,IF(A121&lt;'Données projet'!$A$166,$DL$205^A121,IF(A121='Données projet'!$A$166,'Données projet'!$B$166,DO120+DN121-DW120)))</f>
        <v>259.39555555555552</v>
      </c>
      <c r="DP121" s="17">
        <f>DO121*VLOOKUP('Données projet'!$B$14,Paramètres!$A$1:$I$89,3,0)*VLOOKUP('Données projet'!$B$14,Paramètres!$A$1:$I$89,5,0)</f>
        <v>234.70109866666661</v>
      </c>
      <c r="DQ121" s="13">
        <f t="shared" si="97"/>
        <v>57.297968878266246</v>
      </c>
      <c r="DR121" s="20">
        <f t="shared" si="70"/>
        <v>508.56504264075807</v>
      </c>
      <c r="DS121" s="59">
        <f t="shared" si="71"/>
        <v>791.78461730129379</v>
      </c>
      <c r="DT121" s="59">
        <f ca="1">AVERAGE(OFFSET($DS$3,0,0,'Données projet'!$E$14+1,1))-AVERAGE(OFFSET($H$3,0,0,'Données projet'!$E$14+1,1))</f>
        <v>479.53113328461268</v>
      </c>
      <c r="DU121" s="59">
        <f t="shared" si="98"/>
        <v>244.6360664588118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40.11765192348652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40.11765192348652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2.2737367544323206E-13</v>
      </c>
      <c r="EK121" s="17">
        <f>EJ121*VLOOKUP('Données projet'!$B$15,Paramètres!$A$1:$I$89,3,0)*VLOOKUP('Données projet'!$B$15,Paramètres!$A$1:$I$89,5,0)</f>
        <v>1.0049916454590858E-13</v>
      </c>
      <c r="EL121" s="13">
        <f t="shared" si="99"/>
        <v>1.5089081593838289E-12</v>
      </c>
      <c r="EM121" s="20">
        <f t="shared" si="73"/>
        <v>2.8030510891776262E-12</v>
      </c>
      <c r="EN121" s="59">
        <f t="shared" si="74"/>
        <v>283.21957466053851</v>
      </c>
      <c r="EO121" s="59">
        <f ca="1">AVERAGE(OFFSET($EN$3,0,0,'Données projet'!$E$15+1,1))-AVERAGE(OFFSET($H$3,0,0,'Données projet'!$E$15+1,1))</f>
        <v>339.23049610652492</v>
      </c>
      <c r="EP121" s="59">
        <f t="shared" si="100"/>
        <v>448.85057640789785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52.333130548687301</v>
      </c>
      <c r="EW121" s="21">
        <f>EXP(-LN(2)/25)*EW120+(1-EXP(-LN(2)/25))/(LN(2)/25)*Calculateur!ER121*Calculateur!ET121*VLOOKUP('Données projet'!$B$15,Paramètres!$A$1:$I$89,3,0)*0.475*44/12</f>
        <v>23.51214794155911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75.845278490246415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8.0958333333333314</v>
      </c>
      <c r="FE121" s="12">
        <f>IF('Données projet'!$A$218&gt;35,FE120+FD121-FM120,IF(A121&lt;'Données projet'!$A$218,$FB$205^A121,IF(A121='Données projet'!$A$218,'Données projet'!$B$218,FE120+FD121-FM120)))</f>
        <v>446.93250000000057</v>
      </c>
      <c r="FF121" s="17">
        <f>FE121*VLOOKUP('Données projet'!$B$16,Paramètres!$A$1:$I$89,3,0)*VLOOKUP('Données projet'!$B$16,Paramètres!$A$1:$I$89,5,0)</f>
        <v>209.16441000000026</v>
      </c>
      <c r="FG121" s="13">
        <f t="shared" si="101"/>
        <v>51.752945911904789</v>
      </c>
      <c r="FH121" s="20">
        <f t="shared" si="76"/>
        <v>454.43106154656789</v>
      </c>
      <c r="FI121" s="59">
        <f t="shared" si="77"/>
        <v>737.65063620710362</v>
      </c>
      <c r="FJ121" s="59">
        <f ca="1">AVERAGE(OFFSET($FI$3,0,0,'Données projet'!$E$16+1,1))-AVERAGE(OFFSET($H$3,0,0,'Données projet'!$E$16+1,1))</f>
        <v>365.63278362856033</v>
      </c>
      <c r="FK121" s="59">
        <f t="shared" si="102"/>
        <v>290.68267842697452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72.738893728270526</v>
      </c>
      <c r="FR121" s="21">
        <f>EXP(-LN(2)/25)*FR120+(1-EXP(-LN(2)/25))/(LN(2)/25)*Calculateur!FM121*Calculateur!FO121*VLOOKUP('Données projet'!$B$16,Paramètres!$A$1:$I$89,3,0)*0.475*44/12</f>
        <v>24.042936034247393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96.781829762517916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6.8716666666666653</v>
      </c>
      <c r="FZ121" s="12">
        <f>IF('Données projet'!$A$244&gt;35,FZ120+FY121-GH120,IF(A121&lt;'Données projet'!$A$244,$FW$205^A121,IF(A121='Données projet'!$A$244,'Données projet'!$B$244,FZ120+FY121-GH120)))</f>
        <v>287.92166666666685</v>
      </c>
      <c r="GA121" s="17">
        <f>FZ121*VLOOKUP('Données projet'!$B$17,Paramètres!$A$1:$I$89,3,0)*VLOOKUP('Données projet'!$B$17,Paramètres!$A$1:$I$89,5,0)</f>
        <v>247.0367900000002</v>
      </c>
      <c r="GB121" s="13">
        <f t="shared" si="103"/>
        <v>59.950974367186525</v>
      </c>
      <c r="GC121" s="20">
        <f t="shared" si="79"/>
        <v>534.6703562728502</v>
      </c>
      <c r="GD121" s="59">
        <f t="shared" si="80"/>
        <v>817.88993093338593</v>
      </c>
      <c r="GE121" s="59">
        <f ca="1">AVERAGE(OFFSET($GD$3,0,0,'Données projet'!$E$17+1,1))-AVERAGE(OFFSET($H$3,0,0,'Données projet'!$E$17+1,1))</f>
        <v>460.46300302025099</v>
      </c>
      <c r="GF121" s="59">
        <f t="shared" si="104"/>
        <v>340.22534554615879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81.904659009201879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81.904659009201879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67.241702180146106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1.1368683772161603E-13</v>
      </c>
      <c r="GV121" s="17">
        <f>GU121*VLOOKUP('Données projet'!$B$18,Paramètres!$A$1:$I$89,3,0)*VLOOKUP('Données projet'!$B$18,Paramètres!$A$1:$I$89,5,0)</f>
        <v>6.7984728957526396E-14</v>
      </c>
      <c r="GW121" s="13">
        <f t="shared" si="105"/>
        <v>1.0682447123141398E-12</v>
      </c>
      <c r="GX121" s="20">
        <f t="shared" si="82"/>
        <v>1.978932943548152E-12</v>
      </c>
      <c r="GY121" s="59">
        <f t="shared" si="83"/>
        <v>283.21957466053772</v>
      </c>
      <c r="GZ121" s="59">
        <f ca="1">AVERAGE(OFFSET($GY$3,0,0,'Données projet'!$E$18+1,1))-AVERAGE(OFFSET($H$3,0,0,'Données projet'!$E$18+1,1))</f>
        <v>-15.950000000000017</v>
      </c>
      <c r="HA121" s="59">
        <f t="shared" si="106"/>
        <v>-15.950000000000017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48.846896525680279</v>
      </c>
      <c r="HH121" s="21">
        <f>EXP(-LN(2)/25)*HH120+(1-EXP(-LN(2)/25))/(LN(2)/25)*Calculateur!HC121*Calculateur!HE121*VLOOKUP('Données projet'!$B$18,Paramètres!$A$1:$I$89,3,0)*0.475*44/12</f>
        <v>20.448144156666469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69.295040682346752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4.3499999999999996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15.949999999999998</v>
      </c>
      <c r="H122" s="67">
        <f t="shared" si="56"/>
        <v>192.86666666666667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-9.9316821433603781E-14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433.46721010558042</v>
      </c>
      <c r="T122" s="59">
        <f t="shared" si="88"/>
        <v>306.18862295347509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69.113515347445514</v>
      </c>
      <c r="AA122" s="21">
        <f>EXP(-LN(2)/25)*AA121+(1-EXP(-LN(2)/25))/(LN(2)/25)*Calculateur!V122*Calculateur!X122*VLOOKUP('Données projet'!$B$9,Paramètres!$A$1:$I$89,3,0)*0.475*44/12</f>
        <v>24.478722458051738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93.592237805497248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283.39502576253369</v>
      </c>
      <c r="AN122" s="59">
        <f ca="1">AVERAGE(OFFSET($AM$3,0,0,'Données projet'!$E$10+1,1))-AVERAGE(OFFSET($H$3,0,0,'Données projet'!$E$10+1,1))</f>
        <v>400.1942260113168</v>
      </c>
      <c r="AO122" s="59">
        <f t="shared" si="90"/>
        <v>497.04866930593926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47.889038678476687</v>
      </c>
      <c r="AV122" s="21">
        <f>EXP(-LN(2)/25)*AV121+(1-EXP(-LN(2)/25))/(LN(2)/25)*Calculateur!AQ122*Calculateur!AS122*VLOOKUP('Données projet'!$B$10,Paramètres!$A$1:$I$89,3,0)*0.475*44/12</f>
        <v>19.888988579381259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67.778027257857943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284.78505691662588</v>
      </c>
      <c r="BJ122" s="59">
        <f t="shared" si="92"/>
        <v>664.42623058686308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380.64318988568527</v>
      </c>
      <c r="CE122" s="59">
        <f t="shared" si="94"/>
        <v>885.24651320439159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27.325209918412281</v>
      </c>
      <c r="CL122" s="21">
        <f>EXP(-LN(2)/25)*CL121+(1-EXP(-LN(2)/25))/(LN(2)/25)*Calculateur!CG122*Calculateur!CI122*VLOOKUP('Données projet'!$B$12,Paramètres!$A$1:$I$89,3,0)*0.475*44/12</f>
        <v>3.4742974694154856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30.799507387827767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-1.1368683772161603E-13</v>
      </c>
      <c r="CU122" s="17">
        <f>CT122*VLOOKUP('Données projet'!$B$13,Paramètres!$A$1:$I$89,3,0)*VLOOKUP('Données projet'!$B$13,Paramètres!$A$1:$I$89,5,0)</f>
        <v>-6.3550942286383367E-14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404.10467005188889</v>
      </c>
      <c r="CZ122" s="59">
        <f t="shared" si="96"/>
        <v>372.70490129557845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89.474538284129196</v>
      </c>
      <c r="DG122" s="21">
        <f>EXP(-LN(2)/25)*DG121+(1-EXP(-LN(2)/25))/(LN(2)/25)*Calculateur!DB122*Calculateur!DD122*VLOOKUP('Données projet'!$B$13,Paramètres!$A$1:$I$89,3,0)*0.475*44/12</f>
        <v>33.484423368262085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122.95896165239128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6.231111111111109</v>
      </c>
      <c r="DO122" s="12">
        <f>IF('Données projet'!$A$166&gt;35,DO121+DN122-DW121,IF(A122&lt;'Données projet'!$A$166,$DL$205^A122,IF(A122='Données projet'!$A$166,'Données projet'!$B$166,DO121+DN122-DW121)))</f>
        <v>265.62666666666661</v>
      </c>
      <c r="DP122" s="17">
        <f>DO122*VLOOKUP('Données projet'!$B$14,Paramètres!$A$1:$I$89,3,0)*VLOOKUP('Données projet'!$B$14,Paramètres!$A$1:$I$89,5,0)</f>
        <v>240.33900799999992</v>
      </c>
      <c r="DQ122" s="13">
        <f t="shared" si="97"/>
        <v>58.5124637117123</v>
      </c>
      <c r="DR122" s="20">
        <f t="shared" si="70"/>
        <v>520.49964656456541</v>
      </c>
      <c r="DS122" s="59">
        <f t="shared" si="71"/>
        <v>803.89467232709717</v>
      </c>
      <c r="DT122" s="59">
        <f ca="1">AVERAGE(OFFSET($DS$3,0,0,'Données projet'!$E$14+1,1))-AVERAGE(OFFSET($H$3,0,0,'Données projet'!$E$14+1,1))</f>
        <v>479.53113328461268</v>
      </c>
      <c r="DU122" s="59">
        <f t="shared" si="98"/>
        <v>244.6360664588118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39.330969238618472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39.330969238618472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2.2737367544323206E-13</v>
      </c>
      <c r="EK122" s="17">
        <f>EJ122*VLOOKUP('Données projet'!$B$15,Paramètres!$A$1:$I$89,3,0)*VLOOKUP('Données projet'!$B$15,Paramètres!$A$1:$I$89,5,0)</f>
        <v>1.0049916454590858E-13</v>
      </c>
      <c r="EL122" s="13">
        <f t="shared" si="99"/>
        <v>1.5089081593838289E-12</v>
      </c>
      <c r="EM122" s="20">
        <f t="shared" si="73"/>
        <v>2.8030510891776262E-12</v>
      </c>
      <c r="EN122" s="59">
        <f t="shared" si="74"/>
        <v>283.39502576253449</v>
      </c>
      <c r="EO122" s="59">
        <f ca="1">AVERAGE(OFFSET($EN$3,0,0,'Données projet'!$E$15+1,1))-AVERAGE(OFFSET($H$3,0,0,'Données projet'!$E$15+1,1))</f>
        <v>339.23049610652492</v>
      </c>
      <c r="EP122" s="59">
        <f t="shared" si="100"/>
        <v>448.85057640789785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51.306909778685331</v>
      </c>
      <c r="EW122" s="21">
        <f>EXP(-LN(2)/25)*EW121+(1-EXP(-LN(2)/25))/(LN(2)/25)*Calculateur!ER122*Calculateur!ET122*VLOOKUP('Données projet'!$B$15,Paramètres!$A$1:$I$89,3,0)*0.475*44/12</f>
        <v>22.869207019647053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74.176116798332387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8.0958333333333314</v>
      </c>
      <c r="FE122" s="12">
        <f>IF('Données projet'!$A$218&gt;35,FE121+FD122-FM121,IF(A122&lt;'Données projet'!$A$218,$FB$205^A122,IF(A122='Données projet'!$A$218,'Données projet'!$B$218,FE121+FD122-FM121)))</f>
        <v>455.02833333333388</v>
      </c>
      <c r="FF122" s="17">
        <f>FE122*VLOOKUP('Données projet'!$B$16,Paramètres!$A$1:$I$89,3,0)*VLOOKUP('Données projet'!$B$16,Paramètres!$A$1:$I$89,5,0)</f>
        <v>212.95326000000023</v>
      </c>
      <c r="FG122" s="13">
        <f t="shared" si="101"/>
        <v>52.58042184288621</v>
      </c>
      <c r="FH122" s="20">
        <f t="shared" si="76"/>
        <v>462.47116254302722</v>
      </c>
      <c r="FI122" s="59">
        <f t="shared" si="77"/>
        <v>745.86618830555892</v>
      </c>
      <c r="FJ122" s="59">
        <f ca="1">AVERAGE(OFFSET($FI$3,0,0,'Données projet'!$E$16+1,1))-AVERAGE(OFFSET($H$3,0,0,'Données projet'!$E$16+1,1))</f>
        <v>365.63278362856033</v>
      </c>
      <c r="FK122" s="59">
        <f t="shared" si="102"/>
        <v>290.68267842697452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71.312528388603496</v>
      </c>
      <c r="FR122" s="21">
        <f>EXP(-LN(2)/25)*FR121+(1-EXP(-LN(2)/25))/(LN(2)/25)*Calculateur!FM122*Calculateur!FO122*VLOOKUP('Données projet'!$B$16,Paramètres!$A$1:$I$89,3,0)*0.475*44/12</f>
        <v>23.385480684027844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94.698009072631336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6.8716666666666653</v>
      </c>
      <c r="FZ122" s="12">
        <f>IF('Données projet'!$A$244&gt;35,FZ121+FY122-GH121,IF(A122&lt;'Données projet'!$A$244,$FW$205^A122,IF(A122='Données projet'!$A$244,'Données projet'!$B$244,FZ121+FY122-GH121)))</f>
        <v>294.79333333333352</v>
      </c>
      <c r="GA122" s="17">
        <f>FZ122*VLOOKUP('Données projet'!$B$17,Paramètres!$A$1:$I$89,3,0)*VLOOKUP('Données projet'!$B$17,Paramètres!$A$1:$I$89,5,0)</f>
        <v>252.9326800000002</v>
      </c>
      <c r="GB122" s="13">
        <f t="shared" si="103"/>
        <v>61.213503249904129</v>
      </c>
      <c r="GC122" s="20">
        <f t="shared" si="79"/>
        <v>547.13793582691665</v>
      </c>
      <c r="GD122" s="59">
        <f t="shared" si="80"/>
        <v>830.5329615894484</v>
      </c>
      <c r="GE122" s="59">
        <f ca="1">AVERAGE(OFFSET($GD$3,0,0,'Données projet'!$E$17+1,1))-AVERAGE(OFFSET($H$3,0,0,'Données projet'!$E$17+1,1))</f>
        <v>460.46300302025099</v>
      </c>
      <c r="GF122" s="59">
        <f t="shared" si="104"/>
        <v>340.22534554615879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80.298558602940588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80.298558602940588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67.28955248069046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1.1368683772161603E-13</v>
      </c>
      <c r="GV122" s="17">
        <f>GU122*VLOOKUP('Données projet'!$B$18,Paramètres!$A$1:$I$89,3,0)*VLOOKUP('Données projet'!$B$18,Paramètres!$A$1:$I$89,5,0)</f>
        <v>6.7984728957526396E-14</v>
      </c>
      <c r="GW122" s="13">
        <f t="shared" si="105"/>
        <v>1.0682447123141398E-12</v>
      </c>
      <c r="GX122" s="20">
        <f t="shared" si="82"/>
        <v>1.978932943548152E-12</v>
      </c>
      <c r="GY122" s="59">
        <f t="shared" si="83"/>
        <v>283.39502576253369</v>
      </c>
      <c r="GZ122" s="59">
        <f ca="1">AVERAGE(OFFSET($GY$3,0,0,'Données projet'!$E$18+1,1))-AVERAGE(OFFSET($H$3,0,0,'Données projet'!$E$18+1,1))</f>
        <v>-15.950000000000017</v>
      </c>
      <c r="HA122" s="59">
        <f t="shared" si="106"/>
        <v>-15.950000000000017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47.889038678476687</v>
      </c>
      <c r="HH122" s="21">
        <f>EXP(-LN(2)/25)*HH121+(1-EXP(-LN(2)/25))/(LN(2)/25)*Calculateur!HC122*Calculateur!HE122*VLOOKUP('Données projet'!$B$18,Paramètres!$A$1:$I$89,3,0)*0.475*44/12</f>
        <v>19.888988579381259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67.778027257857943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4.3499999999999996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15.949999999999998</v>
      </c>
      <c r="H123" s="67">
        <f t="shared" si="56"/>
        <v>192.86666666666667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-9.9316821433603781E-14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433.46721010558042</v>
      </c>
      <c r="T123" s="59">
        <f t="shared" si="88"/>
        <v>306.18862295347509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67.758241466564002</v>
      </c>
      <c r="AA123" s="21">
        <f>EXP(-LN(2)/25)*AA122+(1-EXP(-LN(2)/25))/(LN(2)/25)*Calculateur!V123*Calculateur!X123*VLOOKUP('Données projet'!$B$9,Paramètres!$A$1:$I$89,3,0)*0.475*44/12</f>
        <v>23.809350505156246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91.567591971720248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283.56743318016004</v>
      </c>
      <c r="AN123" s="59">
        <f ca="1">AVERAGE(OFFSET($AM$3,0,0,'Données projet'!$E$10+1,1))-AVERAGE(OFFSET($H$3,0,0,'Données projet'!$E$10+1,1))</f>
        <v>400.1942260113168</v>
      </c>
      <c r="AO123" s="59">
        <f t="shared" si="90"/>
        <v>497.04866930593926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46.949963839421159</v>
      </c>
      <c r="AV123" s="21">
        <f>EXP(-LN(2)/25)*AV122+(1-EXP(-LN(2)/25))/(LN(2)/25)*Calculateur!AQ123*Calculateur!AS123*VLOOKUP('Données projet'!$B$10,Paramètres!$A$1:$I$89,3,0)*0.475*44/12</f>
        <v>19.345123140761626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66.295086980182788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284.78505691662588</v>
      </c>
      <c r="BJ123" s="59">
        <f t="shared" si="92"/>
        <v>664.42623058686308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380.64318988568527</v>
      </c>
      <c r="CE123" s="59">
        <f t="shared" si="94"/>
        <v>885.24651320439159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26.789379218644562</v>
      </c>
      <c r="CL123" s="21">
        <f>EXP(-LN(2)/25)*CL122+(1-EXP(-LN(2)/25))/(LN(2)/25)*Calculateur!CG123*Calculateur!CI123*VLOOKUP('Données projet'!$B$12,Paramètres!$A$1:$I$89,3,0)*0.475*44/12</f>
        <v>3.3792926224089559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30.168671841053516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-1.1368683772161603E-13</v>
      </c>
      <c r="CU123" s="17">
        <f>CT123*VLOOKUP('Données projet'!$B$13,Paramètres!$A$1:$I$89,3,0)*VLOOKUP('Données projet'!$B$13,Paramètres!$A$1:$I$89,5,0)</f>
        <v>-6.3550942286383367E-14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404.10467005188889</v>
      </c>
      <c r="CZ123" s="59">
        <f t="shared" si="96"/>
        <v>372.70490129557845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87.719997162457034</v>
      </c>
      <c r="DG123" s="21">
        <f>EXP(-LN(2)/25)*DG122+(1-EXP(-LN(2)/25))/(LN(2)/25)*Calculateur!DB123*Calculateur!DD123*VLOOKUP('Données projet'!$B$13,Paramètres!$A$1:$I$89,3,0)*0.475*44/12</f>
        <v>32.568790050387662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120.2887872128447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6.231111111111109</v>
      </c>
      <c r="DO123" s="12">
        <f>IF('Données projet'!$A$166&gt;35,DO122+DN123-DW122,IF(A123&lt;'Données projet'!$A$166,$DL$205^A123,IF(A123='Données projet'!$A$166,'Données projet'!$B$166,DO122+DN123-DW122)))</f>
        <v>271.8577777777777</v>
      </c>
      <c r="DP123" s="17">
        <f>DO123*VLOOKUP('Données projet'!$B$14,Paramètres!$A$1:$I$89,3,0)*VLOOKUP('Données projet'!$B$14,Paramètres!$A$1:$I$89,5,0)</f>
        <v>245.97691733333323</v>
      </c>
      <c r="DQ123" s="13">
        <f t="shared" si="97"/>
        <v>59.723646534067775</v>
      </c>
      <c r="DR123" s="20">
        <f t="shared" si="70"/>
        <v>532.42848206905671</v>
      </c>
      <c r="DS123" s="59">
        <f t="shared" si="71"/>
        <v>815.9959152492147</v>
      </c>
      <c r="DT123" s="59">
        <f ca="1">AVERAGE(OFFSET($DS$3,0,0,'Données projet'!$E$14+1,1))-AVERAGE(OFFSET($H$3,0,0,'Données projet'!$E$14+1,1))</f>
        <v>479.53113328461268</v>
      </c>
      <c r="DU123" s="59">
        <f t="shared" si="98"/>
        <v>244.6360664588118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38.559712921371634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38.559712921371634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2.2737367544323206E-13</v>
      </c>
      <c r="EK123" s="17">
        <f>EJ123*VLOOKUP('Données projet'!$B$15,Paramètres!$A$1:$I$89,3,0)*VLOOKUP('Données projet'!$B$15,Paramètres!$A$1:$I$89,5,0)</f>
        <v>1.0049916454590858E-13</v>
      </c>
      <c r="EL123" s="13">
        <f t="shared" si="99"/>
        <v>1.5089081593838289E-12</v>
      </c>
      <c r="EM123" s="20">
        <f t="shared" si="73"/>
        <v>2.8030510891776262E-12</v>
      </c>
      <c r="EN123" s="59">
        <f t="shared" si="74"/>
        <v>283.56743318016083</v>
      </c>
      <c r="EO123" s="59">
        <f ca="1">AVERAGE(OFFSET($EN$3,0,0,'Données projet'!$E$15+1,1))-AVERAGE(OFFSET($H$3,0,0,'Données projet'!$E$15+1,1))</f>
        <v>339.23049610652492</v>
      </c>
      <c r="EP123" s="59">
        <f t="shared" si="100"/>
        <v>448.85057640789785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50.300812572050241</v>
      </c>
      <c r="EW123" s="21">
        <f>EXP(-LN(2)/25)*EW122+(1-EXP(-LN(2)/25))/(LN(2)/25)*Calculateur!ER123*Calculateur!ET123*VLOOKUP('Données projet'!$B$15,Paramètres!$A$1:$I$89,3,0)*0.475*44/12</f>
        <v>22.243847351055475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72.544659923105712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8.0958333333333314</v>
      </c>
      <c r="FE123" s="12">
        <f>IF('Données projet'!$A$218&gt;35,FE122+FD123-FM122,IF(A123&lt;'Données projet'!$A$218,$FB$205^A123,IF(A123='Données projet'!$A$218,'Données projet'!$B$218,FE122+FD123-FM122)))</f>
        <v>463.12416666666718</v>
      </c>
      <c r="FF123" s="17">
        <f>FE123*VLOOKUP('Données projet'!$B$16,Paramètres!$A$1:$I$89,3,0)*VLOOKUP('Données projet'!$B$16,Paramètres!$A$1:$I$89,5,0)</f>
        <v>216.74211000000025</v>
      </c>
      <c r="FG123" s="13">
        <f t="shared" si="101"/>
        <v>53.406185764789505</v>
      </c>
      <c r="FH123" s="20">
        <f t="shared" si="76"/>
        <v>470.50828179034215</v>
      </c>
      <c r="FI123" s="59">
        <f t="shared" si="77"/>
        <v>754.07571497050026</v>
      </c>
      <c r="FJ123" s="59">
        <f ca="1">AVERAGE(OFFSET($FI$3,0,0,'Données projet'!$E$16+1,1))-AVERAGE(OFFSET($H$3,0,0,'Données projet'!$E$16+1,1))</f>
        <v>365.63278362856033</v>
      </c>
      <c r="FK123" s="59">
        <f t="shared" si="102"/>
        <v>290.68267842697452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69.914133203250387</v>
      </c>
      <c r="FR123" s="21">
        <f>EXP(-LN(2)/25)*FR122+(1-EXP(-LN(2)/25))/(LN(2)/25)*Calculateur!FM123*Calculateur!FO123*VLOOKUP('Données projet'!$B$16,Paramètres!$A$1:$I$89,3,0)*0.475*44/12</f>
        <v>22.746003484934121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92.660136688184508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6.8716666666666653</v>
      </c>
      <c r="FZ123" s="12">
        <f>IF('Données projet'!$A$244&gt;35,FZ122+FY123-GH122,IF(A123&lt;'Données projet'!$A$244,$FW$205^A123,IF(A123='Données projet'!$A$244,'Données projet'!$B$244,FZ122+FY123-GH122)))</f>
        <v>301.66500000000019</v>
      </c>
      <c r="GA123" s="17">
        <f>FZ123*VLOOKUP('Données projet'!$B$17,Paramètres!$A$1:$I$89,3,0)*VLOOKUP('Données projet'!$B$17,Paramètres!$A$1:$I$89,5,0)</f>
        <v>258.82857000000018</v>
      </c>
      <c r="GB123" s="13">
        <f t="shared" si="103"/>
        <v>62.472610831915055</v>
      </c>
      <c r="GC123" s="20">
        <f t="shared" si="79"/>
        <v>559.5995566155857</v>
      </c>
      <c r="GD123" s="59">
        <f t="shared" si="80"/>
        <v>843.1669897957438</v>
      </c>
      <c r="GE123" s="59">
        <f ca="1">AVERAGE(OFFSET($GD$3,0,0,'Données projet'!$E$17+1,1))-AVERAGE(OFFSET($H$3,0,0,'Données projet'!$E$17+1,1))</f>
        <v>460.46300302025099</v>
      </c>
      <c r="GF123" s="59">
        <f t="shared" si="104"/>
        <v>340.22534554615879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78.723952846021561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78.723952846021561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67.336572685497643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1.1368683772161603E-13</v>
      </c>
      <c r="GV123" s="17">
        <f>GU123*VLOOKUP('Données projet'!$B$18,Paramètres!$A$1:$I$89,3,0)*VLOOKUP('Données projet'!$B$18,Paramètres!$A$1:$I$89,5,0)</f>
        <v>6.7984728957526396E-14</v>
      </c>
      <c r="GW123" s="13">
        <f t="shared" si="105"/>
        <v>1.0682447123141398E-12</v>
      </c>
      <c r="GX123" s="20">
        <f t="shared" si="82"/>
        <v>1.978932943548152E-12</v>
      </c>
      <c r="GY123" s="59">
        <f t="shared" si="83"/>
        <v>283.56743318016004</v>
      </c>
      <c r="GZ123" s="59">
        <f ca="1">AVERAGE(OFFSET($GY$3,0,0,'Données projet'!$E$18+1,1))-AVERAGE(OFFSET($H$3,0,0,'Données projet'!$E$18+1,1))</f>
        <v>-15.950000000000017</v>
      </c>
      <c r="HA123" s="59">
        <f t="shared" si="106"/>
        <v>-15.950000000000017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46.949963839421159</v>
      </c>
      <c r="HH123" s="21">
        <f>EXP(-LN(2)/25)*HH122+(1-EXP(-LN(2)/25))/(LN(2)/25)*Calculateur!HC123*Calculateur!HE123*VLOOKUP('Données projet'!$B$18,Paramètres!$A$1:$I$89,3,0)*0.475*44/12</f>
        <v>19.345123140761626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66.295086980182788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4.3499999999999996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15.949999999999998</v>
      </c>
      <c r="H124" s="67">
        <f t="shared" si="56"/>
        <v>192.86666666666667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-9.9316821433603781E-14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433.46721010558042</v>
      </c>
      <c r="T124" s="59">
        <f t="shared" si="88"/>
        <v>306.18862295347509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66.429543679851136</v>
      </c>
      <c r="AA124" s="21">
        <f>EXP(-LN(2)/25)*AA123+(1-EXP(-LN(2)/25))/(LN(2)/25)*Calculateur!V124*Calculateur!X124*VLOOKUP('Données projet'!$B$9,Paramètres!$A$1:$I$89,3,0)*0.475*44/12</f>
        <v>23.158282563513421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89.58782624336456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283.73684971453577</v>
      </c>
      <c r="AN124" s="59">
        <f ca="1">AVERAGE(OFFSET($AM$3,0,0,'Données projet'!$E$10+1,1))-AVERAGE(OFFSET($H$3,0,0,'Données projet'!$E$10+1,1))</f>
        <v>400.1942260113168</v>
      </c>
      <c r="AO124" s="59">
        <f t="shared" si="90"/>
        <v>497.04866930593926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46.029303685180416</v>
      </c>
      <c r="AV124" s="21">
        <f>EXP(-LN(2)/25)*AV123+(1-EXP(-LN(2)/25))/(LN(2)/25)*Calculateur!AQ124*Calculateur!AS124*VLOOKUP('Données projet'!$B$10,Paramètres!$A$1:$I$89,3,0)*0.475*44/12</f>
        <v>18.816129731161688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64.845433416342104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284.78505691662588</v>
      </c>
      <c r="BJ124" s="59">
        <f t="shared" si="92"/>
        <v>664.42623058686308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380.64318988568527</v>
      </c>
      <c r="CE124" s="59">
        <f t="shared" si="94"/>
        <v>885.24651320439159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26.264055832074835</v>
      </c>
      <c r="CL124" s="21">
        <f>EXP(-LN(2)/25)*CL123+(1-EXP(-LN(2)/25))/(LN(2)/25)*Calculateur!CG124*Calculateur!CI124*VLOOKUP('Données projet'!$B$12,Paramètres!$A$1:$I$89,3,0)*0.475*44/12</f>
        <v>3.2868856879399075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29.550941520014742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-6.3550942286383367E-14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404.10467005188889</v>
      </c>
      <c r="CZ124" s="59">
        <f t="shared" si="96"/>
        <v>372.70490129557845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85.999861522016445</v>
      </c>
      <c r="DG124" s="21">
        <f>EXP(-LN(2)/25)*DG123+(1-EXP(-LN(2)/25))/(LN(2)/25)*Calculateur!DB124*Calculateur!DD124*VLOOKUP('Données projet'!$B$13,Paramètres!$A$1:$I$89,3,0)*0.475*44/12</f>
        <v>31.678194773741581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117.67805629575803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6.231111111111109</v>
      </c>
      <c r="DO124" s="12">
        <f>IF('Données projet'!$A$166&gt;35,DO123+DN124-DW123,IF(A124&lt;'Données projet'!$A$166,$DL$205^A124,IF(A124='Données projet'!$A$166,'Données projet'!$B$166,DO123+DN124-DW123)))</f>
        <v>278.08888888888879</v>
      </c>
      <c r="DP124" s="17">
        <f>DO124*VLOOKUP('Données projet'!$B$14,Paramètres!$A$1:$I$89,3,0)*VLOOKUP('Données projet'!$B$14,Paramètres!$A$1:$I$89,5,0)</f>
        <v>251.61482666666654</v>
      </c>
      <c r="DQ124" s="13">
        <f t="shared" si="97"/>
        <v>60.931601996508121</v>
      </c>
      <c r="DR124" s="20">
        <f t="shared" si="70"/>
        <v>544.35169658836253</v>
      </c>
      <c r="DS124" s="59">
        <f t="shared" si="71"/>
        <v>828.08854630289625</v>
      </c>
      <c r="DT124" s="59">
        <f ca="1">AVERAGE(OFFSET($DS$3,0,0,'Données projet'!$E$14+1,1))-AVERAGE(OFFSET($H$3,0,0,'Données projet'!$E$14+1,1))</f>
        <v>479.53113328461268</v>
      </c>
      <c r="DU124" s="59">
        <f t="shared" si="98"/>
        <v>244.6360664588118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37.803580470086104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37.803580470086104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2.2737367544323206E-13</v>
      </c>
      <c r="EK124" s="17">
        <f>EJ124*VLOOKUP('Données projet'!$B$15,Paramètres!$A$1:$I$89,3,0)*VLOOKUP('Données projet'!$B$15,Paramètres!$A$1:$I$89,5,0)</f>
        <v>1.0049916454590858E-13</v>
      </c>
      <c r="EL124" s="13">
        <f t="shared" si="99"/>
        <v>1.5089081593838289E-12</v>
      </c>
      <c r="EM124" s="20">
        <f t="shared" si="73"/>
        <v>2.8030510891776262E-12</v>
      </c>
      <c r="EN124" s="59">
        <f t="shared" si="74"/>
        <v>283.73684971453656</v>
      </c>
      <c r="EO124" s="59">
        <f ca="1">AVERAGE(OFFSET($EN$3,0,0,'Données projet'!$E$15+1,1))-AVERAGE(OFFSET($H$3,0,0,'Données projet'!$E$15+1,1))</f>
        <v>339.23049610652492</v>
      </c>
      <c r="EP124" s="59">
        <f t="shared" si="100"/>
        <v>448.85057640789785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49.314444317978563</v>
      </c>
      <c r="EW124" s="21">
        <f>EXP(-LN(2)/25)*EW123+(1-EXP(-LN(2)/25))/(LN(2)/25)*Calculateur!ER124*Calculateur!ET124*VLOOKUP('Données projet'!$B$15,Paramètres!$A$1:$I$89,3,0)*0.475*44/12</f>
        <v>21.635588175487769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70.950032493466324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>
        <f>VLOOKUP(A124,'Données projet'!$A$217:$I$237,2,0)</f>
        <v>471.22</v>
      </c>
      <c r="FC124" s="12">
        <f>VLOOKUP(A124,'Données projet'!$A$217:$I$237,9,0)</f>
        <v>8.0958333333333314</v>
      </c>
      <c r="FD124" s="12">
        <f t="array" ref="FD124">INDEX(FC:FC,MIN(IF(ISNUMBER(FC124:FC320),ROW(FC124:FC320),"")))</f>
        <v>8.0958333333333314</v>
      </c>
      <c r="FE124" s="12">
        <f>IF('Données projet'!$A$218&gt;35,FE123+FD124-FM123,IF(A124&lt;'Données projet'!$A$218,$FB$205^A124,IF(A124='Données projet'!$A$218,'Données projet'!$B$218,FE123+FD124-FM123)))</f>
        <v>471.22000000000048</v>
      </c>
      <c r="FF124" s="17">
        <f>FE124*VLOOKUP('Données projet'!$B$16,Paramètres!$A$1:$I$89,3,0)*VLOOKUP('Données projet'!$B$16,Paramètres!$A$1:$I$89,5,0)</f>
        <v>220.53096000000022</v>
      </c>
      <c r="FG124" s="13">
        <f t="shared" si="101"/>
        <v>54.230271058113757</v>
      </c>
      <c r="FH124" s="20">
        <f t="shared" si="76"/>
        <v>478.54247742621516</v>
      </c>
      <c r="FI124" s="59">
        <f t="shared" si="77"/>
        <v>762.27932714074893</v>
      </c>
      <c r="FJ124" s="59">
        <f ca="1">AVERAGE(OFFSET($FI$3,0,0,'Données projet'!$E$16+1,1))-AVERAGE(OFFSET($H$3,0,0,'Données projet'!$E$16+1,1))</f>
        <v>365.63278362856033</v>
      </c>
      <c r="FK124" s="59">
        <f t="shared" si="102"/>
        <v>290.68267842697452</v>
      </c>
      <c r="FL124" s="15">
        <f>IF(ISNA(VLOOKUP(A124,'Données projet'!$A$217:$I$237,3,0)),0,VLOOKUP(A124,'Données projet'!$A$217:$I$237,3,0))</f>
        <v>7</v>
      </c>
      <c r="FM124" s="15">
        <f>IF(ISNA(VLOOKUP(A124,'Données projet'!$A$217:$I$237,4,0)),0,VLOOKUP(A124,'Données projet'!$A$217:$I$237,4,0))</f>
        <v>233.54</v>
      </c>
      <c r="FN124" s="16">
        <f>IF(ISNA(VLOOKUP(A124,'Données projet'!$A$217:$I$237,5,0)),0%,VLOOKUP(A124,'Données projet'!$A$217:$I$237,5,0)*VLOOKUP('Données projet'!$B$16,Paramètres!$A$1:$I$89,7,0))</f>
        <v>0.38500000000000001</v>
      </c>
      <c r="FO124" s="16">
        <f>IF(ISNA(VLOOKUP(A124,'Données projet'!$A$217:$I$237,6,0)),0%,VLOOKUP(A124,'Données projet'!$A$217:$I$237,6,0)*VLOOKUP('Données projet'!$B$16,Paramètres!$A$1:$I$89,7,0))</f>
        <v>0.16500000000000001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124.36398007607445</v>
      </c>
      <c r="FR124" s="21">
        <f>EXP(-LN(2)/25)*FR123+(1-EXP(-LN(2)/25))/(LN(2)/25)*Calculateur!FM124*Calculateur!FO124*VLOOKUP('Données projet'!$B$16,Paramètres!$A$1:$I$89,3,0)*0.475*44/12</f>
        <v>45.953026770172727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170.31700684624718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6.8716666666666653</v>
      </c>
      <c r="FZ124" s="12">
        <f>IF('Données projet'!$A$244&gt;35,FZ123+FY124-GH123,IF(A124&lt;'Données projet'!$A$244,$FW$205^A124,IF(A124='Données projet'!$A$244,'Données projet'!$B$244,FZ123+FY124-GH123)))</f>
        <v>308.53666666666686</v>
      </c>
      <c r="GA124" s="17">
        <f>FZ124*VLOOKUP('Données projet'!$B$17,Paramètres!$A$1:$I$89,3,0)*VLOOKUP('Données projet'!$B$17,Paramètres!$A$1:$I$89,5,0)</f>
        <v>264.72446000000019</v>
      </c>
      <c r="GB124" s="13">
        <f t="shared" si="103"/>
        <v>63.728384018968086</v>
      </c>
      <c r="GC124" s="20">
        <f t="shared" si="79"/>
        <v>572.05536999970309</v>
      </c>
      <c r="GD124" s="59">
        <f t="shared" si="80"/>
        <v>855.79221971423681</v>
      </c>
      <c r="GE124" s="59">
        <f ca="1">AVERAGE(OFFSET($GD$3,0,0,'Données projet'!$E$17+1,1))-AVERAGE(OFFSET($H$3,0,0,'Données projet'!$E$17+1,1))</f>
        <v>460.46300302025099</v>
      </c>
      <c r="GF124" s="59">
        <f t="shared" si="104"/>
        <v>340.22534554615879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77.180224147581043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77.180224147581043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67.382777194872844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1.1368683772161603E-13</v>
      </c>
      <c r="GV124" s="17">
        <f>GU124*VLOOKUP('Données projet'!$B$18,Paramètres!$A$1:$I$89,3,0)*VLOOKUP('Données projet'!$B$18,Paramètres!$A$1:$I$89,5,0)</f>
        <v>6.7984728957526396E-14</v>
      </c>
      <c r="GW124" s="13">
        <f t="shared" si="105"/>
        <v>1.0682447123141398E-12</v>
      </c>
      <c r="GX124" s="20">
        <f t="shared" si="82"/>
        <v>1.978932943548152E-12</v>
      </c>
      <c r="GY124" s="59">
        <f t="shared" si="83"/>
        <v>283.73684971453577</v>
      </c>
      <c r="GZ124" s="59">
        <f ca="1">AVERAGE(OFFSET($GY$3,0,0,'Données projet'!$E$18+1,1))-AVERAGE(OFFSET($H$3,0,0,'Données projet'!$E$18+1,1))</f>
        <v>-15.950000000000017</v>
      </c>
      <c r="HA124" s="59">
        <f t="shared" si="106"/>
        <v>-15.950000000000017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46.029303685180416</v>
      </c>
      <c r="HH124" s="21">
        <f>EXP(-LN(2)/25)*HH123+(1-EXP(-LN(2)/25))/(LN(2)/25)*Calculateur!HC124*Calculateur!HE124*VLOOKUP('Données projet'!$B$18,Paramètres!$A$1:$I$89,3,0)*0.475*44/12</f>
        <v>18.816129731161688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64.845433416342104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4.3499999999999996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15.949999999999998</v>
      </c>
      <c r="H125" s="67">
        <f t="shared" si="56"/>
        <v>192.86666666666667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-9.9316821433603781E-14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433.46721010558042</v>
      </c>
      <c r="T125" s="59">
        <f t="shared" si="88"/>
        <v>306.18862295347509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65.126900846310079</v>
      </c>
      <c r="AA125" s="21">
        <f>EXP(-LN(2)/25)*AA124+(1-EXP(-LN(2)/25))/(LN(2)/25)*Calculateur!V125*Calculateur!X125*VLOOKUP('Données projet'!$B$9,Paramètres!$A$1:$I$89,3,0)*0.475*44/12</f>
        <v>22.525018108972994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87.651918955283065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283.90332725079867</v>
      </c>
      <c r="AN125" s="59">
        <f ca="1">AVERAGE(OFFSET($AM$3,0,0,'Données projet'!$E$10+1,1))-AVERAGE(OFFSET($H$3,0,0,'Données projet'!$E$10+1,1))</f>
        <v>400.1942260113168</v>
      </c>
      <c r="AO125" s="59">
        <f t="shared" si="90"/>
        <v>497.04866930593926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45.126697115017087</v>
      </c>
      <c r="AV125" s="21">
        <f>EXP(-LN(2)/25)*AV124+(1-EXP(-LN(2)/25))/(LN(2)/25)*Calculateur!AQ125*Calculateur!AS125*VLOOKUP('Données projet'!$B$10,Paramètres!$A$1:$I$89,3,0)*0.475*44/12</f>
        <v>18.301601674165813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63.428298789182904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284.78505691662588</v>
      </c>
      <c r="BJ125" s="59">
        <f t="shared" si="92"/>
        <v>664.42623058686308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380.64318988568527</v>
      </c>
      <c r="CE125" s="59">
        <f t="shared" si="94"/>
        <v>885.24651320439159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25.749033716700112</v>
      </c>
      <c r="CL125" s="21">
        <f>EXP(-LN(2)/25)*CL124+(1-EXP(-LN(2)/25))/(LN(2)/25)*Calculateur!CG125*Calculateur!CI125*VLOOKUP('Données projet'!$B$12,Paramètres!$A$1:$I$89,3,0)*0.475*44/12</f>
        <v>3.1970056259533846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28.946039342653496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-6.3550942286383367E-14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404.10467005188889</v>
      </c>
      <c r="CZ125" s="59">
        <f t="shared" si="96"/>
        <v>372.70490129557845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84.313456692305763</v>
      </c>
      <c r="DG125" s="21">
        <f>EXP(-LN(2)/25)*DG124+(1-EXP(-LN(2)/25))/(LN(2)/25)*Calculateur!DB125*Calculateur!DD125*VLOOKUP('Données projet'!$B$13,Paramètres!$A$1:$I$89,3,0)*0.475*44/12</f>
        <v>30.811952871769755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115.12540956407551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>
        <f>VLOOKUP(A125,'Données projet'!$A$165:$I$185,2,0)</f>
        <v>284.32</v>
      </c>
      <c r="DM125" s="12">
        <f>VLOOKUP(A125,'Données projet'!$A$165:$I$185,9,0)</f>
        <v>6.231111111111109</v>
      </c>
      <c r="DN125" s="12">
        <f t="array" ref="DN125">INDEX(DM:DM,MIN(IF(ISNUMBER(DM125:DM321),ROW(DM125:DM321),"")))</f>
        <v>6.231111111111109</v>
      </c>
      <c r="DO125" s="12">
        <f>IF('Données projet'!$A$166&gt;35,DO124+DN125-DW124,IF(A125&lt;'Données projet'!$A$166,$DL$205^A125,IF(A125='Données projet'!$A$166,'Données projet'!$B$166,DO124+DN125-DW124)))</f>
        <v>284.31999999999988</v>
      </c>
      <c r="DP125" s="17">
        <f>DO125*VLOOKUP('Données projet'!$B$14,Paramètres!$A$1:$I$89,3,0)*VLOOKUP('Données projet'!$B$14,Paramètres!$A$1:$I$89,5,0)</f>
        <v>257.25273599999986</v>
      </c>
      <c r="DQ125" s="13">
        <f t="shared" si="97"/>
        <v>62.136410740104658</v>
      </c>
      <c r="DR125" s="20">
        <f t="shared" si="70"/>
        <v>556.26943057234871</v>
      </c>
      <c r="DS125" s="59">
        <f t="shared" si="71"/>
        <v>840.17275782314539</v>
      </c>
      <c r="DT125" s="59">
        <f ca="1">AVERAGE(OFFSET($DS$3,0,0,'Données projet'!$E$14+1,1))-AVERAGE(OFFSET($H$3,0,0,'Données projet'!$E$14+1,1))</f>
        <v>479.53113328461268</v>
      </c>
      <c r="DU125" s="59">
        <f t="shared" si="98"/>
        <v>244.6360664588118</v>
      </c>
      <c r="DV125" s="15">
        <f>IF(ISNA(VLOOKUP(A125,'Données projet'!$A$165:$I$185,3,0)),0,VLOOKUP(A125,'Données projet'!$A$165:$I$185,3,0))</f>
        <v>8</v>
      </c>
      <c r="DW125" s="15">
        <f>IF(ISNA(VLOOKUP(A125,'Données projet'!$A$165:$I$185,4,0)),0,VLOOKUP(A125,'Données projet'!$A$165:$I$185,4,0))</f>
        <v>41.63</v>
      </c>
      <c r="DX125" s="16">
        <f>IF(ISNA(VLOOKUP(A125,'Données projet'!$A$165:$I$185,5,0)),0%,VLOOKUP(A125,'Données projet'!$A$165:$I$185,5,0)*VLOOKUP('Données projet'!$B$14,Paramètres!$A$1:$I$89,7,0))</f>
        <v>0.25800000000000001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47.80528133652988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47.80528133652988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2.2737367544323206E-13</v>
      </c>
      <c r="EK125" s="17">
        <f>EJ125*VLOOKUP('Données projet'!$B$15,Paramètres!$A$1:$I$89,3,0)*VLOOKUP('Données projet'!$B$15,Paramètres!$A$1:$I$89,5,0)</f>
        <v>1.0049916454590858E-13</v>
      </c>
      <c r="EL125" s="13">
        <f t="shared" si="99"/>
        <v>1.5089081593838289E-12</v>
      </c>
      <c r="EM125" s="20">
        <f t="shared" si="73"/>
        <v>2.8030510891776262E-12</v>
      </c>
      <c r="EN125" s="59">
        <f t="shared" si="74"/>
        <v>283.90332725079946</v>
      </c>
      <c r="EO125" s="59">
        <f ca="1">AVERAGE(OFFSET($EN$3,0,0,'Données projet'!$E$15+1,1))-AVERAGE(OFFSET($H$3,0,0,'Données projet'!$E$15+1,1))</f>
        <v>339.23049610652492</v>
      </c>
      <c r="EP125" s="59">
        <f t="shared" si="100"/>
        <v>448.85057640789785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48.347418143744001</v>
      </c>
      <c r="EW125" s="21">
        <f>EXP(-LN(2)/25)*EW124+(1-EXP(-LN(2)/25))/(LN(2)/25)*Calculateur!ER125*Calculateur!ET125*VLOOKUP('Données projet'!$B$15,Paramètres!$A$1:$I$89,3,0)*0.475*44/12</f>
        <v>21.043961879062923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69.391380022806928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5.6409999999999938</v>
      </c>
      <c r="FE125" s="12">
        <f>IF('Données projet'!$A$218&gt;35,FE124+FD125-FM124,IF(A125&lt;'Données projet'!$A$218,$FB$205^A125,IF(A125='Données projet'!$A$218,'Données projet'!$B$218,FE124+FD125-FM124)))</f>
        <v>243.32100000000051</v>
      </c>
      <c r="FF125" s="17">
        <f>FE125*VLOOKUP('Données projet'!$B$16,Paramètres!$A$1:$I$89,3,0)*VLOOKUP('Données projet'!$B$16,Paramètres!$A$1:$I$89,5,0)</f>
        <v>113.87422800000023</v>
      </c>
      <c r="FG125" s="13">
        <f t="shared" si="101"/>
        <v>30.241935912260949</v>
      </c>
      <c r="FH125" s="20">
        <f t="shared" si="76"/>
        <v>251.00231881385491</v>
      </c>
      <c r="FI125" s="59">
        <f t="shared" si="77"/>
        <v>534.90564606465159</v>
      </c>
      <c r="FJ125" s="59">
        <f ca="1">AVERAGE(OFFSET($FI$3,0,0,'Données projet'!$E$16+1,1))-AVERAGE(OFFSET($H$3,0,0,'Données projet'!$E$16+1,1))</f>
        <v>365.63278362856033</v>
      </c>
      <c r="FK125" s="59">
        <f t="shared" si="102"/>
        <v>290.68267842697452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121.92527828132047</v>
      </c>
      <c r="FR125" s="21">
        <f>EXP(-LN(2)/25)*FR124+(1-EXP(-LN(2)/25))/(LN(2)/25)*Calculateur!FM125*Calculateur!FO125*VLOOKUP('Données projet'!$B$16,Paramètres!$A$1:$I$89,3,0)*0.475*44/12</f>
        <v>44.696438836577705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166.62171711789819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6.8716666666666653</v>
      </c>
      <c r="FZ125" s="12">
        <f>IF('Données projet'!$A$244&gt;35,FZ124+FY125-GH124,IF(A125&lt;'Données projet'!$A$244,$FW$205^A125,IF(A125='Données projet'!$A$244,'Données projet'!$B$244,FZ124+FY125-GH124)))</f>
        <v>315.40833333333353</v>
      </c>
      <c r="GA125" s="17">
        <f>FZ125*VLOOKUP('Données projet'!$B$17,Paramètres!$A$1:$I$89,3,0)*VLOOKUP('Données projet'!$B$17,Paramètres!$A$1:$I$89,5,0)</f>
        <v>270.6203500000002</v>
      </c>
      <c r="GB125" s="13">
        <f t="shared" si="103"/>
        <v>64.980905624707688</v>
      </c>
      <c r="GC125" s="20">
        <f t="shared" si="79"/>
        <v>584.50552021303292</v>
      </c>
      <c r="GD125" s="59">
        <f t="shared" si="80"/>
        <v>868.4088474638296</v>
      </c>
      <c r="GE125" s="59">
        <f ca="1">AVERAGE(OFFSET($GD$3,0,0,'Données projet'!$E$17+1,1))-AVERAGE(OFFSET($H$3,0,0,'Données projet'!$E$17+1,1))</f>
        <v>460.46300302025099</v>
      </c>
      <c r="GF125" s="59">
        <f t="shared" si="104"/>
        <v>340.22534554615879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75.66676702733541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75.66676702733541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67.428180159308184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1.1368683772161603E-13</v>
      </c>
      <c r="GV125" s="17">
        <f>GU125*VLOOKUP('Données projet'!$B$18,Paramètres!$A$1:$I$89,3,0)*VLOOKUP('Données projet'!$B$18,Paramètres!$A$1:$I$89,5,0)</f>
        <v>6.7984728957526396E-14</v>
      </c>
      <c r="GW125" s="13">
        <f t="shared" si="105"/>
        <v>1.0682447123141398E-12</v>
      </c>
      <c r="GX125" s="20">
        <f t="shared" si="82"/>
        <v>1.978932943548152E-12</v>
      </c>
      <c r="GY125" s="59">
        <f t="shared" si="83"/>
        <v>283.90332725079867</v>
      </c>
      <c r="GZ125" s="59">
        <f ca="1">AVERAGE(OFFSET($GY$3,0,0,'Données projet'!$E$18+1,1))-AVERAGE(OFFSET($H$3,0,0,'Données projet'!$E$18+1,1))</f>
        <v>-15.950000000000017</v>
      </c>
      <c r="HA125" s="59">
        <f t="shared" si="106"/>
        <v>-15.950000000000017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45.126697115017087</v>
      </c>
      <c r="HH125" s="21">
        <f>EXP(-LN(2)/25)*HH124+(1-EXP(-LN(2)/25))/(LN(2)/25)*Calculateur!HC125*Calculateur!HE125*VLOOKUP('Données projet'!$B$18,Paramètres!$A$1:$I$89,3,0)*0.475*44/12</f>
        <v>18.301601674165813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63.428298789182904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4.3499999999999996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15.949999999999998</v>
      </c>
      <c r="H126" s="67">
        <f t="shared" si="56"/>
        <v>192.86666666666667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-9.9316821433603781E-14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433.46721010558042</v>
      </c>
      <c r="T126" s="59">
        <f t="shared" si="88"/>
        <v>306.18862295347509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63.849802044201084</v>
      </c>
      <c r="AA126" s="21">
        <f>EXP(-LN(2)/25)*AA125+(1-EXP(-LN(2)/25))/(LN(2)/25)*Calculateur!V126*Calculateur!X126*VLOOKUP('Données projet'!$B$9,Paramètres!$A$1:$I$89,3,0)*0.475*44/12</f>
        <v>21.909070304243905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85.758872348444982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284.06691677399539</v>
      </c>
      <c r="AN126" s="59">
        <f ca="1">AVERAGE(OFFSET($AM$3,0,0,'Données projet'!$E$10+1,1))-AVERAGE(OFFSET($H$3,0,0,'Données projet'!$E$10+1,1))</f>
        <v>400.1942260113168</v>
      </c>
      <c r="AO126" s="59">
        <f t="shared" si="90"/>
        <v>497.04866930593926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44.24179010915902</v>
      </c>
      <c r="AV126" s="21">
        <f>EXP(-LN(2)/25)*AV125+(1-EXP(-LN(2)/25))/(LN(2)/25)*Calculateur!AQ126*Calculateur!AS126*VLOOKUP('Données projet'!$B$10,Paramètres!$A$1:$I$89,3,0)*0.475*44/12</f>
        <v>17.801143413946345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62.042933523105361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284.78505691662588</v>
      </c>
      <c r="BJ126" s="59">
        <f t="shared" si="92"/>
        <v>664.42623058686308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380.64318988568527</v>
      </c>
      <c r="CE126" s="59">
        <f t="shared" si="94"/>
        <v>885.24651320439159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25.244110870875414</v>
      </c>
      <c r="CL126" s="21">
        <f>EXP(-LN(2)/25)*CL125+(1-EXP(-LN(2)/25))/(LN(2)/25)*Calculateur!CG126*Calculateur!CI126*VLOOKUP('Données projet'!$B$12,Paramètres!$A$1:$I$89,3,0)*0.475*44/12</f>
        <v>3.1095833389884704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28.353694209863885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-6.3550942286383367E-14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404.10467005188889</v>
      </c>
      <c r="CZ126" s="59">
        <f t="shared" si="96"/>
        <v>372.70490129557845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82.66012123270032</v>
      </c>
      <c r="DG126" s="21">
        <f>EXP(-LN(2)/25)*DG125+(1-EXP(-LN(2)/25))/(LN(2)/25)*Calculateur!DB126*Calculateur!DD126*VLOOKUP('Données projet'!$B$13,Paramètres!$A$1:$I$89,3,0)*0.475*44/12</f>
        <v>29.96939840016103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112.62951963286135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6.3069999999999995</v>
      </c>
      <c r="DO126" s="12">
        <f>IF('Données projet'!$A$166&gt;35,DO125+DN126-DW125,IF(A126&lt;'Données projet'!$A$166,$DL$205^A126,IF(A126='Données projet'!$A$166,'Données projet'!$B$166,DO125+DN126-DW125)))</f>
        <v>248.9969999999999</v>
      </c>
      <c r="DP126" s="17">
        <f>DO126*VLOOKUP('Données projet'!$B$14,Paramètres!$A$1:$I$89,3,0)*VLOOKUP('Données projet'!$B$14,Paramètres!$A$1:$I$89,5,0)</f>
        <v>225.29248559999988</v>
      </c>
      <c r="DQ126" s="13">
        <f t="shared" si="97"/>
        <v>55.263585021476032</v>
      </c>
      <c r="DR126" s="20">
        <f t="shared" si="70"/>
        <v>488.63515633240382</v>
      </c>
      <c r="DS126" s="59">
        <f t="shared" si="71"/>
        <v>772.70207310639717</v>
      </c>
      <c r="DT126" s="59">
        <f ca="1">AVERAGE(OFFSET($DS$3,0,0,'Données projet'!$E$14+1,1))-AVERAGE(OFFSET($H$3,0,0,'Données projet'!$E$14+1,1))</f>
        <v>479.53113328461268</v>
      </c>
      <c r="DU126" s="59">
        <f t="shared" si="98"/>
        <v>244.6360664588118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46.867848927862994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46.867848927862994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2.2737367544323206E-13</v>
      </c>
      <c r="EK126" s="17">
        <f>EJ126*VLOOKUP('Données projet'!$B$15,Paramètres!$A$1:$I$89,3,0)*VLOOKUP('Données projet'!$B$15,Paramètres!$A$1:$I$89,5,0)</f>
        <v>1.0049916454590858E-13</v>
      </c>
      <c r="EL126" s="13">
        <f t="shared" si="99"/>
        <v>1.5089081593838289E-12</v>
      </c>
      <c r="EM126" s="20">
        <f t="shared" si="73"/>
        <v>2.8030510891776262E-12</v>
      </c>
      <c r="EN126" s="59">
        <f t="shared" si="74"/>
        <v>284.06691677399618</v>
      </c>
      <c r="EO126" s="59">
        <f ca="1">AVERAGE(OFFSET($EN$3,0,0,'Données projet'!$E$15+1,1))-AVERAGE(OFFSET($H$3,0,0,'Données projet'!$E$15+1,1))</f>
        <v>339.23049610652492</v>
      </c>
      <c r="EP126" s="59">
        <f t="shared" si="100"/>
        <v>448.85057640789785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47.399354762958453</v>
      </c>
      <c r="EW126" s="21">
        <f>EXP(-LN(2)/25)*EW125+(1-EXP(-LN(2)/25))/(LN(2)/25)*Calculateur!ER126*Calculateur!ET126*VLOOKUP('Données projet'!$B$15,Paramètres!$A$1:$I$89,3,0)*0.475*44/12</f>
        <v>20.468513634826088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67.867868397784548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5.6409999999999938</v>
      </c>
      <c r="FE126" s="12">
        <f>IF('Données projet'!$A$218&gt;35,FE125+FD126-FM125,IF(A126&lt;'Données projet'!$A$218,$FB$205^A126,IF(A126='Données projet'!$A$218,'Données projet'!$B$218,FE125+FD126-FM125)))</f>
        <v>248.9620000000005</v>
      </c>
      <c r="FF126" s="17">
        <f>FE126*VLOOKUP('Données projet'!$B$16,Paramètres!$A$1:$I$89,3,0)*VLOOKUP('Données projet'!$B$16,Paramètres!$A$1:$I$89,5,0)</f>
        <v>116.51421600000023</v>
      </c>
      <c r="FG126" s="13">
        <f t="shared" si="101"/>
        <v>30.860607863693374</v>
      </c>
      <c r="FH126" s="20">
        <f t="shared" si="76"/>
        <v>256.67781822926639</v>
      </c>
      <c r="FI126" s="59">
        <f t="shared" si="77"/>
        <v>540.74473500325985</v>
      </c>
      <c r="FJ126" s="59">
        <f ca="1">AVERAGE(OFFSET($FI$3,0,0,'Données projet'!$E$16+1,1))-AVERAGE(OFFSET($H$3,0,0,'Données projet'!$E$16+1,1))</f>
        <v>365.63278362856033</v>
      </c>
      <c r="FK126" s="59">
        <f t="shared" si="102"/>
        <v>290.68267842697452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119.5343979413004</v>
      </c>
      <c r="FR126" s="21">
        <f>EXP(-LN(2)/25)*FR125+(1-EXP(-LN(2)/25))/(LN(2)/25)*Calculateur!FM126*Calculateur!FO126*VLOOKUP('Données projet'!$B$16,Paramètres!$A$1:$I$89,3,0)*0.475*44/12</f>
        <v>43.474212366107928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163.00861030740833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6.8716666666666653</v>
      </c>
      <c r="FZ126" s="12">
        <f>IF('Données projet'!$A$244&gt;35,FZ125+FY126-GH125,IF(A126&lt;'Données projet'!$A$244,$FW$205^A126,IF(A126='Données projet'!$A$244,'Données projet'!$B$244,FZ125+FY126-GH125)))</f>
        <v>322.2800000000002</v>
      </c>
      <c r="GA126" s="17">
        <f>FZ126*VLOOKUP('Données projet'!$B$17,Paramètres!$A$1:$I$89,3,0)*VLOOKUP('Données projet'!$B$17,Paramètres!$A$1:$I$89,5,0)</f>
        <v>276.51624000000021</v>
      </c>
      <c r="GB126" s="13">
        <f t="shared" si="103"/>
        <v>66.230254648246202</v>
      </c>
      <c r="GC126" s="20">
        <f t="shared" si="79"/>
        <v>596.95014484569595</v>
      </c>
      <c r="GD126" s="59">
        <f t="shared" si="80"/>
        <v>881.01706161968934</v>
      </c>
      <c r="GE126" s="59">
        <f ca="1">AVERAGE(OFFSET($GD$3,0,0,'Données projet'!$E$17+1,1))-AVERAGE(OFFSET($H$3,0,0,'Données projet'!$E$17+1,1))</f>
        <v>460.46300302025099</v>
      </c>
      <c r="GF126" s="59">
        <f t="shared" si="104"/>
        <v>340.22534554615879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74.182987878100107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74.182987878100107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67.472795483816384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1.1368683772161603E-13</v>
      </c>
      <c r="GV126" s="17">
        <f>GU126*VLOOKUP('Données projet'!$B$18,Paramètres!$A$1:$I$89,3,0)*VLOOKUP('Données projet'!$B$18,Paramètres!$A$1:$I$89,5,0)</f>
        <v>6.7984728957526396E-14</v>
      </c>
      <c r="GW126" s="13">
        <f t="shared" si="105"/>
        <v>1.0682447123141398E-12</v>
      </c>
      <c r="GX126" s="20">
        <f t="shared" si="82"/>
        <v>1.978932943548152E-12</v>
      </c>
      <c r="GY126" s="59">
        <f t="shared" si="83"/>
        <v>284.06691677399539</v>
      </c>
      <c r="GZ126" s="59">
        <f ca="1">AVERAGE(OFFSET($GY$3,0,0,'Données projet'!$E$18+1,1))-AVERAGE(OFFSET($H$3,0,0,'Données projet'!$E$18+1,1))</f>
        <v>-15.950000000000017</v>
      </c>
      <c r="HA126" s="59">
        <f t="shared" si="106"/>
        <v>-15.950000000000017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44.24179010915902</v>
      </c>
      <c r="HH126" s="21">
        <f>EXP(-LN(2)/25)*HH125+(1-EXP(-LN(2)/25))/(LN(2)/25)*Calculateur!HC126*Calculateur!HE126*VLOOKUP('Données projet'!$B$18,Paramètres!$A$1:$I$89,3,0)*0.475*44/12</f>
        <v>17.801143413946345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62.042933523105361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4.3499999999999996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15.949999999999998</v>
      </c>
      <c r="H127" s="67">
        <f t="shared" si="56"/>
        <v>192.86666666666667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-9.9316821433603781E-14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433.46721010558042</v>
      </c>
      <c r="T127" s="59">
        <f t="shared" si="88"/>
        <v>306.18862295347509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62.597746370648096</v>
      </c>
      <c r="AA127" s="21">
        <f>EXP(-LN(2)/25)*AA126+(1-EXP(-LN(2)/25))/(LN(2)/25)*Calculateur!V127*Calculateur!X127*VLOOKUP('Données projet'!$B$9,Paramètres!$A$1:$I$89,3,0)*0.475*44/12</f>
        <v>21.309965624626422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83.907711995274525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284.22766838469613</v>
      </c>
      <c r="AN127" s="59">
        <f ca="1">AVERAGE(OFFSET($AM$3,0,0,'Données projet'!$E$10+1,1))-AVERAGE(OFFSET($H$3,0,0,'Données projet'!$E$10+1,1))</f>
        <v>400.1942260113168</v>
      </c>
      <c r="AO127" s="59">
        <f t="shared" si="90"/>
        <v>497.04866930593926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43.374235589945847</v>
      </c>
      <c r="AV127" s="21">
        <f>EXP(-LN(2)/25)*AV126+(1-EXP(-LN(2)/25))/(LN(2)/25)*Calculateur!AQ127*Calculateur!AS127*VLOOKUP('Données projet'!$B$10,Paramètres!$A$1:$I$89,3,0)*0.475*44/12</f>
        <v>17.314370211170534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60.688605801116381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284.78505691662588</v>
      </c>
      <c r="BJ127" s="59">
        <f t="shared" si="92"/>
        <v>664.42623058686308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380.64318988568527</v>
      </c>
      <c r="CE127" s="59">
        <f t="shared" si="94"/>
        <v>885.24651320439159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24.749089254084812</v>
      </c>
      <c r="CL127" s="21">
        <f>EXP(-LN(2)/25)*CL126+(1-EXP(-LN(2)/25))/(LN(2)/25)*Calculateur!CG127*Calculateur!CI127*VLOOKUP('Données projet'!$B$12,Paramètres!$A$1:$I$89,3,0)*0.475*44/12</f>
        <v>3.02455161905795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27.77364087314276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-6.3550942286383367E-14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404.10467005188889</v>
      </c>
      <c r="CZ127" s="59">
        <f t="shared" si="96"/>
        <v>372.70490129557845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81.03920667302269</v>
      </c>
      <c r="DG127" s="21">
        <f>EXP(-LN(2)/25)*DG126+(1-EXP(-LN(2)/25))/(LN(2)/25)*Calculateur!DB127*Calculateur!DD127*VLOOKUP('Données projet'!$B$13,Paramètres!$A$1:$I$89,3,0)*0.475*44/12</f>
        <v>29.14988362488646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110.18909029790915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6.3069999999999995</v>
      </c>
      <c r="DO127" s="12">
        <f>IF('Données projet'!$A$166&gt;35,DO126+DN127-DW126,IF(A127&lt;'Données projet'!$A$166,$DL$205^A127,IF(A127='Données projet'!$A$166,'Données projet'!$B$166,DO126+DN127-DW126)))</f>
        <v>255.30399999999989</v>
      </c>
      <c r="DP127" s="17">
        <f>DO127*VLOOKUP('Données projet'!$B$14,Paramètres!$A$1:$I$89,3,0)*VLOOKUP('Données projet'!$B$14,Paramètres!$A$1:$I$89,5,0)</f>
        <v>230.99905919999989</v>
      </c>
      <c r="DQ127" s="13">
        <f t="shared" si="97"/>
        <v>56.498646965247765</v>
      </c>
      <c r="DR127" s="20">
        <f t="shared" si="70"/>
        <v>500.7251715711397</v>
      </c>
      <c r="DS127" s="59">
        <f t="shared" si="71"/>
        <v>784.95283995583384</v>
      </c>
      <c r="DT127" s="59">
        <f ca="1">AVERAGE(OFFSET($DS$3,0,0,'Données projet'!$E$14+1,1))-AVERAGE(OFFSET($H$3,0,0,'Données projet'!$E$14+1,1))</f>
        <v>479.53113328461268</v>
      </c>
      <c r="DU127" s="59">
        <f t="shared" si="98"/>
        <v>244.6360664588118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45.94879899695276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45.94879899695276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2.2737367544323206E-13</v>
      </c>
      <c r="EK127" s="17">
        <f>EJ127*VLOOKUP('Données projet'!$B$15,Paramètres!$A$1:$I$89,3,0)*VLOOKUP('Données projet'!$B$15,Paramètres!$A$1:$I$89,5,0)</f>
        <v>1.0049916454590858E-13</v>
      </c>
      <c r="EL127" s="13">
        <f t="shared" si="99"/>
        <v>1.5089081593838289E-12</v>
      </c>
      <c r="EM127" s="20">
        <f t="shared" si="73"/>
        <v>2.8030510891776262E-12</v>
      </c>
      <c r="EN127" s="59">
        <f t="shared" si="74"/>
        <v>284.22766838469693</v>
      </c>
      <c r="EO127" s="59">
        <f ca="1">AVERAGE(OFFSET($EN$3,0,0,'Données projet'!$E$15+1,1))-AVERAGE(OFFSET($H$3,0,0,'Données projet'!$E$15+1,1))</f>
        <v>339.23049610652492</v>
      </c>
      <c r="EP127" s="59">
        <f t="shared" si="100"/>
        <v>448.85057640789785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46.469882326808545</v>
      </c>
      <c r="EW127" s="21">
        <f>EXP(-LN(2)/25)*EW126+(1-EXP(-LN(2)/25))/(LN(2)/25)*Calculateur!ER127*Calculateur!ET127*VLOOKUP('Données projet'!$B$15,Paramètres!$A$1:$I$89,3,0)*0.475*44/12</f>
        <v>19.908801053089419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66.378683379897964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5.6409999999999938</v>
      </c>
      <c r="FE127" s="12">
        <f>IF('Données projet'!$A$218&gt;35,FE126+FD127-FM126,IF(A127&lt;'Données projet'!$A$218,$FB$205^A127,IF(A127='Données projet'!$A$218,'Données projet'!$B$218,FE126+FD127-FM126)))</f>
        <v>254.60300000000049</v>
      </c>
      <c r="FF127" s="17">
        <f>FE127*VLOOKUP('Données projet'!$B$16,Paramètres!$A$1:$I$89,3,0)*VLOOKUP('Données projet'!$B$16,Paramètres!$A$1:$I$89,5,0)</f>
        <v>119.15420400000023</v>
      </c>
      <c r="FG127" s="13">
        <f t="shared" si="101"/>
        <v>31.477650132098876</v>
      </c>
      <c r="FH127" s="20">
        <f t="shared" si="76"/>
        <v>262.35047928007265</v>
      </c>
      <c r="FI127" s="59">
        <f t="shared" si="77"/>
        <v>546.57814766476679</v>
      </c>
      <c r="FJ127" s="59">
        <f ca="1">AVERAGE(OFFSET($FI$3,0,0,'Données projet'!$E$16+1,1))-AVERAGE(OFFSET($H$3,0,0,'Données projet'!$E$16+1,1))</f>
        <v>365.63278362856033</v>
      </c>
      <c r="FK127" s="59">
        <f t="shared" si="102"/>
        <v>290.68267842697452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117.1904013064551</v>
      </c>
      <c r="FR127" s="21">
        <f>EXP(-LN(2)/25)*FR126+(1-EXP(-LN(2)/25))/(LN(2)/25)*Calculateur!FM127*Calculateur!FO127*VLOOKUP('Données projet'!$B$16,Paramètres!$A$1:$I$89,3,0)*0.475*44/12</f>
        <v>42.285407742747239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159.47580904920233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6.8716666666666653</v>
      </c>
      <c r="FZ127" s="12">
        <f>IF('Données projet'!$A$244&gt;35,FZ126+FY127-GH126,IF(A127&lt;'Données projet'!$A$244,$FW$205^A127,IF(A127='Données projet'!$A$244,'Données projet'!$B$244,FZ126+FY127-GH126)))</f>
        <v>329.15166666666687</v>
      </c>
      <c r="GA127" s="17">
        <f>FZ127*VLOOKUP('Données projet'!$B$17,Paramètres!$A$1:$I$89,3,0)*VLOOKUP('Données projet'!$B$17,Paramètres!$A$1:$I$89,5,0)</f>
        <v>282.41213000000022</v>
      </c>
      <c r="GB127" s="13">
        <f t="shared" si="103"/>
        <v>67.476506527394861</v>
      </c>
      <c r="GC127" s="20">
        <f t="shared" si="79"/>
        <v>609.38937528521308</v>
      </c>
      <c r="GD127" s="59">
        <f t="shared" si="80"/>
        <v>893.61704366990716</v>
      </c>
      <c r="GE127" s="59">
        <f ca="1">AVERAGE(OFFSET($GD$3,0,0,'Données projet'!$E$17+1,1))-AVERAGE(OFFSET($H$3,0,0,'Données projet'!$E$17+1,1))</f>
        <v>460.46300302025099</v>
      </c>
      <c r="GF127" s="59">
        <f t="shared" si="104"/>
        <v>340.22534554615879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72.728304732965384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72.728304732965384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67.516636832189306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1.1368683772161603E-13</v>
      </c>
      <c r="GV127" s="17">
        <f>GU127*VLOOKUP('Données projet'!$B$18,Paramètres!$A$1:$I$89,3,0)*VLOOKUP('Données projet'!$B$18,Paramètres!$A$1:$I$89,5,0)</f>
        <v>6.7984728957526396E-14</v>
      </c>
      <c r="GW127" s="13">
        <f t="shared" si="105"/>
        <v>1.0682447123141398E-12</v>
      </c>
      <c r="GX127" s="20">
        <f t="shared" si="82"/>
        <v>1.978932943548152E-12</v>
      </c>
      <c r="GY127" s="59">
        <f t="shared" si="83"/>
        <v>284.22766838469613</v>
      </c>
      <c r="GZ127" s="59">
        <f ca="1">AVERAGE(OFFSET($GY$3,0,0,'Données projet'!$E$18+1,1))-AVERAGE(OFFSET($H$3,0,0,'Données projet'!$E$18+1,1))</f>
        <v>-15.950000000000017</v>
      </c>
      <c r="HA127" s="59">
        <f t="shared" si="106"/>
        <v>-15.950000000000017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43.374235589945847</v>
      </c>
      <c r="HH127" s="21">
        <f>EXP(-LN(2)/25)*HH126+(1-EXP(-LN(2)/25))/(LN(2)/25)*Calculateur!HC127*Calculateur!HE127*VLOOKUP('Données projet'!$B$18,Paramètres!$A$1:$I$89,3,0)*0.475*44/12</f>
        <v>17.314370211170534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60.688605801116381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4.3499999999999996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15.949999999999998</v>
      </c>
      <c r="H128" s="67">
        <f t="shared" si="56"/>
        <v>192.86666666666667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-9.9316821433603781E-14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433.46721010558042</v>
      </c>
      <c r="T128" s="59">
        <f t="shared" si="88"/>
        <v>306.18862295347509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61.370242745174927</v>
      </c>
      <c r="AA128" s="21">
        <f>EXP(-LN(2)/25)*AA127+(1-EXP(-LN(2)/25))/(LN(2)/25)*Calculateur!V128*Calculateur!X128*VLOOKUP('Données projet'!$B$9,Paramètres!$A$1:$I$89,3,0)*0.475*44/12</f>
        <v>20.727243493978623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82.097486239153554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284.3856313143379</v>
      </c>
      <c r="AN128" s="59">
        <f ca="1">AVERAGE(OFFSET($AM$3,0,0,'Données projet'!$E$10+1,1))-AVERAGE(OFFSET($H$3,0,0,'Données projet'!$E$10+1,1))</f>
        <v>400.1942260113168</v>
      </c>
      <c r="AO128" s="59">
        <f t="shared" si="90"/>
        <v>497.04866930593926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42.523693285698435</v>
      </c>
      <c r="AV128" s="21">
        <f>EXP(-LN(2)/25)*AV127+(1-EXP(-LN(2)/25))/(LN(2)/25)*Calculateur!AQ128*Calculateur!AS128*VLOOKUP('Données projet'!$B$10,Paramètres!$A$1:$I$89,3,0)*0.475*44/12</f>
        <v>16.840907847222919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59.364601132921351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284.78505691662588</v>
      </c>
      <c r="BJ128" s="59">
        <f t="shared" si="92"/>
        <v>664.42623058686308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380.64318988568527</v>
      </c>
      <c r="CE128" s="59">
        <f t="shared" si="94"/>
        <v>885.24651320439159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24.263774709266102</v>
      </c>
      <c r="CL128" s="21">
        <f>EXP(-LN(2)/25)*CL127+(1-EXP(-LN(2)/25))/(LN(2)/25)*Calculateur!CG128*Calculateur!CI128*VLOOKUP('Données projet'!$B$12,Paramètres!$A$1:$I$89,3,0)*0.475*44/12</f>
        <v>2.9418450959805535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27.205619805246656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-6.3550942286383367E-14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404.10467005188889</v>
      </c>
      <c r="CZ128" s="59">
        <f t="shared" si="96"/>
        <v>372.70490129557845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79.450077259200071</v>
      </c>
      <c r="DG128" s="21">
        <f>EXP(-LN(2)/25)*DG127+(1-EXP(-LN(2)/25))/(LN(2)/25)*Calculateur!DB128*Calculateur!DD128*VLOOKUP('Données projet'!$B$13,Paramètres!$A$1:$I$89,3,0)*0.475*44/12</f>
        <v>28.352778524238182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107.80285578343825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6.3069999999999995</v>
      </c>
      <c r="DO128" s="12">
        <f>IF('Données projet'!$A$166&gt;35,DO127+DN128-DW127,IF(A128&lt;'Données projet'!$A$166,$DL$205^A128,IF(A128='Données projet'!$A$166,'Données projet'!$B$166,DO127+DN128-DW127)))</f>
        <v>261.61099999999988</v>
      </c>
      <c r="DP128" s="17">
        <f>DO128*VLOOKUP('Données projet'!$B$14,Paramètres!$A$1:$I$89,3,0)*VLOOKUP('Données projet'!$B$14,Paramètres!$A$1:$I$89,5,0)</f>
        <v>236.7056327999999</v>
      </c>
      <c r="DQ128" s="13">
        <f t="shared" si="97"/>
        <v>57.73016216900546</v>
      </c>
      <c r="DR128" s="20">
        <f t="shared" si="70"/>
        <v>512.80900957101755</v>
      </c>
      <c r="DS128" s="59">
        <f t="shared" si="71"/>
        <v>797.19464088535346</v>
      </c>
      <c r="DT128" s="59">
        <f ca="1">AVERAGE(OFFSET($DS$3,0,0,'Données projet'!$E$14+1,1))-AVERAGE(OFFSET($H$3,0,0,'Données projet'!$E$14+1,1))</f>
        <v>479.53113328461268</v>
      </c>
      <c r="DU128" s="59">
        <f t="shared" si="98"/>
        <v>244.6360664588118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45.047771074622567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45.047771074622567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2.2737367544323206E-13</v>
      </c>
      <c r="EK128" s="17">
        <f>EJ128*VLOOKUP('Données projet'!$B$15,Paramètres!$A$1:$I$89,3,0)*VLOOKUP('Données projet'!$B$15,Paramètres!$A$1:$I$89,5,0)</f>
        <v>1.0049916454590858E-13</v>
      </c>
      <c r="EL128" s="13">
        <f t="shared" si="99"/>
        <v>1.5089081593838289E-12</v>
      </c>
      <c r="EM128" s="20">
        <f t="shared" si="73"/>
        <v>2.8030510891776262E-12</v>
      </c>
      <c r="EN128" s="59">
        <f t="shared" si="74"/>
        <v>284.3856313143387</v>
      </c>
      <c r="EO128" s="59">
        <f ca="1">AVERAGE(OFFSET($EN$3,0,0,'Données projet'!$E$15+1,1))-AVERAGE(OFFSET($H$3,0,0,'Données projet'!$E$15+1,1))</f>
        <v>339.23049610652492</v>
      </c>
      <c r="EP128" s="59">
        <f t="shared" si="100"/>
        <v>448.85057640789785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45.558636278209327</v>
      </c>
      <c r="EW128" s="21">
        <f>EXP(-LN(2)/25)*EW127+(1-EXP(-LN(2)/25))/(LN(2)/25)*Calculateur!ER128*Calculateur!ET128*VLOOKUP('Données projet'!$B$15,Paramètres!$A$1:$I$89,3,0)*0.475*44/12</f>
        <v>19.364393841334344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64.923030119543668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5.6409999999999938</v>
      </c>
      <c r="FE128" s="12">
        <f>IF('Données projet'!$A$218&gt;35,FE127+FD128-FM127,IF(A128&lt;'Données projet'!$A$218,$FB$205^A128,IF(A128='Données projet'!$A$218,'Données projet'!$B$218,FE127+FD128-FM127)))</f>
        <v>260.24400000000048</v>
      </c>
      <c r="FF128" s="17">
        <f>FE128*VLOOKUP('Données projet'!$B$16,Paramètres!$A$1:$I$89,3,0)*VLOOKUP('Données projet'!$B$16,Paramètres!$A$1:$I$89,5,0)</f>
        <v>121.79419200000022</v>
      </c>
      <c r="FG128" s="13">
        <f t="shared" si="101"/>
        <v>32.093102982453836</v>
      </c>
      <c r="FH128" s="20">
        <f t="shared" si="76"/>
        <v>268.0203720944408</v>
      </c>
      <c r="FI128" s="59">
        <f t="shared" si="77"/>
        <v>552.40600340877677</v>
      </c>
      <c r="FJ128" s="59">
        <f ca="1">AVERAGE(OFFSET($FI$3,0,0,'Données projet'!$E$16+1,1))-AVERAGE(OFFSET($H$3,0,0,'Données projet'!$E$16+1,1))</f>
        <v>365.63278362856033</v>
      </c>
      <c r="FK128" s="59">
        <f t="shared" si="102"/>
        <v>290.68267842697452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114.89236901592234</v>
      </c>
      <c r="FR128" s="21">
        <f>EXP(-LN(2)/25)*FR127+(1-EXP(-LN(2)/25))/(LN(2)/25)*Calculateur!FM128*Calculateur!FO128*VLOOKUP('Données projet'!$B$16,Paramètres!$A$1:$I$89,3,0)*0.475*44/12</f>
        <v>41.129111044328866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156.02148006025121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6.8716666666666653</v>
      </c>
      <c r="FZ128" s="12">
        <f>IF('Données projet'!$A$244&gt;35,FZ127+FY128-GH127,IF(A128&lt;'Données projet'!$A$244,$FW$205^A128,IF(A128='Données projet'!$A$244,'Données projet'!$B$244,FZ127+FY128-GH127)))</f>
        <v>336.02333333333354</v>
      </c>
      <c r="GA128" s="17">
        <f>FZ128*VLOOKUP('Données projet'!$B$17,Paramètres!$A$1:$I$89,3,0)*VLOOKUP('Données projet'!$B$17,Paramètres!$A$1:$I$89,5,0)</f>
        <v>288.30802000000023</v>
      </c>
      <c r="GB128" s="13">
        <f t="shared" si="103"/>
        <v>68.719733370150607</v>
      </c>
      <c r="GC128" s="20">
        <f t="shared" si="79"/>
        <v>621.82333711967931</v>
      </c>
      <c r="GD128" s="59">
        <f t="shared" si="80"/>
        <v>906.20896843401522</v>
      </c>
      <c r="GE128" s="59">
        <f ca="1">AVERAGE(OFFSET($GD$3,0,0,'Données projet'!$E$17+1,1))-AVERAGE(OFFSET($H$3,0,0,'Données projet'!$E$17+1,1))</f>
        <v>460.46300302025099</v>
      </c>
      <c r="GF128" s="59">
        <f t="shared" si="104"/>
        <v>340.22534554615879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71.302147037037642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71.302147037037642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67.559717631182522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1.1368683772161603E-13</v>
      </c>
      <c r="GV128" s="17">
        <f>GU128*VLOOKUP('Données projet'!$B$18,Paramètres!$A$1:$I$89,3,0)*VLOOKUP('Données projet'!$B$18,Paramètres!$A$1:$I$89,5,0)</f>
        <v>6.7984728957526396E-14</v>
      </c>
      <c r="GW128" s="13">
        <f t="shared" si="105"/>
        <v>1.0682447123141398E-12</v>
      </c>
      <c r="GX128" s="20">
        <f t="shared" si="82"/>
        <v>1.978932943548152E-12</v>
      </c>
      <c r="GY128" s="59">
        <f t="shared" si="83"/>
        <v>284.3856313143379</v>
      </c>
      <c r="GZ128" s="59">
        <f ca="1">AVERAGE(OFFSET($GY$3,0,0,'Données projet'!$E$18+1,1))-AVERAGE(OFFSET($H$3,0,0,'Données projet'!$E$18+1,1))</f>
        <v>-15.950000000000017</v>
      </c>
      <c r="HA128" s="59">
        <f t="shared" si="106"/>
        <v>-15.950000000000017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42.523693285698435</v>
      </c>
      <c r="HH128" s="21">
        <f>EXP(-LN(2)/25)*HH127+(1-EXP(-LN(2)/25))/(LN(2)/25)*Calculateur!HC128*Calculateur!HE128*VLOOKUP('Données projet'!$B$18,Paramètres!$A$1:$I$89,3,0)*0.475*44/12</f>
        <v>16.840907847222919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59.364601132921351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4.3499999999999996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15.949999999999998</v>
      </c>
      <c r="H129" s="67">
        <f t="shared" si="56"/>
        <v>192.86666666666667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-9.9316821433603781E-14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433.46721010558042</v>
      </c>
      <c r="T129" s="59">
        <f t="shared" si="88"/>
        <v>306.18862295347509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60.166809717094004</v>
      </c>
      <c r="AA129" s="21">
        <f>EXP(-LN(2)/25)*AA128+(1-EXP(-LN(2)/25))/(LN(2)/25)*Calculateur!V129*Calculateur!X129*VLOOKUP('Données projet'!$B$9,Paramètres!$A$1:$I$89,3,0)*0.475*44/12</f>
        <v>20.160455930637415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80.327265647731423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284.54085394030261</v>
      </c>
      <c r="AN129" s="59">
        <f ca="1">AVERAGE(OFFSET($AM$3,0,0,'Données projet'!$E$10+1,1))-AVERAGE(OFFSET($H$3,0,0,'Données projet'!$E$10+1,1))</f>
        <v>400.1942260113168</v>
      </c>
      <c r="AO129" s="59">
        <f t="shared" si="90"/>
        <v>497.04866930593926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41.689829597257734</v>
      </c>
      <c r="AV129" s="21">
        <f>EXP(-LN(2)/25)*AV128+(1-EXP(-LN(2)/25))/(LN(2)/25)*Calculateur!AQ129*Calculateur!AS129*VLOOKUP('Données projet'!$B$10,Paramètres!$A$1:$I$89,3,0)*0.475*44/12</f>
        <v>16.380392336515754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58.070221933773489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284.78505691662588</v>
      </c>
      <c r="BJ129" s="59">
        <f t="shared" si="92"/>
        <v>664.42623058686308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380.64318988568527</v>
      </c>
      <c r="CE129" s="59">
        <f t="shared" si="94"/>
        <v>885.24651320439159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23.787976886658644</v>
      </c>
      <c r="CL129" s="21">
        <f>EXP(-LN(2)/25)*CL128+(1-EXP(-LN(2)/25))/(LN(2)/25)*Calculateur!CG129*Calculateur!CI129*VLOOKUP('Données projet'!$B$12,Paramètres!$A$1:$I$89,3,0)*0.475*44/12</f>
        <v>2.8614001871260553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26.649377073784699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-6.3550942286383367E-14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404.10467005188889</v>
      </c>
      <c r="CZ129" s="59">
        <f t="shared" si="96"/>
        <v>372.70490129557845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77.892109703909284</v>
      </c>
      <c r="DG129" s="21">
        <f>EXP(-LN(2)/25)*DG128+(1-EXP(-LN(2)/25))/(LN(2)/25)*Calculateur!DB129*Calculateur!DD129*VLOOKUP('Données projet'!$B$13,Paramètres!$A$1:$I$89,3,0)*0.475*44/12</f>
        <v>27.577470304485068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105.46958000839436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6.3069999999999995</v>
      </c>
      <c r="DO129" s="12">
        <f>IF('Données projet'!$A$166&gt;35,DO128+DN129-DW128,IF(A129&lt;'Données projet'!$A$166,$DL$205^A129,IF(A129='Données projet'!$A$166,'Données projet'!$B$166,DO128+DN129-DW128)))</f>
        <v>267.91799999999989</v>
      </c>
      <c r="DP129" s="17">
        <f>DO129*VLOOKUP('Données projet'!$B$14,Paramètres!$A$1:$I$89,3,0)*VLOOKUP('Données projet'!$B$14,Paramètres!$A$1:$I$89,5,0)</f>
        <v>242.41220639999992</v>
      </c>
      <c r="DQ129" s="13">
        <f t="shared" si="97"/>
        <v>58.958225976421161</v>
      </c>
      <c r="DR129" s="20">
        <f t="shared" si="70"/>
        <v>524.88683638893338</v>
      </c>
      <c r="DS129" s="59">
        <f t="shared" si="71"/>
        <v>809.427690329234</v>
      </c>
      <c r="DT129" s="59">
        <f ca="1">AVERAGE(OFFSET($DS$3,0,0,'Données projet'!$E$14+1,1))-AVERAGE(OFFSET($H$3,0,0,'Données projet'!$E$14+1,1))</f>
        <v>479.53113328461268</v>
      </c>
      <c r="DU129" s="59">
        <f t="shared" si="98"/>
        <v>244.6360664588118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44.164411760276501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44.164411760276501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2.2737367544323206E-13</v>
      </c>
      <c r="EK129" s="17">
        <f>EJ129*VLOOKUP('Données projet'!$B$15,Paramètres!$A$1:$I$89,3,0)*VLOOKUP('Données projet'!$B$15,Paramètres!$A$1:$I$89,5,0)</f>
        <v>1.0049916454590858E-13</v>
      </c>
      <c r="EL129" s="13">
        <f t="shared" si="99"/>
        <v>1.5089081593838289E-12</v>
      </c>
      <c r="EM129" s="20">
        <f t="shared" si="73"/>
        <v>2.8030510891776262E-12</v>
      </c>
      <c r="EN129" s="59">
        <f t="shared" si="74"/>
        <v>284.54085394030341</v>
      </c>
      <c r="EO129" s="59">
        <f ca="1">AVERAGE(OFFSET($EN$3,0,0,'Données projet'!$E$15+1,1))-AVERAGE(OFFSET($H$3,0,0,'Données projet'!$E$15+1,1))</f>
        <v>339.23049610652492</v>
      </c>
      <c r="EP129" s="59">
        <f t="shared" si="100"/>
        <v>448.85057640789785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44.665259208817936</v>
      </c>
      <c r="EW129" s="21">
        <f>EXP(-LN(2)/25)*EW128+(1-EXP(-LN(2)/25))/(LN(2)/25)*Calculateur!ER129*Calculateur!ET129*VLOOKUP('Données projet'!$B$15,Paramètres!$A$1:$I$89,3,0)*0.475*44/12</f>
        <v>18.834873473413843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63.500132682231779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5.6409999999999938</v>
      </c>
      <c r="FE129" s="12">
        <f>IF('Données projet'!$A$218&gt;35,FE128+FD129-FM128,IF(A129&lt;'Données projet'!$A$218,$FB$205^A129,IF(A129='Données projet'!$A$218,'Données projet'!$B$218,FE128+FD129-FM128)))</f>
        <v>265.8850000000005</v>
      </c>
      <c r="FF129" s="17">
        <f>FE129*VLOOKUP('Données projet'!$B$16,Paramètres!$A$1:$I$89,3,0)*VLOOKUP('Données projet'!$B$16,Paramètres!$A$1:$I$89,5,0)</f>
        <v>124.43418000000024</v>
      </c>
      <c r="FG129" s="13">
        <f t="shared" si="101"/>
        <v>32.70700483448563</v>
      </c>
      <c r="FH129" s="20">
        <f t="shared" si="76"/>
        <v>273.68756358672954</v>
      </c>
      <c r="FI129" s="59">
        <f t="shared" si="77"/>
        <v>558.22841752703016</v>
      </c>
      <c r="FJ129" s="59">
        <f ca="1">AVERAGE(OFFSET($FI$3,0,0,'Données projet'!$E$16+1,1))-AVERAGE(OFFSET($H$3,0,0,'Données projet'!$E$16+1,1))</f>
        <v>365.63278362856033</v>
      </c>
      <c r="FK129" s="59">
        <f t="shared" si="102"/>
        <v>290.68267842697452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112.63939973694563</v>
      </c>
      <c r="FR129" s="21">
        <f>EXP(-LN(2)/25)*FR128+(1-EXP(-LN(2)/25))/(LN(2)/25)*Calculateur!FM129*Calculateur!FO129*VLOOKUP('Données projet'!$B$16,Paramètres!$A$1:$I$89,3,0)*0.475*44/12</f>
        <v>40.004433339935744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152.64383307688138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6.8716666666666653</v>
      </c>
      <c r="FZ129" s="12">
        <f>IF('Données projet'!$A$244&gt;35,FZ128+FY129-GH128,IF(A129&lt;'Données projet'!$A$244,$FW$205^A129,IF(A129='Données projet'!$A$244,'Données projet'!$B$244,FZ128+FY129-GH128)))</f>
        <v>342.89500000000021</v>
      </c>
      <c r="GA129" s="17">
        <f>FZ129*VLOOKUP('Données projet'!$B$17,Paramètres!$A$1:$I$89,3,0)*VLOOKUP('Données projet'!$B$17,Paramètres!$A$1:$I$89,5,0)</f>
        <v>294.20391000000018</v>
      </c>
      <c r="GB129" s="13">
        <f t="shared" si="103"/>
        <v>69.96000416671292</v>
      </c>
      <c r="GC129" s="20">
        <f t="shared" si="79"/>
        <v>634.25215050702525</v>
      </c>
      <c r="GD129" s="59">
        <f t="shared" si="80"/>
        <v>918.79300444732587</v>
      </c>
      <c r="GE129" s="59">
        <f ca="1">AVERAGE(OFFSET($GD$3,0,0,'Données projet'!$E$17+1,1))-AVERAGE(OFFSET($H$3,0,0,'Données projet'!$E$17+1,1))</f>
        <v>460.46300302025099</v>
      </c>
      <c r="GF129" s="59">
        <f t="shared" si="104"/>
        <v>340.22534554615879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69.90395542365674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69.90395542365674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67.60205107462744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1.1368683772161603E-13</v>
      </c>
      <c r="GV129" s="17">
        <f>GU129*VLOOKUP('Données projet'!$B$18,Paramètres!$A$1:$I$89,3,0)*VLOOKUP('Données projet'!$B$18,Paramètres!$A$1:$I$89,5,0)</f>
        <v>6.7984728957526396E-14</v>
      </c>
      <c r="GW129" s="13">
        <f t="shared" si="105"/>
        <v>1.0682447123141398E-12</v>
      </c>
      <c r="GX129" s="20">
        <f t="shared" si="82"/>
        <v>1.978932943548152E-12</v>
      </c>
      <c r="GY129" s="59">
        <f t="shared" si="83"/>
        <v>284.54085394030261</v>
      </c>
      <c r="GZ129" s="59">
        <f ca="1">AVERAGE(OFFSET($GY$3,0,0,'Données projet'!$E$18+1,1))-AVERAGE(OFFSET($H$3,0,0,'Données projet'!$E$18+1,1))</f>
        <v>-15.950000000000017</v>
      </c>
      <c r="HA129" s="59">
        <f t="shared" si="106"/>
        <v>-15.950000000000017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41.689829597257734</v>
      </c>
      <c r="HH129" s="21">
        <f>EXP(-LN(2)/25)*HH128+(1-EXP(-LN(2)/25))/(LN(2)/25)*Calculateur!HC129*Calculateur!HE129*VLOOKUP('Données projet'!$B$18,Paramètres!$A$1:$I$89,3,0)*0.475*44/12</f>
        <v>16.380392336515754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58.070221933773489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4.3499999999999996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15.949999999999998</v>
      </c>
      <c r="H130" s="67">
        <f t="shared" si="56"/>
        <v>192.86666666666667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-9.9316821433603781E-14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433.46721010558042</v>
      </c>
      <c r="T130" s="59">
        <f t="shared" si="88"/>
        <v>306.18862295347509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58.986975276672077</v>
      </c>
      <c r="AA130" s="21">
        <f>EXP(-LN(2)/25)*AA129+(1-EXP(-LN(2)/25))/(LN(2)/25)*Calculateur!V130*Calculateur!X130*VLOOKUP('Données projet'!$B$9,Paramètres!$A$1:$I$89,3,0)*0.475*44/12</f>
        <v>19.609167203021833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78.59614247969391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284.69338380073265</v>
      </c>
      <c r="AN130" s="59">
        <f ca="1">AVERAGE(OFFSET($AM$3,0,0,'Données projet'!$E$10+1,1))-AVERAGE(OFFSET($H$3,0,0,'Données projet'!$E$10+1,1))</f>
        <v>400.1942260113168</v>
      </c>
      <c r="AO130" s="59">
        <f t="shared" si="90"/>
        <v>497.04866930593926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40.872317467140732</v>
      </c>
      <c r="AV130" s="21">
        <f>EXP(-LN(2)/25)*AV129+(1-EXP(-LN(2)/25))/(LN(2)/25)*Calculateur!AQ130*Calculateur!AS130*VLOOKUP('Données projet'!$B$10,Paramètres!$A$1:$I$89,3,0)*0.475*44/12</f>
        <v>15.932469646666336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56.804787113807066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284.78505691662588</v>
      </c>
      <c r="BJ130" s="59">
        <f t="shared" si="92"/>
        <v>664.42623058686308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380.64318988568527</v>
      </c>
      <c r="CE130" s="59">
        <f t="shared" si="94"/>
        <v>885.24651320439159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23.321509169144502</v>
      </c>
      <c r="CL130" s="21">
        <f>EXP(-LN(2)/25)*CL129+(1-EXP(-LN(2)/25))/(LN(2)/25)*Calculateur!CG130*Calculateur!CI130*VLOOKUP('Données projet'!$B$12,Paramètres!$A$1:$I$89,3,0)*0.475*44/12</f>
        <v>2.7831550485345971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26.104664217679098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-6.3550942286383367E-14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404.10467005188889</v>
      </c>
      <c r="CZ130" s="59">
        <f t="shared" si="96"/>
        <v>372.70490129557845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76.364692942111375</v>
      </c>
      <c r="DG130" s="21">
        <f>EXP(-LN(2)/25)*DG129+(1-EXP(-LN(2)/25))/(LN(2)/25)*Calculateur!DB130*Calculateur!DD130*VLOOKUP('Données projet'!$B$13,Paramètres!$A$1:$I$89,3,0)*0.475*44/12</f>
        <v>26.823362928772791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103.18805587088417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6.3069999999999995</v>
      </c>
      <c r="DO130" s="12">
        <f>IF('Données projet'!$A$166&gt;35,DO129+DN130-DW129,IF(A130&lt;'Données projet'!$A$166,$DL$205^A130,IF(A130='Données projet'!$A$166,'Données projet'!$B$166,DO129+DN130-DW129)))</f>
        <v>274.22499999999991</v>
      </c>
      <c r="DP130" s="17">
        <f>DO130*VLOOKUP('Données projet'!$B$14,Paramètres!$A$1:$I$89,3,0)*VLOOKUP('Données projet'!$B$14,Paramètres!$A$1:$I$89,5,0)</f>
        <v>248.11877999999993</v>
      </c>
      <c r="DQ130" s="13">
        <f t="shared" si="97"/>
        <v>60.182928986164484</v>
      </c>
      <c r="DR130" s="20">
        <f t="shared" si="70"/>
        <v>536.95880981756966</v>
      </c>
      <c r="DS130" s="59">
        <f t="shared" si="71"/>
        <v>821.65219361830032</v>
      </c>
      <c r="DT130" s="59">
        <f ca="1">AVERAGE(OFFSET($DS$3,0,0,'Données projet'!$E$14+1,1))-AVERAGE(OFFSET($H$3,0,0,'Données projet'!$E$14+1,1))</f>
        <v>479.53113328461268</v>
      </c>
      <c r="DU130" s="59">
        <f t="shared" si="98"/>
        <v>244.6360664588118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43.298374583288783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43.298374583288783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2.2737367544323206E-13</v>
      </c>
      <c r="EK130" s="17">
        <f>EJ130*VLOOKUP('Données projet'!$B$15,Paramètres!$A$1:$I$89,3,0)*VLOOKUP('Données projet'!$B$15,Paramètres!$A$1:$I$89,5,0)</f>
        <v>1.0049916454590858E-13</v>
      </c>
      <c r="EL130" s="13">
        <f t="shared" si="99"/>
        <v>1.5089081593838289E-12</v>
      </c>
      <c r="EM130" s="20">
        <f t="shared" si="73"/>
        <v>2.8030510891776262E-12</v>
      </c>
      <c r="EN130" s="59">
        <f t="shared" si="74"/>
        <v>284.69338380073344</v>
      </c>
      <c r="EO130" s="59">
        <f ca="1">AVERAGE(OFFSET($EN$3,0,0,'Données projet'!$E$15+1,1))-AVERAGE(OFFSET($H$3,0,0,'Données projet'!$E$15+1,1))</f>
        <v>339.23049610652492</v>
      </c>
      <c r="EP130" s="59">
        <f t="shared" si="100"/>
        <v>448.85057640789785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43.789400718851098</v>
      </c>
      <c r="EW130" s="21">
        <f>EXP(-LN(2)/25)*EW129+(1-EXP(-LN(2)/25))/(LN(2)/25)*Calculateur!ER130*Calculateur!ET130*VLOOKUP('Données projet'!$B$15,Paramètres!$A$1:$I$89,3,0)*0.475*44/12</f>
        <v>18.319832867800393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62.109233586651492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5.6409999999999938</v>
      </c>
      <c r="FE130" s="12">
        <f>IF('Données projet'!$A$218&gt;35,FE129+FD130-FM129,IF(A130&lt;'Données projet'!$A$218,$FB$205^A130,IF(A130='Données projet'!$A$218,'Données projet'!$B$218,FE129+FD130-FM129)))</f>
        <v>271.52600000000052</v>
      </c>
      <c r="FF130" s="17">
        <f>FE130*VLOOKUP('Données projet'!$B$16,Paramètres!$A$1:$I$89,3,0)*VLOOKUP('Données projet'!$B$16,Paramètres!$A$1:$I$89,5,0)</f>
        <v>127.07416800000024</v>
      </c>
      <c r="FG130" s="13">
        <f t="shared" si="101"/>
        <v>33.319392384561489</v>
      </c>
      <c r="FH130" s="20">
        <f t="shared" si="76"/>
        <v>279.35211766977835</v>
      </c>
      <c r="FI130" s="59">
        <f t="shared" si="77"/>
        <v>564.04550147050895</v>
      </c>
      <c r="FJ130" s="59">
        <f ca="1">AVERAGE(OFFSET($FI$3,0,0,'Données projet'!$E$16+1,1))-AVERAGE(OFFSET($H$3,0,0,'Données projet'!$E$16+1,1))</f>
        <v>365.63278362856033</v>
      </c>
      <c r="FK130" s="59">
        <f t="shared" si="102"/>
        <v>290.68267842697452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110.43060981135409</v>
      </c>
      <c r="FR130" s="21">
        <f>EXP(-LN(2)/25)*FR129+(1-EXP(-LN(2)/25))/(LN(2)/25)*Calculateur!FM130*Calculateur!FO130*VLOOKUP('Données projet'!$B$16,Paramètres!$A$1:$I$89,3,0)*0.475*44/12</f>
        <v>38.910510006513483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149.34111981786756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6.8716666666666653</v>
      </c>
      <c r="FZ130" s="12">
        <f>IF('Données projet'!$A$244&gt;35,FZ129+FY130-GH129,IF(A130&lt;'Données projet'!$A$244,$FW$205^A130,IF(A130='Données projet'!$A$244,'Données projet'!$B$244,FZ129+FY130-GH129)))</f>
        <v>349.76666666666688</v>
      </c>
      <c r="GA130" s="17">
        <f>FZ130*VLOOKUP('Données projet'!$B$17,Paramètres!$A$1:$I$89,3,0)*VLOOKUP('Données projet'!$B$17,Paramètres!$A$1:$I$89,5,0)</f>
        <v>300.09980000000024</v>
      </c>
      <c r="GB130" s="13">
        <f t="shared" si="103"/>
        <v>71.197384984025447</v>
      </c>
      <c r="GC130" s="20">
        <f t="shared" si="79"/>
        <v>646.67593051384472</v>
      </c>
      <c r="GD130" s="59">
        <f t="shared" si="80"/>
        <v>931.36931431457538</v>
      </c>
      <c r="GE130" s="59">
        <f ca="1">AVERAGE(OFFSET($GD$3,0,0,'Données projet'!$E$17+1,1))-AVERAGE(OFFSET($H$3,0,0,'Données projet'!$E$17+1,1))</f>
        <v>460.46300302025099</v>
      </c>
      <c r="GF130" s="59">
        <f t="shared" si="104"/>
        <v>340.22534554615879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68.533181495001571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68.533181495001571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67.643650127472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1.1368683772161603E-13</v>
      </c>
      <c r="GV130" s="17">
        <f>GU130*VLOOKUP('Données projet'!$B$18,Paramètres!$A$1:$I$89,3,0)*VLOOKUP('Données projet'!$B$18,Paramètres!$A$1:$I$89,5,0)</f>
        <v>6.7984728957526396E-14</v>
      </c>
      <c r="GW130" s="13">
        <f t="shared" si="105"/>
        <v>1.0682447123141398E-12</v>
      </c>
      <c r="GX130" s="20">
        <f t="shared" si="82"/>
        <v>1.978932943548152E-12</v>
      </c>
      <c r="GY130" s="59">
        <f t="shared" si="83"/>
        <v>284.69338380073265</v>
      </c>
      <c r="GZ130" s="59">
        <f ca="1">AVERAGE(OFFSET($GY$3,0,0,'Données projet'!$E$18+1,1))-AVERAGE(OFFSET($H$3,0,0,'Données projet'!$E$18+1,1))</f>
        <v>-15.950000000000017</v>
      </c>
      <c r="HA130" s="59">
        <f t="shared" si="106"/>
        <v>-15.950000000000017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40.872317467140732</v>
      </c>
      <c r="HH130" s="21">
        <f>EXP(-LN(2)/25)*HH129+(1-EXP(-LN(2)/25))/(LN(2)/25)*Calculateur!HC130*Calculateur!HE130*VLOOKUP('Données projet'!$B$18,Paramètres!$A$1:$I$89,3,0)*0.475*44/12</f>
        <v>15.932469646666336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56.804787113807066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4.3499999999999996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15.949999999999998</v>
      </c>
      <c r="H131" s="67">
        <f t="shared" si="56"/>
        <v>192.86666666666667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-9.9316821433603781E-14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433.46721010558042</v>
      </c>
      <c r="T131" s="59">
        <f t="shared" si="88"/>
        <v>306.18862295347509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57.830276669998874</v>
      </c>
      <c r="AA131" s="21">
        <f>EXP(-LN(2)/25)*AA130+(1-EXP(-LN(2)/25))/(LN(2)/25)*Calculateur!V131*Calculateur!X131*VLOOKUP('Données projet'!$B$9,Paramètres!$A$1:$I$89,3,0)*0.475*44/12</f>
        <v>19.072953494653916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76.903230164652797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284.84326760908993</v>
      </c>
      <c r="AN131" s="59">
        <f ca="1">AVERAGE(OFFSET($AM$3,0,0,'Données projet'!$E$10+1,1))-AVERAGE(OFFSET($H$3,0,0,'Données projet'!$E$10+1,1))</f>
        <v>400.1942260113168</v>
      </c>
      <c r="AO131" s="59">
        <f t="shared" si="90"/>
        <v>497.04866930593926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40.070836251262158</v>
      </c>
      <c r="AV131" s="21">
        <f>EXP(-LN(2)/25)*AV130+(1-EXP(-LN(2)/25))/(LN(2)/25)*Calculateur!AQ131*Calculateur!AS131*VLOOKUP('Données projet'!$B$10,Paramètres!$A$1:$I$89,3,0)*0.475*44/12</f>
        <v>15.496795426326081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55.567631677588238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284.78505691662588</v>
      </c>
      <c r="BJ131" s="59">
        <f t="shared" si="92"/>
        <v>664.42623058686308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380.64318988568527</v>
      </c>
      <c r="CE131" s="59">
        <f t="shared" si="94"/>
        <v>885.24651320439159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22.864188599053598</v>
      </c>
      <c r="CL131" s="21">
        <f>EXP(-LN(2)/25)*CL130+(1-EXP(-LN(2)/25))/(LN(2)/25)*Calculateur!CG131*Calculateur!CI131*VLOOKUP('Données projet'!$B$12,Paramètres!$A$1:$I$89,3,0)*0.475*44/12</f>
        <v>2.7070495273726554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25.571238126426252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-6.3550942286383367E-14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404.10467005188889</v>
      </c>
      <c r="CZ131" s="59">
        <f t="shared" si="96"/>
        <v>372.70490129557845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74.867227891380082</v>
      </c>
      <c r="DG131" s="21">
        <f>EXP(-LN(2)/25)*DG130+(1-EXP(-LN(2)/25))/(LN(2)/25)*Calculateur!DB131*Calculateur!DD131*VLOOKUP('Données projet'!$B$13,Paramètres!$A$1:$I$89,3,0)*0.475*44/12</f>
        <v>26.089876658906149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100.95710455028623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6.3069999999999995</v>
      </c>
      <c r="DO131" s="12">
        <f>IF('Données projet'!$A$166&gt;35,DO130+DN131-DW130,IF(A131&lt;'Données projet'!$A$166,$DL$205^A131,IF(A131='Données projet'!$A$166,'Données projet'!$B$166,DO130+DN131-DW130)))</f>
        <v>280.53199999999993</v>
      </c>
      <c r="DP131" s="17">
        <f>DO131*VLOOKUP('Données projet'!$B$14,Paramètres!$A$1:$I$89,3,0)*VLOOKUP('Données projet'!$B$14,Paramètres!$A$1:$I$89,5,0)</f>
        <v>253.82535359999994</v>
      </c>
      <c r="DQ131" s="13">
        <f t="shared" si="97"/>
        <v>61.404357391666977</v>
      </c>
      <c r="DR131" s="20">
        <f t="shared" si="70"/>
        <v>549.02507997715327</v>
      </c>
      <c r="DS131" s="59">
        <f t="shared" si="71"/>
        <v>833.86834758624127</v>
      </c>
      <c r="DT131" s="59">
        <f ca="1">AVERAGE(OFFSET($DS$3,0,0,'Données projet'!$E$14+1,1))-AVERAGE(OFFSET($H$3,0,0,'Données projet'!$E$14+1,1))</f>
        <v>479.53113328461268</v>
      </c>
      <c r="DU131" s="59">
        <f t="shared" si="98"/>
        <v>244.6360664588118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42.449319867111278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42.449319867111278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2.2737367544323206E-13</v>
      </c>
      <c r="EK131" s="17">
        <f>EJ131*VLOOKUP('Données projet'!$B$15,Paramètres!$A$1:$I$89,3,0)*VLOOKUP('Données projet'!$B$15,Paramètres!$A$1:$I$89,5,0)</f>
        <v>1.0049916454590858E-13</v>
      </c>
      <c r="EL131" s="13">
        <f t="shared" si="99"/>
        <v>1.5089081593838289E-12</v>
      </c>
      <c r="EM131" s="20">
        <f t="shared" si="73"/>
        <v>2.8030510891776262E-12</v>
      </c>
      <c r="EN131" s="59">
        <f t="shared" si="74"/>
        <v>284.84326760909073</v>
      </c>
      <c r="EO131" s="59">
        <f ca="1">AVERAGE(OFFSET($EN$3,0,0,'Données projet'!$E$15+1,1))-AVERAGE(OFFSET($H$3,0,0,'Données projet'!$E$15+1,1))</f>
        <v>339.23049610652492</v>
      </c>
      <c r="EP131" s="59">
        <f t="shared" si="100"/>
        <v>448.85057640789785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42.930717279651581</v>
      </c>
      <c r="EW131" s="21">
        <f>EXP(-LN(2)/25)*EW130+(1-EXP(-LN(2)/25))/(LN(2)/25)*Calculateur!ER131*Calculateur!ET131*VLOOKUP('Données projet'!$B$15,Paramètres!$A$1:$I$89,3,0)*0.475*44/12</f>
        <v>17.81887607463225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60.749593354283832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5.6409999999999938</v>
      </c>
      <c r="FE131" s="12">
        <f>IF('Données projet'!$A$218&gt;35,FE130+FD131-FM130,IF(A131&lt;'Données projet'!$A$218,$FB$205^A131,IF(A131='Données projet'!$A$218,'Données projet'!$B$218,FE130+FD131-FM130)))</f>
        <v>277.16700000000054</v>
      </c>
      <c r="FF131" s="17">
        <f>FE131*VLOOKUP('Données projet'!$B$16,Paramètres!$A$1:$I$89,3,0)*VLOOKUP('Données projet'!$B$16,Paramètres!$A$1:$I$89,5,0)</f>
        <v>129.71415600000026</v>
      </c>
      <c r="FG131" s="13">
        <f t="shared" si="101"/>
        <v>33.930300717162936</v>
      </c>
      <c r="FH131" s="20">
        <f t="shared" si="76"/>
        <v>285.0140954490592</v>
      </c>
      <c r="FI131" s="59">
        <f t="shared" si="77"/>
        <v>569.85736305814714</v>
      </c>
      <c r="FJ131" s="59">
        <f ca="1">AVERAGE(OFFSET($FI$3,0,0,'Données projet'!$E$16+1,1))-AVERAGE(OFFSET($H$3,0,0,'Données projet'!$E$16+1,1))</f>
        <v>365.63278362856033</v>
      </c>
      <c r="FK131" s="59">
        <f t="shared" si="102"/>
        <v>290.68267842697452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108.26513290897456</v>
      </c>
      <c r="FR131" s="21">
        <f>EXP(-LN(2)/25)*FR130+(1-EXP(-LN(2)/25))/(LN(2)/25)*Calculateur!FM131*Calculateur!FO131*VLOOKUP('Données projet'!$B$16,Paramètres!$A$1:$I$89,3,0)*0.475*44/12</f>
        <v>37.846500064170584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146.11163297314516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6.8716666666666653</v>
      </c>
      <c r="FZ131" s="12">
        <f>IF('Données projet'!$A$244&gt;35,FZ130+FY131-GH130,IF(A131&lt;'Données projet'!$A$244,$FW$205^A131,IF(A131='Données projet'!$A$244,'Données projet'!$B$244,FZ130+FY131-GH130)))</f>
        <v>356.63833333333355</v>
      </c>
      <c r="GA131" s="17">
        <f>FZ131*VLOOKUP('Données projet'!$B$17,Paramètres!$A$1:$I$89,3,0)*VLOOKUP('Données projet'!$B$17,Paramètres!$A$1:$I$89,5,0)</f>
        <v>305.99569000000025</v>
      </c>
      <c r="GB131" s="13">
        <f t="shared" si="103"/>
        <v>72.43193914459674</v>
      </c>
      <c r="GC131" s="20">
        <f t="shared" si="79"/>
        <v>659.09478742683973</v>
      </c>
      <c r="GD131" s="59">
        <f t="shared" si="80"/>
        <v>943.93805503592762</v>
      </c>
      <c r="GE131" s="59">
        <f ca="1">AVERAGE(OFFSET($GD$3,0,0,'Données projet'!$E$17+1,1))-AVERAGE(OFFSET($H$3,0,0,'Données projet'!$E$17+1,1))</f>
        <v>460.46300302025099</v>
      </c>
      <c r="GF131" s="59">
        <f t="shared" si="104"/>
        <v>340.22534554615879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67.18928760699778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67.18928760699778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67.68452752975125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1.1368683772161603E-13</v>
      </c>
      <c r="GV131" s="17">
        <f>GU131*VLOOKUP('Données projet'!$B$18,Paramètres!$A$1:$I$89,3,0)*VLOOKUP('Données projet'!$B$18,Paramètres!$A$1:$I$89,5,0)</f>
        <v>6.7984728957526396E-14</v>
      </c>
      <c r="GW131" s="13">
        <f t="shared" si="105"/>
        <v>1.0682447123141398E-12</v>
      </c>
      <c r="GX131" s="20">
        <f t="shared" si="82"/>
        <v>1.978932943548152E-12</v>
      </c>
      <c r="GY131" s="59">
        <f t="shared" si="83"/>
        <v>284.84326760908993</v>
      </c>
      <c r="GZ131" s="59">
        <f ca="1">AVERAGE(OFFSET($GY$3,0,0,'Données projet'!$E$18+1,1))-AVERAGE(OFFSET($H$3,0,0,'Données projet'!$E$18+1,1))</f>
        <v>-15.950000000000017</v>
      </c>
      <c r="HA131" s="59">
        <f t="shared" si="106"/>
        <v>-15.950000000000017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40.070836251262158</v>
      </c>
      <c r="HH131" s="21">
        <f>EXP(-LN(2)/25)*HH130+(1-EXP(-LN(2)/25))/(LN(2)/25)*Calculateur!HC131*Calculateur!HE131*VLOOKUP('Données projet'!$B$18,Paramètres!$A$1:$I$89,3,0)*0.475*44/12</f>
        <v>15.496795426326081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55.567631677588238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4.3499999999999996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15.949999999999998</v>
      </c>
      <c r="H132" s="67">
        <f t="shared" ref="H132:H195" si="110">(B132+E132+F132)*44/12+(C132+D132)*0.475*44/12</f>
        <v>192.86666666666667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-9.9316821433603781E-14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433.46721010558042</v>
      </c>
      <c r="T132" s="59">
        <f t="shared" si="88"/>
        <v>306.18862295347509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56.696260217486049</v>
      </c>
      <c r="AA132" s="21">
        <f>EXP(-LN(2)/25)*AA131+(1-EXP(-LN(2)/25))/(LN(2)/25)*Calculateur!V132*Calculateur!X132*VLOOKUP('Données projet'!$B$9,Paramètres!$A$1:$I$89,3,0)*0.475*44/12</f>
        <v>18.551402578339573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75.247662795825619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284.99055126846218</v>
      </c>
      <c r="AN132" s="59">
        <f ca="1">AVERAGE(OFFSET($AM$3,0,0,'Données projet'!$E$10+1,1))-AVERAGE(OFFSET($H$3,0,0,'Données projet'!$E$10+1,1))</f>
        <v>400.1942260113168</v>
      </c>
      <c r="AO132" s="59">
        <f t="shared" si="90"/>
        <v>497.04866930593926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39.285071593171693</v>
      </c>
      <c r="AV132" s="21">
        <f>EXP(-LN(2)/25)*AV131+(1-EXP(-LN(2)/25))/(LN(2)/25)*Calculateur!AQ132*Calculateur!AS132*VLOOKUP('Données projet'!$B$10,Paramètres!$A$1:$I$89,3,0)*0.475*44/12</f>
        <v>15.07303474045214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54.358106333623837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284.78505691662588</v>
      </c>
      <c r="BJ132" s="59">
        <f t="shared" si="92"/>
        <v>664.42623058686308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380.64318988568527</v>
      </c>
      <c r="CE132" s="59">
        <f t="shared" si="94"/>
        <v>885.24651320439159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22.415835806404171</v>
      </c>
      <c r="CL132" s="21">
        <f>EXP(-LN(2)/25)*CL131+(1-EXP(-LN(2)/25))/(LN(2)/25)*Calculateur!CG132*Calculateur!CI132*VLOOKUP('Données projet'!$B$12,Paramètres!$A$1:$I$89,3,0)*0.475*44/12</f>
        <v>2.6330251156891027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25.048860922093276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-6.3550942286383367E-14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404.10467005188889</v>
      </c>
      <c r="CZ132" s="59">
        <f t="shared" si="96"/>
        <v>372.70490129557845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73.39912721693014</v>
      </c>
      <c r="DG132" s="21">
        <f>EXP(-LN(2)/25)*DG131+(1-EXP(-LN(2)/25))/(LN(2)/25)*Calculateur!DB132*Calculateur!DD132*VLOOKUP('Données projet'!$B$13,Paramètres!$A$1:$I$89,3,0)*0.475*44/12</f>
        <v>25.376447609661376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98.775574826591509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6.3069999999999995</v>
      </c>
      <c r="DO132" s="12">
        <f>IF('Données projet'!$A$166&gt;35,DO131+DN132-DW131,IF(A132&lt;'Données projet'!$A$166,$DL$205^A132,IF(A132='Données projet'!$A$166,'Données projet'!$B$166,DO131+DN132-DW131)))</f>
        <v>286.83899999999994</v>
      </c>
      <c r="DP132" s="17">
        <f>DO132*VLOOKUP('Données projet'!$B$14,Paramètres!$A$1:$I$89,3,0)*VLOOKUP('Données projet'!$B$14,Paramètres!$A$1:$I$89,5,0)</f>
        <v>259.53192719999993</v>
      </c>
      <c r="DQ132" s="13">
        <f t="shared" si="97"/>
        <v>62.62259328947092</v>
      </c>
      <c r="DR132" s="20">
        <f t="shared" ref="DR132:DR153" si="124">(DP132+DQ132)*0.475*44/12</f>
        <v>561.08578985249494</v>
      </c>
      <c r="DS132" s="59">
        <f t="shared" ref="DS132:DS195" si="125">DR132+(DJ132+DK132)*44/12</f>
        <v>846.07634112095514</v>
      </c>
      <c r="DT132" s="59">
        <f ca="1">AVERAGE(OFFSET($DS$3,0,0,'Données projet'!$E$14+1,1))-AVERAGE(OFFSET($H$3,0,0,'Données projet'!$E$14+1,1))</f>
        <v>479.53113328461268</v>
      </c>
      <c r="DU132" s="59">
        <f t="shared" si="98"/>
        <v>244.6360664588118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41.616914596045767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41.616914596045767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2.2737367544323206E-13</v>
      </c>
      <c r="EK132" s="17">
        <f>EJ132*VLOOKUP('Données projet'!$B$15,Paramètres!$A$1:$I$89,3,0)*VLOOKUP('Données projet'!$B$15,Paramètres!$A$1:$I$89,5,0)</f>
        <v>1.0049916454590858E-13</v>
      </c>
      <c r="EL132" s="13">
        <f t="shared" si="99"/>
        <v>1.5089081593838289E-12</v>
      </c>
      <c r="EM132" s="20">
        <f t="shared" ref="EM132:EM153" si="127">(EK132+EL132)*0.475*44/12</f>
        <v>2.8030510891776262E-12</v>
      </c>
      <c r="EN132" s="59">
        <f t="shared" ref="EN132:EN195" si="128">EM132+(EE132+EF132)*44/12</f>
        <v>284.99055126846298</v>
      </c>
      <c r="EO132" s="59">
        <f ca="1">AVERAGE(OFFSET($EN$3,0,0,'Données projet'!$E$15+1,1))-AVERAGE(OFFSET($H$3,0,0,'Données projet'!$E$15+1,1))</f>
        <v>339.23049610652492</v>
      </c>
      <c r="EP132" s="59">
        <f t="shared" si="100"/>
        <v>448.85057640789785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42.088872098949587</v>
      </c>
      <c r="EW132" s="21">
        <f>EXP(-LN(2)/25)*EW131+(1-EXP(-LN(2)/25))/(LN(2)/25)*Calculateur!ER132*Calculateur!ET132*VLOOKUP('Données projet'!$B$15,Paramètres!$A$1:$I$89,3,0)*0.475*44/12</f>
        <v>17.331617971317463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59.42049007026705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5.6409999999999938</v>
      </c>
      <c r="FE132" s="12">
        <f>IF('Données projet'!$A$218&gt;35,FE131+FD132-FM131,IF(A132&lt;'Données projet'!$A$218,$FB$205^A132,IF(A132='Données projet'!$A$218,'Données projet'!$B$218,FE131+FD132-FM131)))</f>
        <v>282.80800000000056</v>
      </c>
      <c r="FF132" s="17">
        <f>FE132*VLOOKUP('Données projet'!$B$16,Paramètres!$A$1:$I$89,3,0)*VLOOKUP('Données projet'!$B$16,Paramètres!$A$1:$I$89,5,0)</f>
        <v>132.35414400000025</v>
      </c>
      <c r="FG132" s="13">
        <f t="shared" si="101"/>
        <v>34.539763407028346</v>
      </c>
      <c r="FH132" s="20">
        <f t="shared" ref="FH132:FH153" si="130">(FF132+FG132)*0.475*44/12</f>
        <v>290.6735554005748</v>
      </c>
      <c r="FI132" s="59">
        <f t="shared" ref="FI132:FI195" si="131">FH132+(EZ132+FA132)*44/12</f>
        <v>575.66410666903494</v>
      </c>
      <c r="FJ132" s="59">
        <f ca="1">AVERAGE(OFFSET($FI$3,0,0,'Données projet'!$E$16+1,1))-AVERAGE(OFFSET($H$3,0,0,'Données projet'!$E$16+1,1))</f>
        <v>365.63278362856033</v>
      </c>
      <c r="FK132" s="59">
        <f t="shared" si="102"/>
        <v>290.68267842697452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106.14211968784021</v>
      </c>
      <c r="FR132" s="21">
        <f>EXP(-LN(2)/25)*FR131+(1-EXP(-LN(2)/25))/(LN(2)/25)*Calculateur!FM132*Calculateur!FO132*VLOOKUP('Données projet'!$B$16,Paramètres!$A$1:$I$89,3,0)*0.475*44/12</f>
        <v>36.811585529654899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142.9537052174951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>
        <f>VLOOKUP(A132,'Données projet'!$A$243:$I$263,2,0)</f>
        <v>363.51</v>
      </c>
      <c r="FX132" s="12">
        <f>VLOOKUP(A132,'Données projet'!$A$243:$I$263,9,0)</f>
        <v>6.8716666666666653</v>
      </c>
      <c r="FY132" s="12">
        <f t="array" ref="FY132">INDEX(FX:FX,MIN(IF(ISNUMBER(FX132:FX328),ROW(FX132:FX328),"")))</f>
        <v>6.8716666666666653</v>
      </c>
      <c r="FZ132" s="12">
        <f>IF('Données projet'!$A$244&gt;35,FZ131+FY132-GH131,IF(A132&lt;'Données projet'!$A$244,$FW$205^A132,IF(A132='Données projet'!$A$244,'Données projet'!$B$244,FZ131+FY132-GH131)))</f>
        <v>363.51000000000022</v>
      </c>
      <c r="GA132" s="17">
        <f>FZ132*VLOOKUP('Données projet'!$B$17,Paramètres!$A$1:$I$89,3,0)*VLOOKUP('Données projet'!$B$17,Paramètres!$A$1:$I$89,5,0)</f>
        <v>311.8915800000002</v>
      </c>
      <c r="GB132" s="13">
        <f t="shared" si="103"/>
        <v>73.663727391150189</v>
      </c>
      <c r="GC132" s="20">
        <f t="shared" ref="GC132:GC153" si="133">(GA132+GB132)*0.475*44/12</f>
        <v>671.50882703958689</v>
      </c>
      <c r="GD132" s="59">
        <f t="shared" ref="GD132:GD195" si="134">GC132+(FU132+FV132)*44/12</f>
        <v>956.49937830804708</v>
      </c>
      <c r="GE132" s="59">
        <f ca="1">AVERAGE(OFFSET($GD$3,0,0,'Données projet'!$E$17+1,1))-AVERAGE(OFFSET($H$3,0,0,'Données projet'!$E$17+1,1))</f>
        <v>460.46300302025099</v>
      </c>
      <c r="GF132" s="59">
        <f t="shared" si="104"/>
        <v>340.22534554615879</v>
      </c>
      <c r="GG132" s="15">
        <f>IF(ISNA(VLOOKUP(A132,'Données projet'!$A$243:$I$263,3,0)),0,VLOOKUP(A132,'Données projet'!$A$243:$I$263,3,0))</f>
        <v>8</v>
      </c>
      <c r="GH132" s="15">
        <f>IF(ISNA(VLOOKUP(A132,'Données projet'!$A$243:$I$263,4,0)),0,VLOOKUP(A132,'Données projet'!$A$243:$I$263,4,0))</f>
        <v>128.76</v>
      </c>
      <c r="GI132" s="16">
        <f>IF(ISNA(VLOOKUP(A132,'Données projet'!$A$243:$I$263,5,0)),0%,VLOOKUP(A132,'Données projet'!$A$243:$I$263,5,0)*VLOOKUP('Données projet'!$B$17,Paramètres!$A$1:$I$89,7,0))</f>
        <v>0.318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104.70846149808162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104.70846149808162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67.724695800489144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1.1368683772161603E-13</v>
      </c>
      <c r="GV132" s="17">
        <f>GU132*VLOOKUP('Données projet'!$B$18,Paramètres!$A$1:$I$89,3,0)*VLOOKUP('Données projet'!$B$18,Paramètres!$A$1:$I$89,5,0)</f>
        <v>6.7984728957526396E-14</v>
      </c>
      <c r="GW132" s="13">
        <f t="shared" si="105"/>
        <v>1.0682447123141398E-12</v>
      </c>
      <c r="GX132" s="20">
        <f t="shared" ref="GX132:GX153" si="136">(GV132+GW132)*0.475*44/12</f>
        <v>1.978932943548152E-12</v>
      </c>
      <c r="GY132" s="59">
        <f t="shared" ref="GY132:GY195" si="137">GX132+(GP132+GQ132)*44/12</f>
        <v>284.99055126846218</v>
      </c>
      <c r="GZ132" s="59">
        <f ca="1">AVERAGE(OFFSET($GY$3,0,0,'Données projet'!$E$18+1,1))-AVERAGE(OFFSET($H$3,0,0,'Données projet'!$E$18+1,1))</f>
        <v>-15.950000000000017</v>
      </c>
      <c r="HA132" s="59">
        <f t="shared" si="106"/>
        <v>-15.950000000000017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39.285071593171693</v>
      </c>
      <c r="HH132" s="21">
        <f>EXP(-LN(2)/25)*HH131+(1-EXP(-LN(2)/25))/(LN(2)/25)*Calculateur!HC132*Calculateur!HE132*VLOOKUP('Données projet'!$B$18,Paramètres!$A$1:$I$89,3,0)*0.475*44/12</f>
        <v>15.07303474045214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54.358106333623837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4.3499999999999996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15.949999999999998</v>
      </c>
      <c r="H133" s="67">
        <f t="shared" si="110"/>
        <v>192.86666666666667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-9.9316821433603781E-14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433.46721010558042</v>
      </c>
      <c r="T133" s="59">
        <f t="shared" ref="T133:T196" si="142">$T$3</f>
        <v>306.18862295347509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55.584481135925259</v>
      </c>
      <c r="AA133" s="21">
        <f>EXP(-LN(2)/25)*AA132+(1-EXP(-LN(2)/25))/(LN(2)/25)*Calculateur!V133*Calculateur!X133*VLOOKUP('Données projet'!$B$9,Paramètres!$A$1:$I$89,3,0)*0.475*44/12</f>
        <v>18.044113499259016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73.628594635184271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285.13527988562123</v>
      </c>
      <c r="AN133" s="59">
        <f ca="1">AVERAGE(OFFSET($AM$3,0,0,'Données projet'!$E$10+1,1))-AVERAGE(OFFSET($H$3,0,0,'Données projet'!$E$10+1,1))</f>
        <v>400.1942260113168</v>
      </c>
      <c r="AO133" s="59">
        <f t="shared" ref="AO133:AO196" si="144">$AO$3</f>
        <v>497.04866930593926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38.514715300757267</v>
      </c>
      <c r="AV133" s="21">
        <f>EXP(-LN(2)/25)*AV132+(1-EXP(-LN(2)/25))/(LN(2)/25)*Calculateur!AQ133*Calculateur!AS133*VLOOKUP('Données projet'!$B$10,Paramètres!$A$1:$I$89,3,0)*0.475*44/12</f>
        <v>14.660861812818029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53.175577113575294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284.78505691662588</v>
      </c>
      <c r="BJ133" s="59">
        <f t="shared" ref="BJ133:BJ196" si="146">$BJ$3</f>
        <v>664.42623058686308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380.64318988568527</v>
      </c>
      <c r="CE133" s="59">
        <f t="shared" ref="CE133:CE196" si="148">$CE$3</f>
        <v>885.24651320439159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21.9762749385504</v>
      </c>
      <c r="CL133" s="21">
        <f>EXP(-LN(2)/25)*CL132+(1-EXP(-LN(2)/25))/(LN(2)/25)*Calculateur!CG133*Calculateur!CI133*VLOOKUP('Données projet'!$B$12,Paramètres!$A$1:$I$89,3,0)*0.475*44/12</f>
        <v>2.5610249054358114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24.537299843986212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-6.3550942286383367E-14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404.10467005188889</v>
      </c>
      <c r="CZ133" s="59">
        <f t="shared" ref="CZ133:CZ196" si="150">$CZ$3</f>
        <v>372.70490129557845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71.95981510125317</v>
      </c>
      <c r="DG133" s="21">
        <f>EXP(-LN(2)/25)*DG132+(1-EXP(-LN(2)/25))/(LN(2)/25)*Calculateur!DB133*Calculateur!DD133*VLOOKUP('Données projet'!$B$13,Paramètres!$A$1:$I$89,3,0)*0.475*44/12</f>
        <v>24.682527315285803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96.64234241653898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6.3069999999999995</v>
      </c>
      <c r="DO133" s="12">
        <f>IF('Données projet'!$A$166&gt;35,DO132+DN133-DW132,IF(A133&lt;'Données projet'!$A$166,$DL$205^A133,IF(A133='Données projet'!$A$166,'Données projet'!$B$166,DO132+DN133-DW132)))</f>
        <v>293.14599999999996</v>
      </c>
      <c r="DP133" s="17">
        <f>DO133*VLOOKUP('Données projet'!$B$14,Paramètres!$A$1:$I$89,3,0)*VLOOKUP('Données projet'!$B$14,Paramètres!$A$1:$I$89,5,0)</f>
        <v>265.23850079999994</v>
      </c>
      <c r="DQ133" s="13">
        <f t="shared" ref="DQ133:DQ153" si="151">EXP(-1.0587+0.8836*LN(DP133)+0.284)</f>
        <v>63.837714959693045</v>
      </c>
      <c r="DR133" s="20">
        <f t="shared" si="124"/>
        <v>573.14107578146536</v>
      </c>
      <c r="DS133" s="59">
        <f t="shared" si="125"/>
        <v>858.27635566708454</v>
      </c>
      <c r="DT133" s="59">
        <f ca="1">AVERAGE(OFFSET($DS$3,0,0,'Données projet'!$E$14+1,1))-AVERAGE(OFFSET($H$3,0,0,'Données projet'!$E$14+1,1))</f>
        <v>479.53113328461268</v>
      </c>
      <c r="DU133" s="59">
        <f t="shared" ref="DU133:DU196" si="152">$DU$3</f>
        <v>244.6360664588118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40.800832284628768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40.800832284628768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2.2737367544323206E-13</v>
      </c>
      <c r="EK133" s="17">
        <f>EJ133*VLOOKUP('Données projet'!$B$15,Paramètres!$A$1:$I$89,3,0)*VLOOKUP('Données projet'!$B$15,Paramètres!$A$1:$I$89,5,0)</f>
        <v>1.0049916454590858E-13</v>
      </c>
      <c r="EL133" s="13">
        <f t="shared" ref="EL133:EL153" si="153">EXP(-1.0587+0.8836*LN(EK133)+0.284)</f>
        <v>1.5089081593838289E-12</v>
      </c>
      <c r="EM133" s="20">
        <f t="shared" si="127"/>
        <v>2.8030510891776262E-12</v>
      </c>
      <c r="EN133" s="59">
        <f t="shared" si="128"/>
        <v>285.13527988562203</v>
      </c>
      <c r="EO133" s="59">
        <f ca="1">AVERAGE(OFFSET($EN$3,0,0,'Données projet'!$E$15+1,1))-AVERAGE(OFFSET($H$3,0,0,'Données projet'!$E$15+1,1))</f>
        <v>339.23049610652492</v>
      </c>
      <c r="EP133" s="59">
        <f t="shared" ref="EP133:EP196" si="154">$EP$3</f>
        <v>448.85057640789785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41.263534988766295</v>
      </c>
      <c r="EW133" s="21">
        <f>EXP(-LN(2)/25)*EW132+(1-EXP(-LN(2)/25))/(LN(2)/25)*Calculateur!ER133*Calculateur!ET133*VLOOKUP('Données projet'!$B$15,Paramètres!$A$1:$I$89,3,0)*0.475*44/12</f>
        <v>16.857683966461611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58.121218955227903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5.6409999999999938</v>
      </c>
      <c r="FE133" s="12">
        <f>IF('Données projet'!$A$218&gt;35,FE132+FD133-FM132,IF(A133&lt;'Données projet'!$A$218,$FB$205^A133,IF(A133='Données projet'!$A$218,'Données projet'!$B$218,FE132+FD133-FM132)))</f>
        <v>288.44900000000058</v>
      </c>
      <c r="FF133" s="17">
        <f>FE133*VLOOKUP('Données projet'!$B$16,Paramètres!$A$1:$I$89,3,0)*VLOOKUP('Données projet'!$B$16,Paramètres!$A$1:$I$89,5,0)</f>
        <v>134.99413200000029</v>
      </c>
      <c r="FG133" s="13">
        <f t="shared" ref="FG133:FG153" si="155">EXP(-1.0587+0.8836*LN(FF133)+0.284)</f>
        <v>35.14781261291612</v>
      </c>
      <c r="FH133" s="20">
        <f t="shared" si="130"/>
        <v>296.33055353416273</v>
      </c>
      <c r="FI133" s="59">
        <f t="shared" si="131"/>
        <v>581.46583341978203</v>
      </c>
      <c r="FJ133" s="59">
        <f ca="1">AVERAGE(OFFSET($FI$3,0,0,'Données projet'!$E$16+1,1))-AVERAGE(OFFSET($H$3,0,0,'Données projet'!$E$16+1,1))</f>
        <v>365.63278362856033</v>
      </c>
      <c r="FK133" s="59">
        <f t="shared" ref="FK133:FK196" si="156">$FK$3</f>
        <v>290.68267842697452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104.06073746106209</v>
      </c>
      <c r="FR133" s="21">
        <f>EXP(-LN(2)/25)*FR132+(1-EXP(-LN(2)/25))/(LN(2)/25)*Calculateur!FM133*Calculateur!FO133*VLOOKUP('Données projet'!$B$16,Paramètres!$A$1:$I$89,3,0)*0.475*44/12</f>
        <v>35.804970787509333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139.86570824857142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5.9840000000000035</v>
      </c>
      <c r="FZ133" s="12">
        <f>IF('Données projet'!$A$244&gt;35,FZ132+FY133-GH132,IF(A133&lt;'Données projet'!$A$244,$FW$205^A133,IF(A133='Données projet'!$A$244,'Données projet'!$B$244,FZ132+FY133-GH132)))</f>
        <v>240.73400000000021</v>
      </c>
      <c r="GA133" s="17">
        <f>FZ133*VLOOKUP('Données projet'!$B$17,Paramètres!$A$1:$I$89,3,0)*VLOOKUP('Données projet'!$B$17,Paramètres!$A$1:$I$89,5,0)</f>
        <v>206.54977200000022</v>
      </c>
      <c r="GB133" s="13">
        <f t="shared" ref="GB133:GB153" si="157">EXP(-1.0587+0.8836*LN(GA133)+0.284)</f>
        <v>51.180898684591547</v>
      </c>
      <c r="GC133" s="20">
        <f t="shared" si="133"/>
        <v>448.88091810899726</v>
      </c>
      <c r="GD133" s="59">
        <f t="shared" si="134"/>
        <v>734.0161979946165</v>
      </c>
      <c r="GE133" s="59">
        <f ca="1">AVERAGE(OFFSET($GD$3,0,0,'Données projet'!$E$17+1,1))-AVERAGE(OFFSET($H$3,0,0,'Données projet'!$E$17+1,1))</f>
        <v>460.46300302025099</v>
      </c>
      <c r="GF133" s="59">
        <f t="shared" ref="GF133:GF196" si="158">$GF$3</f>
        <v>340.22534554615879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102.65519243395953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102.65519243395953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67.764167241532519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1.1368683772161603E-13</v>
      </c>
      <c r="GV133" s="17">
        <f>GU133*VLOOKUP('Données projet'!$B$18,Paramètres!$A$1:$I$89,3,0)*VLOOKUP('Données projet'!$B$18,Paramètres!$A$1:$I$89,5,0)</f>
        <v>6.7984728957526396E-14</v>
      </c>
      <c r="GW133" s="13">
        <f t="shared" ref="GW133:GW153" si="159">EXP(-1.0587+0.8836*LN(GV133)+0.284)</f>
        <v>1.0682447123141398E-12</v>
      </c>
      <c r="GX133" s="20">
        <f t="shared" si="136"/>
        <v>1.978932943548152E-12</v>
      </c>
      <c r="GY133" s="59">
        <f t="shared" si="137"/>
        <v>285.13527988562123</v>
      </c>
      <c r="GZ133" s="59">
        <f ca="1">AVERAGE(OFFSET($GY$3,0,0,'Données projet'!$E$18+1,1))-AVERAGE(OFFSET($H$3,0,0,'Données projet'!$E$18+1,1))</f>
        <v>-15.950000000000017</v>
      </c>
      <c r="HA133" s="59">
        <f t="shared" ref="HA133:HA196" si="160">$HA$3</f>
        <v>-15.950000000000017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38.514715300757267</v>
      </c>
      <c r="HH133" s="21">
        <f>EXP(-LN(2)/25)*HH132+(1-EXP(-LN(2)/25))/(LN(2)/25)*Calculateur!HC133*Calculateur!HE133*VLOOKUP('Données projet'!$B$18,Paramètres!$A$1:$I$89,3,0)*0.475*44/12</f>
        <v>14.660861812818029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53.175577113575294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4.3499999999999996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15.949999999999998</v>
      </c>
      <c r="H134" s="67">
        <f t="shared" si="110"/>
        <v>192.86666666666667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-9.9316821433603781E-14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433.46721010558042</v>
      </c>
      <c r="T134" s="59">
        <f t="shared" si="142"/>
        <v>306.18862295347509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54.494503364035594</v>
      </c>
      <c r="AA134" s="21">
        <f>EXP(-LN(2)/25)*AA133+(1-EXP(-LN(2)/25))/(LN(2)/25)*Calculateur!V134*Calculateur!X134*VLOOKUP('Données projet'!$B$9,Paramètres!$A$1:$I$89,3,0)*0.475*44/12</f>
        <v>17.55069626672309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72.045199630758688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285.27749778483735</v>
      </c>
      <c r="AN134" s="59">
        <f ca="1">AVERAGE(OFFSET($AM$3,0,0,'Données projet'!$E$10+1,1))-AVERAGE(OFFSET($H$3,0,0,'Données projet'!$E$10+1,1))</f>
        <v>400.1942260113168</v>
      </c>
      <c r="AO134" s="59">
        <f t="shared" si="144"/>
        <v>497.04866930593926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37.759465225366142</v>
      </c>
      <c r="AV134" s="21">
        <f>EXP(-LN(2)/25)*AV133+(1-EXP(-LN(2)/25))/(LN(2)/25)*Calculateur!AQ134*Calculateur!AS134*VLOOKUP('Données projet'!$B$10,Paramètres!$A$1:$I$89,3,0)*0.475*44/12</f>
        <v>14.259959775565305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52.019425000931449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284.78505691662588</v>
      </c>
      <c r="BJ134" s="59">
        <f t="shared" si="146"/>
        <v>664.42623058686308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380.64318988568527</v>
      </c>
      <c r="CE134" s="59">
        <f t="shared" si="148"/>
        <v>885.24651320439159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21.545333591209584</v>
      </c>
      <c r="CL134" s="21">
        <f>EXP(-LN(2)/25)*CL133+(1-EXP(-LN(2)/25))/(LN(2)/25)*Calculateur!CG134*Calculateur!CI134*VLOOKUP('Données projet'!$B$12,Paramètres!$A$1:$I$89,3,0)*0.475*44/12</f>
        <v>2.4909935447182225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24.036327135927806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-6.3550942286383367E-14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404.10467005188889</v>
      </c>
      <c r="CZ134" s="59">
        <f t="shared" si="150"/>
        <v>372.70490129557845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70.54872701827091</v>
      </c>
      <c r="DG134" s="21">
        <f>EXP(-LN(2)/25)*DG133+(1-EXP(-LN(2)/25))/(LN(2)/25)*Calculateur!DB134*Calculateur!DD134*VLOOKUP('Données projet'!$B$13,Paramètres!$A$1:$I$89,3,0)*0.475*44/12</f>
        <v>24.007582307851614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94.556309326122516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6.3069999999999995</v>
      </c>
      <c r="DO134" s="12">
        <f>IF('Données projet'!$A$166&gt;35,DO133+DN134-DW133,IF(A134&lt;'Données projet'!$A$166,$DL$205^A134,IF(A134='Données projet'!$A$166,'Données projet'!$B$166,DO133+DN134-DW133)))</f>
        <v>299.45299999999997</v>
      </c>
      <c r="DP134" s="17">
        <f>DO134*VLOOKUP('Données projet'!$B$14,Paramètres!$A$1:$I$89,3,0)*VLOOKUP('Données projet'!$B$14,Paramètres!$A$1:$I$89,5,0)</f>
        <v>270.94507439999995</v>
      </c>
      <c r="DQ134" s="13">
        <f t="shared" si="151"/>
        <v>65.049797121670906</v>
      </c>
      <c r="DR134" s="20">
        <f t="shared" si="124"/>
        <v>585.19106790024341</v>
      </c>
      <c r="DS134" s="59">
        <f t="shared" si="125"/>
        <v>870.46856568507883</v>
      </c>
      <c r="DT134" s="59">
        <f ca="1">AVERAGE(OFFSET($DS$3,0,0,'Données projet'!$E$14+1,1))-AVERAGE(OFFSET($H$3,0,0,'Données projet'!$E$14+1,1))</f>
        <v>479.53113328461268</v>
      </c>
      <c r="DU134" s="59">
        <f t="shared" si="152"/>
        <v>244.6360664588118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40.000752849577601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40.000752849577601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2.2737367544323206E-13</v>
      </c>
      <c r="EK134" s="17">
        <f>EJ134*VLOOKUP('Données projet'!$B$15,Paramètres!$A$1:$I$89,3,0)*VLOOKUP('Données projet'!$B$15,Paramètres!$A$1:$I$89,5,0)</f>
        <v>1.0049916454590858E-13</v>
      </c>
      <c r="EL134" s="13">
        <f t="shared" si="153"/>
        <v>1.5089081593838289E-12</v>
      </c>
      <c r="EM134" s="20">
        <f t="shared" si="127"/>
        <v>2.8030510891776262E-12</v>
      </c>
      <c r="EN134" s="59">
        <f t="shared" si="128"/>
        <v>285.27749778483815</v>
      </c>
      <c r="EO134" s="59">
        <f ca="1">AVERAGE(OFFSET($EN$3,0,0,'Données projet'!$E$15+1,1))-AVERAGE(OFFSET($H$3,0,0,'Données projet'!$E$15+1,1))</f>
        <v>339.23049610652492</v>
      </c>
      <c r="EP134" s="59">
        <f t="shared" si="154"/>
        <v>448.85057640789785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40.454382235907772</v>
      </c>
      <c r="EW134" s="21">
        <f>EXP(-LN(2)/25)*EW133+(1-EXP(-LN(2)/25))/(LN(2)/25)*Calculateur!ER134*Calculateur!ET134*VLOOKUP('Données projet'!$B$15,Paramètres!$A$1:$I$89,3,0)*0.475*44/12</f>
        <v>16.396709711891646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56.851091947799418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>
        <f>VLOOKUP(A134,'Données projet'!$A$217:$I$237,2,0)</f>
        <v>294.08999999999997</v>
      </c>
      <c r="FC134" s="12">
        <f>VLOOKUP(A134,'Données projet'!$A$217:$I$237,9,0)</f>
        <v>5.6409999999999938</v>
      </c>
      <c r="FD134" s="12">
        <f t="array" ref="FD134">INDEX(FC:FC,MIN(IF(ISNUMBER(FC134:FC330),ROW(FC134:FC330),"")))</f>
        <v>5.6409999999999938</v>
      </c>
      <c r="FE134" s="12">
        <f>IF('Données projet'!$A$218&gt;35,FE133+FD134-FM133,IF(A134&lt;'Données projet'!$A$218,$FB$205^A134,IF(A134='Données projet'!$A$218,'Données projet'!$B$218,FE133+FD134-FM133)))</f>
        <v>294.0900000000006</v>
      </c>
      <c r="FF134" s="17">
        <f>FE134*VLOOKUP('Données projet'!$B$16,Paramètres!$A$1:$I$89,3,0)*VLOOKUP('Données projet'!$B$16,Paramètres!$A$1:$I$89,5,0)</f>
        <v>137.63412000000028</v>
      </c>
      <c r="FG134" s="13">
        <f t="shared" si="155"/>
        <v>35.754479163825771</v>
      </c>
      <c r="FH134" s="20">
        <f t="shared" si="130"/>
        <v>301.9851435436637</v>
      </c>
      <c r="FI134" s="59">
        <f t="shared" si="131"/>
        <v>587.26264132849906</v>
      </c>
      <c r="FJ134" s="59">
        <f ca="1">AVERAGE(OFFSET($FI$3,0,0,'Données projet'!$E$16+1,1))-AVERAGE(OFFSET($H$3,0,0,'Données projet'!$E$16+1,1))</f>
        <v>365.63278362856033</v>
      </c>
      <c r="FK134" s="59">
        <f t="shared" si="156"/>
        <v>290.68267842697452</v>
      </c>
      <c r="FL134" s="15">
        <f>IF(ISNA(VLOOKUP(A134,'Données projet'!$A$217:$I$237,3,0)),0,VLOOKUP(A134,'Données projet'!$A$217:$I$237,3,0))</f>
        <v>8</v>
      </c>
      <c r="FM134" s="15">
        <f>IF(ISNA(VLOOKUP(A134,'Données projet'!$A$217:$I$237,4,0)),0,VLOOKUP(A134,'Données projet'!$A$217:$I$237,4,0))</f>
        <v>294.08999999999997</v>
      </c>
      <c r="FN134" s="16">
        <f>IF(ISNA(VLOOKUP(A134,'Données projet'!$A$217:$I$237,5,0)),0%,VLOOKUP(A134,'Données projet'!$A$217:$I$237,5,0)*VLOOKUP('Données projet'!$B$16,Paramètres!$A$1:$I$89,7,0))</f>
        <v>0.38500000000000001</v>
      </c>
      <c r="FO134" s="16">
        <f>IF(ISNA(VLOOKUP(A134,'Données projet'!$A$217:$I$237,6,0)),0%,VLOOKUP(A134,'Données projet'!$A$217:$I$237,6,0)*VLOOKUP('Données projet'!$B$16,Paramètres!$A$1:$I$89,7,0))</f>
        <v>0.16500000000000001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172.31367447759791</v>
      </c>
      <c r="FR134" s="21">
        <f>EXP(-LN(2)/25)*FR133+(1-EXP(-LN(2)/25))/(LN(2)/25)*Calculateur!FM134*Calculateur!FO134*VLOOKUP('Données projet'!$B$16,Paramètres!$A$1:$I$89,3,0)*0.475*44/12</f>
        <v>64.833052962337746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237.14672743993566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5.9840000000000035</v>
      </c>
      <c r="FZ134" s="12">
        <f>IF('Données projet'!$A$244&gt;35,FZ133+FY134-GH133,IF(A134&lt;'Données projet'!$A$244,$FW$205^A134,IF(A134='Données projet'!$A$244,'Données projet'!$B$244,FZ133+FY134-GH133)))</f>
        <v>246.71800000000022</v>
      </c>
      <c r="GA134" s="17">
        <f>FZ134*VLOOKUP('Données projet'!$B$17,Paramètres!$A$1:$I$89,3,0)*VLOOKUP('Données projet'!$B$17,Paramètres!$A$1:$I$89,5,0)</f>
        <v>211.6840440000002</v>
      </c>
      <c r="GB134" s="13">
        <f t="shared" si="157"/>
        <v>52.303420436592141</v>
      </c>
      <c r="GC134" s="20">
        <f t="shared" si="133"/>
        <v>459.77816722706501</v>
      </c>
      <c r="GD134" s="59">
        <f t="shared" si="134"/>
        <v>745.05566501190037</v>
      </c>
      <c r="GE134" s="59">
        <f ca="1">AVERAGE(OFFSET($GD$3,0,0,'Données projet'!$E$17+1,1))-AVERAGE(OFFSET($H$3,0,0,'Données projet'!$E$17+1,1))</f>
        <v>460.46300302025099</v>
      </c>
      <c r="GF134" s="59">
        <f t="shared" si="158"/>
        <v>340.22534554615879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100.6421867238144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100.6421867238144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67.802953941318734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1.1368683772161603E-13</v>
      </c>
      <c r="GV134" s="17">
        <f>GU134*VLOOKUP('Données projet'!$B$18,Paramètres!$A$1:$I$89,3,0)*VLOOKUP('Données projet'!$B$18,Paramètres!$A$1:$I$89,5,0)</f>
        <v>6.7984728957526396E-14</v>
      </c>
      <c r="GW134" s="13">
        <f t="shared" si="159"/>
        <v>1.0682447123141398E-12</v>
      </c>
      <c r="GX134" s="20">
        <f t="shared" si="136"/>
        <v>1.978932943548152E-12</v>
      </c>
      <c r="GY134" s="59">
        <f t="shared" si="137"/>
        <v>285.27749778483735</v>
      </c>
      <c r="GZ134" s="59">
        <f ca="1">AVERAGE(OFFSET($GY$3,0,0,'Données projet'!$E$18+1,1))-AVERAGE(OFFSET($H$3,0,0,'Données projet'!$E$18+1,1))</f>
        <v>-15.950000000000017</v>
      </c>
      <c r="HA134" s="59">
        <f t="shared" si="160"/>
        <v>-15.950000000000017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37.759465225366142</v>
      </c>
      <c r="HH134" s="21">
        <f>EXP(-LN(2)/25)*HH133+(1-EXP(-LN(2)/25))/(LN(2)/25)*Calculateur!HC134*Calculateur!HE134*VLOOKUP('Données projet'!$B$18,Paramètres!$A$1:$I$89,3,0)*0.475*44/12</f>
        <v>14.259959775565305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52.019425000931449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4.3499999999999996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15.949999999999998</v>
      </c>
      <c r="H135" s="67">
        <f t="shared" si="110"/>
        <v>192.86666666666667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-9.9316821433603781E-14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433.46721010558042</v>
      </c>
      <c r="T135" s="59">
        <f t="shared" si="142"/>
        <v>306.18862295347509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53.425899391431891</v>
      </c>
      <c r="AA135" s="21">
        <f>EXP(-LN(2)/25)*AA134+(1-EXP(-LN(2)/25))/(LN(2)/25)*Calculateur!V135*Calculateur!X135*VLOOKUP('Données projet'!$B$9,Paramètres!$A$1:$I$89,3,0)*0.475*44/12</f>
        <v>17.070771554358544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70.496670945790441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285.41724852145359</v>
      </c>
      <c r="AN135" s="59">
        <f ca="1">AVERAGE(OFFSET($AM$3,0,0,'Données projet'!$E$10+1,1))-AVERAGE(OFFSET($H$3,0,0,'Données projet'!$E$10+1,1))</f>
        <v>400.1942260113168</v>
      </c>
      <c r="AO135" s="59">
        <f t="shared" si="144"/>
        <v>497.04866930593926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37.019025143296375</v>
      </c>
      <c r="AV135" s="21">
        <f>EXP(-LN(2)/25)*AV134+(1-EXP(-LN(2)/25))/(LN(2)/25)*Calculateur!AQ135*Calculateur!AS135*VLOOKUP('Données projet'!$B$10,Paramètres!$A$1:$I$89,3,0)*0.475*44/12</f>
        <v>13.870020425603778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50.889045568900151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284.78505691662588</v>
      </c>
      <c r="BJ135" s="59">
        <f t="shared" si="146"/>
        <v>664.42623058686308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380.64318988568527</v>
      </c>
      <c r="CE135" s="59">
        <f t="shared" si="148"/>
        <v>885.24651320439159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21.122842740841854</v>
      </c>
      <c r="CL135" s="21">
        <f>EXP(-LN(2)/25)*CL134+(1-EXP(-LN(2)/25))/(LN(2)/25)*Calculateur!CG135*Calculateur!CI135*VLOOKUP('Données projet'!$B$12,Paramètres!$A$1:$I$89,3,0)*0.475*44/12</f>
        <v>2.4228771952422457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23.545719936084101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-6.3550942286383367E-14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404.10467005188889</v>
      </c>
      <c r="CZ135" s="59">
        <f t="shared" si="150"/>
        <v>372.70490129557845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69.165309511917187</v>
      </c>
      <c r="DG135" s="21">
        <f>EXP(-LN(2)/25)*DG134+(1-EXP(-LN(2)/25))/(LN(2)/25)*Calculateur!DB135*Calculateur!DD135*VLOOKUP('Données projet'!$B$13,Paramètres!$A$1:$I$89,3,0)*0.475*44/12</f>
        <v>23.351093707139526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92.516403219056713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>
        <f>VLOOKUP(A135,'Données projet'!$A$165:$I$185,2,0)</f>
        <v>305.76</v>
      </c>
      <c r="DM135" s="12">
        <f>VLOOKUP(A135,'Données projet'!$A$165:$I$185,9,0)</f>
        <v>6.3069999999999995</v>
      </c>
      <c r="DN135" s="12">
        <f t="array" ref="DN135">INDEX(DM:DM,MIN(IF(ISNUMBER(DM135:DM331),ROW(DM135:DM331),"")))</f>
        <v>6.3069999999999995</v>
      </c>
      <c r="DO135" s="12">
        <f>IF('Données projet'!$A$166&gt;35,DO134+DN135-DW134,IF(A135&lt;'Données projet'!$A$166,$DL$205^A135,IF(A135='Données projet'!$A$166,'Données projet'!$B$166,DO134+DN135-DW134)))</f>
        <v>305.76</v>
      </c>
      <c r="DP135" s="17">
        <f>DO135*VLOOKUP('Données projet'!$B$14,Paramètres!$A$1:$I$89,3,0)*VLOOKUP('Données projet'!$B$14,Paramètres!$A$1:$I$89,5,0)</f>
        <v>276.65164799999997</v>
      </c>
      <c r="DQ135" s="13">
        <f t="shared" si="151"/>
        <v>66.258911167463879</v>
      </c>
      <c r="DR135" s="20">
        <f t="shared" si="124"/>
        <v>597.23589054999945</v>
      </c>
      <c r="DS135" s="59">
        <f t="shared" si="125"/>
        <v>882.65313907145105</v>
      </c>
      <c r="DT135" s="59">
        <f ca="1">AVERAGE(OFFSET($DS$3,0,0,'Données projet'!$E$14+1,1))-AVERAGE(OFFSET($H$3,0,0,'Données projet'!$E$14+1,1))</f>
        <v>479.53113328461268</v>
      </c>
      <c r="DU135" s="59">
        <f t="shared" si="152"/>
        <v>244.6360664588118</v>
      </c>
      <c r="DV135" s="15">
        <f>IF(ISNA(VLOOKUP(A135,'Données projet'!$A$165:$I$185,3,0)),0,VLOOKUP(A135,'Données projet'!$A$165:$I$185,3,0))</f>
        <v>9</v>
      </c>
      <c r="DW135" s="15">
        <f>IF(ISNA(VLOOKUP(A135,'Données projet'!$A$165:$I$185,4,0)),0,VLOOKUP(A135,'Données projet'!$A$165:$I$185,4,0))</f>
        <v>44.19</v>
      </c>
      <c r="DX135" s="16">
        <f>IF(ISNA(VLOOKUP(A135,'Données projet'!$A$165:$I$185,5,0)),0%,VLOOKUP(A135,'Données projet'!$A$165:$I$185,5,0)*VLOOKUP('Données projet'!$B$14,Paramètres!$A$1:$I$89,7,0))</f>
        <v>0.25800000000000001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50.620000151615017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50.620000151615017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2.2737367544323206E-13</v>
      </c>
      <c r="EK135" s="17">
        <f>EJ135*VLOOKUP('Données projet'!$B$15,Paramètres!$A$1:$I$89,3,0)*VLOOKUP('Données projet'!$B$15,Paramètres!$A$1:$I$89,5,0)</f>
        <v>1.0049916454590858E-13</v>
      </c>
      <c r="EL135" s="13">
        <f t="shared" si="153"/>
        <v>1.5089081593838289E-12</v>
      </c>
      <c r="EM135" s="20">
        <f t="shared" si="127"/>
        <v>2.8030510891776262E-12</v>
      </c>
      <c r="EN135" s="59">
        <f t="shared" si="128"/>
        <v>285.41724852145438</v>
      </c>
      <c r="EO135" s="59">
        <f ca="1">AVERAGE(OFFSET($EN$3,0,0,'Données projet'!$E$15+1,1))-AVERAGE(OFFSET($H$3,0,0,'Données projet'!$E$15+1,1))</f>
        <v>339.23049610652492</v>
      </c>
      <c r="EP135" s="59">
        <f t="shared" si="154"/>
        <v>448.85057640789785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39.661096474998359</v>
      </c>
      <c r="EW135" s="21">
        <f>EXP(-LN(2)/25)*EW134+(1-EXP(-LN(2)/25))/(LN(2)/25)*Calculateur!ER135*Calculateur!ET135*VLOOKUP('Données projet'!$B$15,Paramètres!$A$1:$I$89,3,0)*0.475*44/12</f>
        <v>15.94834082255448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55.609437297552837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6.2527760746888816E-13</v>
      </c>
      <c r="FF135" s="17">
        <f>FE135*VLOOKUP('Données projet'!$B$16,Paramètres!$A$1:$I$89,3,0)*VLOOKUP('Données projet'!$B$16,Paramètres!$A$1:$I$89,5,0)</f>
        <v>2.9262992029543964E-13</v>
      </c>
      <c r="FG135" s="13">
        <f t="shared" si="155"/>
        <v>3.8796387982050903E-12</v>
      </c>
      <c r="FH135" s="20">
        <f t="shared" si="130"/>
        <v>7.2667013513884219E-12</v>
      </c>
      <c r="FI135" s="59">
        <f t="shared" si="131"/>
        <v>285.41724852145887</v>
      </c>
      <c r="FJ135" s="59">
        <f ca="1">AVERAGE(OFFSET($FI$3,0,0,'Données projet'!$E$16+1,1))-AVERAGE(OFFSET($H$3,0,0,'Données projet'!$E$16+1,1))</f>
        <v>365.63278362856033</v>
      </c>
      <c r="FK135" s="59">
        <f t="shared" si="156"/>
        <v>290.68267842697452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168.93470842205579</v>
      </c>
      <c r="FR135" s="21">
        <f>EXP(-LN(2)/25)*FR134+(1-EXP(-LN(2)/25))/(LN(2)/25)*Calculateur!FM135*Calculateur!FO135*VLOOKUP('Données projet'!$B$16,Paramètres!$A$1:$I$89,3,0)*0.475*44/12</f>
        <v>63.060189719660542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231.99489814171633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5.9840000000000035</v>
      </c>
      <c r="FZ135" s="12">
        <f>IF('Données projet'!$A$244&gt;35,FZ134+FY135-GH134,IF(A135&lt;'Données projet'!$A$244,$FW$205^A135,IF(A135='Données projet'!$A$244,'Données projet'!$B$244,FZ134+FY135-GH134)))</f>
        <v>252.70200000000023</v>
      </c>
      <c r="GA135" s="17">
        <f>FZ135*VLOOKUP('Données projet'!$B$17,Paramètres!$A$1:$I$89,3,0)*VLOOKUP('Données projet'!$B$17,Paramètres!$A$1:$I$89,5,0)</f>
        <v>216.81831600000021</v>
      </c>
      <c r="GB135" s="13">
        <f t="shared" si="157"/>
        <v>53.422777211360142</v>
      </c>
      <c r="GC135" s="20">
        <f t="shared" si="133"/>
        <v>470.66990400978597</v>
      </c>
      <c r="GD135" s="59">
        <f t="shared" si="134"/>
        <v>756.08715253123751</v>
      </c>
      <c r="GE135" s="59">
        <f ca="1">AVERAGE(OFFSET($GD$3,0,0,'Données projet'!$E$17+1,1))-AVERAGE(OFFSET($H$3,0,0,'Données projet'!$E$17+1,1))</f>
        <v>460.46300302025099</v>
      </c>
      <c r="GF135" s="59">
        <f t="shared" si="158"/>
        <v>340.22534554615879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98.668654827832981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98.668654827832981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67.84106777857771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1.1368683772161603E-13</v>
      </c>
      <c r="GV135" s="17">
        <f>GU135*VLOOKUP('Données projet'!$B$18,Paramètres!$A$1:$I$89,3,0)*VLOOKUP('Données projet'!$B$18,Paramètres!$A$1:$I$89,5,0)</f>
        <v>6.7984728957526396E-14</v>
      </c>
      <c r="GW135" s="13">
        <f t="shared" si="159"/>
        <v>1.0682447123141398E-12</v>
      </c>
      <c r="GX135" s="20">
        <f t="shared" si="136"/>
        <v>1.978932943548152E-12</v>
      </c>
      <c r="GY135" s="59">
        <f t="shared" si="137"/>
        <v>285.41724852145359</v>
      </c>
      <c r="GZ135" s="59">
        <f ca="1">AVERAGE(OFFSET($GY$3,0,0,'Données projet'!$E$18+1,1))-AVERAGE(OFFSET($H$3,0,0,'Données projet'!$E$18+1,1))</f>
        <v>-15.950000000000017</v>
      </c>
      <c r="HA135" s="59">
        <f t="shared" si="160"/>
        <v>-15.950000000000017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37.019025143296375</v>
      </c>
      <c r="HH135" s="21">
        <f>EXP(-LN(2)/25)*HH134+(1-EXP(-LN(2)/25))/(LN(2)/25)*Calculateur!HC135*Calculateur!HE135*VLOOKUP('Données projet'!$B$18,Paramètres!$A$1:$I$89,3,0)*0.475*44/12</f>
        <v>13.870020425603778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50.889045568900151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4.3499999999999996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15.949999999999998</v>
      </c>
      <c r="H136" s="67">
        <f t="shared" si="110"/>
        <v>192.86666666666667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-9.9316821433603781E-14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433.46721010558042</v>
      </c>
      <c r="T136" s="59">
        <f t="shared" si="142"/>
        <v>306.18862295347509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52.378250090946885</v>
      </c>
      <c r="AA136" s="21">
        <f>EXP(-LN(2)/25)*AA135+(1-EXP(-LN(2)/25))/(LN(2)/25)*Calculateur!V136*Calculateur!X136*VLOOKUP('Données projet'!$B$9,Paramètres!$A$1:$I$89,3,0)*0.475*44/12</f>
        <v>16.603970408491747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68.982220499438625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285.55457489522541</v>
      </c>
      <c r="AN136" s="59">
        <f ca="1">AVERAGE(OFFSET($AM$3,0,0,'Données projet'!$E$10+1,1))-AVERAGE(OFFSET($H$3,0,0,'Données projet'!$E$10+1,1))</f>
        <v>400.1942260113168</v>
      </c>
      <c r="AO136" s="59">
        <f t="shared" si="144"/>
        <v>497.04866930593926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36.293104639612139</v>
      </c>
      <c r="AV136" s="21">
        <f>EXP(-LN(2)/25)*AV135+(1-EXP(-LN(2)/25))/(LN(2)/25)*Calculateur!AQ136*Calculateur!AS136*VLOOKUP('Données projet'!$B$10,Paramètres!$A$1:$I$89,3,0)*0.475*44/12</f>
        <v>13.490743987672969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49.78384862728511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284.78505691662588</v>
      </c>
      <c r="BJ136" s="59">
        <f t="shared" si="146"/>
        <v>664.42623058686308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380.64318988568527</v>
      </c>
      <c r="CE136" s="59">
        <f t="shared" si="148"/>
        <v>885.24651320439159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20.708636678355862</v>
      </c>
      <c r="CL136" s="21">
        <f>EXP(-LN(2)/25)*CL135+(1-EXP(-LN(2)/25))/(LN(2)/25)*Calculateur!CG136*Calculateur!CI136*VLOOKUP('Données projet'!$B$12,Paramètres!$A$1:$I$89,3,0)*0.475*44/12</f>
        <v>2.3566234909247723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23.065260169280634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-6.3550942286383367E-14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404.10467005188889</v>
      </c>
      <c r="CZ136" s="59">
        <f t="shared" si="150"/>
        <v>372.70490129557845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67.809019979061702</v>
      </c>
      <c r="DG136" s="21">
        <f>EXP(-LN(2)/25)*DG135+(1-EXP(-LN(2)/25))/(LN(2)/25)*Calculateur!DB136*Calculateur!DD136*VLOOKUP('Données projet'!$B$13,Paramètres!$A$1:$I$89,3,0)*0.475*44/12</f>
        <v>22.712556821737149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90.521576800798854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6.4825000000000017</v>
      </c>
      <c r="DO136" s="12">
        <f>IF('Données projet'!$A$166&gt;35,DO135+DN136-DW135,IF(A136&lt;'Données projet'!$A$166,$DL$205^A136,IF(A136='Données projet'!$A$166,'Données projet'!$B$166,DO135+DN136-DW135)))</f>
        <v>268.05250000000001</v>
      </c>
      <c r="DP136" s="17">
        <f>DO136*VLOOKUP('Données projet'!$B$14,Paramètres!$A$1:$I$89,3,0)*VLOOKUP('Données projet'!$B$14,Paramètres!$A$1:$I$89,5,0)</f>
        <v>242.53390200000001</v>
      </c>
      <c r="DQ136" s="13">
        <f t="shared" si="151"/>
        <v>58.9843781517705</v>
      </c>
      <c r="DR136" s="20">
        <f t="shared" si="124"/>
        <v>525.14433793100022</v>
      </c>
      <c r="DS136" s="59">
        <f t="shared" si="125"/>
        <v>810.6989128262237</v>
      </c>
      <c r="DT136" s="59">
        <f ca="1">AVERAGE(OFFSET($DS$3,0,0,'Données projet'!$E$14+1,1))-AVERAGE(OFFSET($H$3,0,0,'Données projet'!$E$14+1,1))</f>
        <v>479.53113328461268</v>
      </c>
      <c r="DU136" s="59">
        <f t="shared" si="152"/>
        <v>244.6360664588118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49.627372823793273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49.627372823793273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2.2737367544323206E-13</v>
      </c>
      <c r="EK136" s="17">
        <f>EJ136*VLOOKUP('Données projet'!$B$15,Paramètres!$A$1:$I$89,3,0)*VLOOKUP('Données projet'!$B$15,Paramètres!$A$1:$I$89,5,0)</f>
        <v>1.0049916454590858E-13</v>
      </c>
      <c r="EL136" s="13">
        <f t="shared" si="153"/>
        <v>1.5089081593838289E-12</v>
      </c>
      <c r="EM136" s="20">
        <f t="shared" si="127"/>
        <v>2.8030510891776262E-12</v>
      </c>
      <c r="EN136" s="59">
        <f t="shared" si="128"/>
        <v>285.55457489522621</v>
      </c>
      <c r="EO136" s="59">
        <f ca="1">AVERAGE(OFFSET($EN$3,0,0,'Données projet'!$E$15+1,1))-AVERAGE(OFFSET($H$3,0,0,'Données projet'!$E$15+1,1))</f>
        <v>339.23049610652492</v>
      </c>
      <c r="EP136" s="59">
        <f t="shared" si="154"/>
        <v>448.85057640789785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38.883366564003843</v>
      </c>
      <c r="EW136" s="21">
        <f>EXP(-LN(2)/25)*EW135+(1-EXP(-LN(2)/25))/(LN(2)/25)*Calculateur!ER136*Calculateur!ET136*VLOOKUP('Données projet'!$B$15,Paramètres!$A$1:$I$89,3,0)*0.475*44/12</f>
        <v>15.512232604074933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54.395599168078775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6.2527760746888816E-13</v>
      </c>
      <c r="FF136" s="17">
        <f>FE136*VLOOKUP('Données projet'!$B$16,Paramètres!$A$1:$I$89,3,0)*VLOOKUP('Données projet'!$B$16,Paramètres!$A$1:$I$89,5,0)</f>
        <v>2.9262992029543964E-13</v>
      </c>
      <c r="FG136" s="13">
        <f t="shared" si="155"/>
        <v>3.8796387982050903E-12</v>
      </c>
      <c r="FH136" s="20">
        <f t="shared" si="130"/>
        <v>7.2667013513884219E-12</v>
      </c>
      <c r="FI136" s="59">
        <f t="shared" si="131"/>
        <v>285.5545748952307</v>
      </c>
      <c r="FJ136" s="59">
        <f ca="1">AVERAGE(OFFSET($FI$3,0,0,'Données projet'!$E$16+1,1))-AVERAGE(OFFSET($H$3,0,0,'Données projet'!$E$16+1,1))</f>
        <v>365.63278362856033</v>
      </c>
      <c r="FK136" s="59">
        <f t="shared" si="156"/>
        <v>290.68267842697452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165.62200182989707</v>
      </c>
      <c r="FR136" s="21">
        <f>EXP(-LN(2)/25)*FR135+(1-EXP(-LN(2)/25))/(LN(2)/25)*Calculateur!FM136*Calculateur!FO136*VLOOKUP('Données projet'!$B$16,Paramètres!$A$1:$I$89,3,0)*0.475*44/12</f>
        <v>61.335805515585172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226.95780734548225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5.9840000000000035</v>
      </c>
      <c r="FZ136" s="12">
        <f>IF('Données projet'!$A$244&gt;35,FZ135+FY136-GH135,IF(A136&lt;'Données projet'!$A$244,$FW$205^A136,IF(A136='Données projet'!$A$244,'Données projet'!$B$244,FZ135+FY136-GH135)))</f>
        <v>258.68600000000021</v>
      </c>
      <c r="GA136" s="17">
        <f>FZ136*VLOOKUP('Données projet'!$B$17,Paramètres!$A$1:$I$89,3,0)*VLOOKUP('Données projet'!$B$17,Paramètres!$A$1:$I$89,5,0)</f>
        <v>221.95258800000022</v>
      </c>
      <c r="GB136" s="13">
        <f t="shared" si="157"/>
        <v>54.539052580163741</v>
      </c>
      <c r="GC136" s="20">
        <f t="shared" si="133"/>
        <v>481.55627401045223</v>
      </c>
      <c r="GD136" s="59">
        <f t="shared" si="134"/>
        <v>767.11084890567565</v>
      </c>
      <c r="GE136" s="59">
        <f ca="1">AVERAGE(OFFSET($GD$3,0,0,'Données projet'!$E$17+1,1))-AVERAGE(OFFSET($H$3,0,0,'Données projet'!$E$17+1,1))</f>
        <v>460.46300302025099</v>
      </c>
      <c r="GF136" s="59">
        <f t="shared" si="158"/>
        <v>340.22534554615879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96.733822688596149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96.733822688596149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67.878520425970024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1.1368683772161603E-13</v>
      </c>
      <c r="GV136" s="17">
        <f>GU136*VLOOKUP('Données projet'!$B$18,Paramètres!$A$1:$I$89,3,0)*VLOOKUP('Données projet'!$B$18,Paramètres!$A$1:$I$89,5,0)</f>
        <v>6.7984728957526396E-14</v>
      </c>
      <c r="GW136" s="13">
        <f t="shared" si="159"/>
        <v>1.0682447123141398E-12</v>
      </c>
      <c r="GX136" s="20">
        <f t="shared" si="136"/>
        <v>1.978932943548152E-12</v>
      </c>
      <c r="GY136" s="59">
        <f t="shared" si="137"/>
        <v>285.55457489522541</v>
      </c>
      <c r="GZ136" s="59">
        <f ca="1">AVERAGE(OFFSET($GY$3,0,0,'Données projet'!$E$18+1,1))-AVERAGE(OFFSET($H$3,0,0,'Données projet'!$E$18+1,1))</f>
        <v>-15.950000000000017</v>
      </c>
      <c r="HA136" s="59">
        <f t="shared" si="160"/>
        <v>-15.950000000000017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36.293104639612139</v>
      </c>
      <c r="HH136" s="21">
        <f>EXP(-LN(2)/25)*HH135+(1-EXP(-LN(2)/25))/(LN(2)/25)*Calculateur!HC136*Calculateur!HE136*VLOOKUP('Données projet'!$B$18,Paramètres!$A$1:$I$89,3,0)*0.475*44/12</f>
        <v>13.490743987672969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49.78384862728511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4.3499999999999996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15.949999999999998</v>
      </c>
      <c r="H137" s="67">
        <f t="shared" si="110"/>
        <v>192.86666666666667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-9.9316821433603781E-14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433.46721010558042</v>
      </c>
      <c r="T137" s="59">
        <f t="shared" si="142"/>
        <v>306.18862295347509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51.351144554241408</v>
      </c>
      <c r="AA137" s="21">
        <f>EXP(-LN(2)/25)*AA136+(1-EXP(-LN(2)/25))/(LN(2)/25)*Calculateur!V137*Calculateur!X137*VLOOKUP('Données projet'!$B$9,Paramètres!$A$1:$I$89,3,0)*0.475*44/12</f>
        <v>16.149933964506687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67.501078518748102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285.68951896342804</v>
      </c>
      <c r="AN137" s="59">
        <f ca="1">AVERAGE(OFFSET($AM$3,0,0,'Données projet'!$E$10+1,1))-AVERAGE(OFFSET($H$3,0,0,'Données projet'!$E$10+1,1))</f>
        <v>400.1942260113168</v>
      </c>
      <c r="AO137" s="59">
        <f t="shared" si="144"/>
        <v>497.04866930593926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35.581418994237367</v>
      </c>
      <c r="AV137" s="21">
        <f>EXP(-LN(2)/25)*AV136+(1-EXP(-LN(2)/25))/(LN(2)/25)*Calculateur!AQ137*Calculateur!AS137*VLOOKUP('Données projet'!$B$10,Paramètres!$A$1:$I$89,3,0)*0.475*44/12</f>
        <v>13.12183888388266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48.703257878120027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284.78505691662588</v>
      </c>
      <c r="BJ137" s="59">
        <f t="shared" si="146"/>
        <v>664.42623058686308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380.64318988568527</v>
      </c>
      <c r="CE137" s="59">
        <f t="shared" si="148"/>
        <v>885.24651320439159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20.302552944114467</v>
      </c>
      <c r="CL137" s="21">
        <f>EXP(-LN(2)/25)*CL136+(1-EXP(-LN(2)/25))/(LN(2)/25)*Calculateur!CG137*Calculateur!CI137*VLOOKUP('Données projet'!$B$12,Paramètres!$A$1:$I$89,3,0)*0.475*44/12</f>
        <v>2.2921814976359913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22.594734441750457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-6.3550942286383367E-14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404.10467005188889</v>
      </c>
      <c r="CZ137" s="59">
        <f t="shared" si="150"/>
        <v>372.70490129557845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66.479326456690586</v>
      </c>
      <c r="DG137" s="21">
        <f>EXP(-LN(2)/25)*DG136+(1-EXP(-LN(2)/25))/(LN(2)/25)*Calculateur!DB137*Calculateur!DD137*VLOOKUP('Données projet'!$B$13,Paramètres!$A$1:$I$89,3,0)*0.475*44/12</f>
        <v>22.091480761045293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88.570807217735876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6.4825000000000017</v>
      </c>
      <c r="DO137" s="12">
        <f>IF('Données projet'!$A$166&gt;35,DO136+DN137-DW136,IF(A137&lt;'Données projet'!$A$166,$DL$205^A137,IF(A137='Données projet'!$A$166,'Données projet'!$B$166,DO136+DN137-DW136)))</f>
        <v>274.53500000000003</v>
      </c>
      <c r="DP137" s="17">
        <f>DO137*VLOOKUP('Données projet'!$B$14,Paramètres!$A$1:$I$89,3,0)*VLOOKUP('Données projet'!$B$14,Paramètres!$A$1:$I$89,5,0)</f>
        <v>248.39926800000001</v>
      </c>
      <c r="DQ137" s="13">
        <f t="shared" si="151"/>
        <v>60.243040146836535</v>
      </c>
      <c r="DR137" s="20">
        <f t="shared" si="124"/>
        <v>537.55202002240696</v>
      </c>
      <c r="DS137" s="59">
        <f t="shared" si="125"/>
        <v>823.24153898583302</v>
      </c>
      <c r="DT137" s="59">
        <f ca="1">AVERAGE(OFFSET($DS$3,0,0,'Données projet'!$E$14+1,1))-AVERAGE(OFFSET($H$3,0,0,'Données projet'!$E$14+1,1))</f>
        <v>479.53113328461268</v>
      </c>
      <c r="DU137" s="59">
        <f t="shared" si="152"/>
        <v>244.6360664588118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48.654210312427224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48.654210312427224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2.2737367544323206E-13</v>
      </c>
      <c r="EK137" s="17">
        <f>EJ137*VLOOKUP('Données projet'!$B$15,Paramètres!$A$1:$I$89,3,0)*VLOOKUP('Données projet'!$B$15,Paramètres!$A$1:$I$89,5,0)</f>
        <v>1.0049916454590858E-13</v>
      </c>
      <c r="EL137" s="13">
        <f t="shared" si="153"/>
        <v>1.5089081593838289E-12</v>
      </c>
      <c r="EM137" s="20">
        <f t="shared" si="127"/>
        <v>2.8030510891776262E-12</v>
      </c>
      <c r="EN137" s="59">
        <f t="shared" si="128"/>
        <v>285.68951896342884</v>
      </c>
      <c r="EO137" s="59">
        <f ca="1">AVERAGE(OFFSET($EN$3,0,0,'Données projet'!$E$15+1,1))-AVERAGE(OFFSET($H$3,0,0,'Données projet'!$E$15+1,1))</f>
        <v>339.23049610652492</v>
      </c>
      <c r="EP137" s="59">
        <f t="shared" si="154"/>
        <v>448.85057640789785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38.120887462195519</v>
      </c>
      <c r="EW137" s="21">
        <f>EXP(-LN(2)/25)*EW136+(1-EXP(-LN(2)/25))/(LN(2)/25)*Calculateur!ER137*Calculateur!ET137*VLOOKUP('Données projet'!$B$15,Paramètres!$A$1:$I$89,3,0)*0.475*44/12</f>
        <v>15.088049787763644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53.208937249959163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6.2527760746888816E-13</v>
      </c>
      <c r="FF137" s="17">
        <f>FE137*VLOOKUP('Données projet'!$B$16,Paramètres!$A$1:$I$89,3,0)*VLOOKUP('Données projet'!$B$16,Paramètres!$A$1:$I$89,5,0)</f>
        <v>2.9262992029543964E-13</v>
      </c>
      <c r="FG137" s="13">
        <f t="shared" si="155"/>
        <v>3.8796387982050903E-12</v>
      </c>
      <c r="FH137" s="20">
        <f t="shared" si="130"/>
        <v>7.2667013513884219E-12</v>
      </c>
      <c r="FI137" s="59">
        <f t="shared" si="131"/>
        <v>285.68951896343333</v>
      </c>
      <c r="FJ137" s="59">
        <f ca="1">AVERAGE(OFFSET($FI$3,0,0,'Données projet'!$E$16+1,1))-AVERAGE(OFFSET($H$3,0,0,'Données projet'!$E$16+1,1))</f>
        <v>365.63278362856033</v>
      </c>
      <c r="FK137" s="59">
        <f t="shared" si="156"/>
        <v>290.68267842697452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162.37425539345907</v>
      </c>
      <c r="FR137" s="21">
        <f>EXP(-LN(2)/25)*FR136+(1-EXP(-LN(2)/25))/(LN(2)/25)*Calculateur!FM137*Calculateur!FO137*VLOOKUP('Données projet'!$B$16,Paramètres!$A$1:$I$89,3,0)*0.475*44/12</f>
        <v>59.658574688251669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222.03283008171073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>
        <f>VLOOKUP(A137,'Données projet'!$A$243:$I$263,2,0)</f>
        <v>264.67</v>
      </c>
      <c r="FX137" s="12">
        <f>VLOOKUP(A137,'Données projet'!$A$243:$I$263,9,0)</f>
        <v>5.9840000000000035</v>
      </c>
      <c r="FY137" s="12">
        <f t="array" ref="FY137">INDEX(FX:FX,MIN(IF(ISNUMBER(FX137:FX333),ROW(FX137:FX333),"")))</f>
        <v>5.9840000000000035</v>
      </c>
      <c r="FZ137" s="12">
        <f>IF('Données projet'!$A$244&gt;35,FZ136+FY137-GH136,IF(A137&lt;'Données projet'!$A$244,$FW$205^A137,IF(A137='Données projet'!$A$244,'Données projet'!$B$244,FZ136+FY137-GH136)))</f>
        <v>264.67000000000019</v>
      </c>
      <c r="GA137" s="17">
        <f>FZ137*VLOOKUP('Données projet'!$B$17,Paramètres!$A$1:$I$89,3,0)*VLOOKUP('Données projet'!$B$17,Paramètres!$A$1:$I$89,5,0)</f>
        <v>227.08686000000017</v>
      </c>
      <c r="GB137" s="13">
        <f t="shared" si="157"/>
        <v>55.652326027263761</v>
      </c>
      <c r="GC137" s="20">
        <f t="shared" si="133"/>
        <v>492.43741566415133</v>
      </c>
      <c r="GD137" s="59">
        <f t="shared" si="134"/>
        <v>778.12693462757738</v>
      </c>
      <c r="GE137" s="59">
        <f ca="1">AVERAGE(OFFSET($GD$3,0,0,'Données projet'!$E$17+1,1))-AVERAGE(OFFSET($H$3,0,0,'Données projet'!$E$17+1,1))</f>
        <v>460.46300302025099</v>
      </c>
      <c r="GF137" s="59">
        <f t="shared" si="158"/>
        <v>340.22534554615879</v>
      </c>
      <c r="GG137" s="15">
        <f>IF(ISNA(VLOOKUP(A137,'Données projet'!$A$243:$I$263,3,0)),0,VLOOKUP(A137,'Données projet'!$A$243:$I$263,3,0))</f>
        <v>9</v>
      </c>
      <c r="GH137" s="15">
        <f>IF(ISNA(VLOOKUP(A137,'Données projet'!$A$243:$I$263,4,0)),0,VLOOKUP(A137,'Données projet'!$A$243:$I$263,4,0))</f>
        <v>93.94</v>
      </c>
      <c r="GI137" s="16">
        <f>IF(ISNA(VLOOKUP(A137,'Données projet'!$A$243:$I$263,5,0)),0%,VLOOKUP(A137,'Données projet'!$A$243:$I$263,5,0)*VLOOKUP('Données projet'!$B$17,Paramètres!$A$1:$I$89,7,0))</f>
        <v>0.318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123.17120443179377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123.17120443179377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67.915323353661648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1.1368683772161603E-13</v>
      </c>
      <c r="GV137" s="17">
        <f>GU137*VLOOKUP('Données projet'!$B$18,Paramètres!$A$1:$I$89,3,0)*VLOOKUP('Données projet'!$B$18,Paramètres!$A$1:$I$89,5,0)</f>
        <v>6.7984728957526396E-14</v>
      </c>
      <c r="GW137" s="13">
        <f t="shared" si="159"/>
        <v>1.0682447123141398E-12</v>
      </c>
      <c r="GX137" s="20">
        <f t="shared" si="136"/>
        <v>1.978932943548152E-12</v>
      </c>
      <c r="GY137" s="59">
        <f t="shared" si="137"/>
        <v>285.68951896342804</v>
      </c>
      <c r="GZ137" s="59">
        <f ca="1">AVERAGE(OFFSET($GY$3,0,0,'Données projet'!$E$18+1,1))-AVERAGE(OFFSET($H$3,0,0,'Données projet'!$E$18+1,1))</f>
        <v>-15.950000000000017</v>
      </c>
      <c r="HA137" s="59">
        <f t="shared" si="160"/>
        <v>-15.950000000000017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35.581418994237367</v>
      </c>
      <c r="HH137" s="21">
        <f>EXP(-LN(2)/25)*HH136+(1-EXP(-LN(2)/25))/(LN(2)/25)*Calculateur!HC137*Calculateur!HE137*VLOOKUP('Données projet'!$B$18,Paramètres!$A$1:$I$89,3,0)*0.475*44/12</f>
        <v>13.12183888388266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48.703257878120027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4.3499999999999996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15.949999999999998</v>
      </c>
      <c r="H138" s="67">
        <f t="shared" si="110"/>
        <v>192.86666666666667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-9.9316821433603781E-14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433.46721010558042</v>
      </c>
      <c r="T138" s="59">
        <f t="shared" si="142"/>
        <v>306.18862295347509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50.344179930638212</v>
      </c>
      <c r="AA138" s="21">
        <f>EXP(-LN(2)/25)*AA137+(1-EXP(-LN(2)/25))/(LN(2)/25)*Calculateur!V138*Calculateur!X138*VLOOKUP('Données projet'!$B$9,Paramètres!$A$1:$I$89,3,0)*0.475*44/12</f>
        <v>15.708313170959135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66.052493101597349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285.82212205373708</v>
      </c>
      <c r="AN138" s="59">
        <f ca="1">AVERAGE(OFFSET($AM$3,0,0,'Données projet'!$E$10+1,1))-AVERAGE(OFFSET($H$3,0,0,'Données projet'!$E$10+1,1))</f>
        <v>400.1942260113168</v>
      </c>
      <c r="AO138" s="59">
        <f t="shared" si="144"/>
        <v>497.04866930593926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34.883689070283012</v>
      </c>
      <c r="AV138" s="21">
        <f>EXP(-LN(2)/25)*AV137+(1-EXP(-LN(2)/25))/(LN(2)/25)*Calculateur!AQ138*Calculateur!AS138*VLOOKUP('Données projet'!$B$10,Paramètres!$A$1:$I$89,3,0)*0.475*44/12</f>
        <v>12.763021509555372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47.646710579838384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284.78505691662588</v>
      </c>
      <c r="BJ138" s="59">
        <f t="shared" si="146"/>
        <v>664.42623058686308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380.64318988568527</v>
      </c>
      <c r="CE138" s="59">
        <f t="shared" si="148"/>
        <v>885.24651320439159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19.904432264214925</v>
      </c>
      <c r="CL138" s="21">
        <f>EXP(-LN(2)/25)*CL137+(1-EXP(-LN(2)/25))/(LN(2)/25)*Calculateur!CG138*Calculateur!CI138*VLOOKUP('Données projet'!$B$12,Paramètres!$A$1:$I$89,3,0)*0.475*44/12</f>
        <v>2.2295016740425488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22.133933938257474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-6.3550942286383367E-14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404.10467005188889</v>
      </c>
      <c r="CZ138" s="59">
        <f t="shared" si="150"/>
        <v>372.70490129557845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65.175707413260199</v>
      </c>
      <c r="DG138" s="21">
        <f>EXP(-LN(2)/25)*DG137+(1-EXP(-LN(2)/25))/(LN(2)/25)*Calculateur!DB138*Calculateur!DD138*VLOOKUP('Données projet'!$B$13,Paramètres!$A$1:$I$89,3,0)*0.475*44/12</f>
        <v>21.487388057894027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86.663095471154222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6.4825000000000017</v>
      </c>
      <c r="DO138" s="12">
        <f>IF('Données projet'!$A$166&gt;35,DO137+DN138-DW137,IF(A138&lt;'Données projet'!$A$166,$DL$205^A138,IF(A138='Données projet'!$A$166,'Données projet'!$B$166,DO137+DN138-DW137)))</f>
        <v>281.01750000000004</v>
      </c>
      <c r="DP138" s="17">
        <f>DO138*VLOOKUP('Données projet'!$B$14,Paramètres!$A$1:$I$89,3,0)*VLOOKUP('Données projet'!$B$14,Paramètres!$A$1:$I$89,5,0)</f>
        <v>254.264634</v>
      </c>
      <c r="DQ138" s="13">
        <f t="shared" si="151"/>
        <v>61.498247103610353</v>
      </c>
      <c r="DR138" s="20">
        <f t="shared" si="124"/>
        <v>549.95368458878806</v>
      </c>
      <c r="DS138" s="59">
        <f t="shared" si="125"/>
        <v>835.77580664252309</v>
      </c>
      <c r="DT138" s="59">
        <f ca="1">AVERAGE(OFFSET($DS$3,0,0,'Données projet'!$E$14+1,1))-AVERAGE(OFFSET($H$3,0,0,'Données projet'!$E$14+1,1))</f>
        <v>479.53113328461268</v>
      </c>
      <c r="DU138" s="59">
        <f t="shared" si="152"/>
        <v>244.6360664588118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47.700130924338545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47.700130924338545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2.2737367544323206E-13</v>
      </c>
      <c r="EK138" s="17">
        <f>EJ138*VLOOKUP('Données projet'!$B$15,Paramètres!$A$1:$I$89,3,0)*VLOOKUP('Données projet'!$B$15,Paramètres!$A$1:$I$89,5,0)</f>
        <v>1.0049916454590858E-13</v>
      </c>
      <c r="EL138" s="13">
        <f t="shared" si="153"/>
        <v>1.5089081593838289E-12</v>
      </c>
      <c r="EM138" s="20">
        <f t="shared" si="127"/>
        <v>2.8030510891776262E-12</v>
      </c>
      <c r="EN138" s="59">
        <f t="shared" si="128"/>
        <v>285.82212205373787</v>
      </c>
      <c r="EO138" s="59">
        <f ca="1">AVERAGE(OFFSET($EN$3,0,0,'Données projet'!$E$15+1,1))-AVERAGE(OFFSET($H$3,0,0,'Données projet'!$E$15+1,1))</f>
        <v>339.23049610652492</v>
      </c>
      <c r="EP138" s="59">
        <f t="shared" si="154"/>
        <v>448.85057640789785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37.373360110507328</v>
      </c>
      <c r="EW138" s="21">
        <f>EXP(-LN(2)/25)*EW137+(1-EXP(-LN(2)/25))/(LN(2)/25)*Calculateur!ER138*Calculateur!ET138*VLOOKUP('Données projet'!$B$15,Paramètres!$A$1:$I$89,3,0)*0.475*44/12</f>
        <v>14.675466272871194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52.048826383378525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6.2527760746888816E-13</v>
      </c>
      <c r="FF138" s="17">
        <f>FE138*VLOOKUP('Données projet'!$B$16,Paramètres!$A$1:$I$89,3,0)*VLOOKUP('Données projet'!$B$16,Paramètres!$A$1:$I$89,5,0)</f>
        <v>2.9262992029543964E-13</v>
      </c>
      <c r="FG138" s="13">
        <f t="shared" si="155"/>
        <v>3.8796387982050903E-12</v>
      </c>
      <c r="FH138" s="20">
        <f t="shared" si="130"/>
        <v>7.2667013513884219E-12</v>
      </c>
      <c r="FI138" s="59">
        <f t="shared" si="131"/>
        <v>285.82212205374236</v>
      </c>
      <c r="FJ138" s="59">
        <f ca="1">AVERAGE(OFFSET($FI$3,0,0,'Données projet'!$E$16+1,1))-AVERAGE(OFFSET($H$3,0,0,'Données projet'!$E$16+1,1))</f>
        <v>365.63278362856033</v>
      </c>
      <c r="FK138" s="59">
        <f t="shared" si="156"/>
        <v>290.68267842697452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159.19019528370987</v>
      </c>
      <c r="FR138" s="21">
        <f>EXP(-LN(2)/25)*FR137+(1-EXP(-LN(2)/25))/(LN(2)/25)*Calculateur!FM138*Calculateur!FO138*VLOOKUP('Données projet'!$B$16,Paramètres!$A$1:$I$89,3,0)*0.475*44/12</f>
        <v>58.027207826093338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217.2174031098032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4.7399999999999975</v>
      </c>
      <c r="FZ138" s="12">
        <f>IF('Données projet'!$A$244&gt;35,FZ137+FY138-GH137,IF(A138&lt;'Données projet'!$A$244,$FW$205^A138,IF(A138='Données projet'!$A$244,'Données projet'!$B$244,FZ137+FY138-GH137)))</f>
        <v>175.4700000000002</v>
      </c>
      <c r="GA138" s="17">
        <f>FZ138*VLOOKUP('Données projet'!$B$17,Paramètres!$A$1:$I$89,3,0)*VLOOKUP('Données projet'!$B$17,Paramètres!$A$1:$I$89,5,0)</f>
        <v>150.55326000000019</v>
      </c>
      <c r="GB138" s="13">
        <f t="shared" si="157"/>
        <v>38.704288988241373</v>
      </c>
      <c r="GC138" s="20">
        <f t="shared" si="133"/>
        <v>329.62356448785408</v>
      </c>
      <c r="GD138" s="59">
        <f t="shared" si="134"/>
        <v>615.44568654158911</v>
      </c>
      <c r="GE138" s="59">
        <f ca="1">AVERAGE(OFFSET($GD$3,0,0,'Données projet'!$E$17+1,1))-AVERAGE(OFFSET($H$3,0,0,'Données projet'!$E$17+1,1))</f>
        <v>460.46300302025099</v>
      </c>
      <c r="GF138" s="59">
        <f t="shared" si="158"/>
        <v>340.22534554615879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120.75589223990282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120.75589223990282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67.951487832836847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1.1368683772161603E-13</v>
      </c>
      <c r="GV138" s="17">
        <f>GU138*VLOOKUP('Données projet'!$B$18,Paramètres!$A$1:$I$89,3,0)*VLOOKUP('Données projet'!$B$18,Paramètres!$A$1:$I$89,5,0)</f>
        <v>6.7984728957526396E-14</v>
      </c>
      <c r="GW138" s="13">
        <f t="shared" si="159"/>
        <v>1.0682447123141398E-12</v>
      </c>
      <c r="GX138" s="20">
        <f t="shared" si="136"/>
        <v>1.978932943548152E-12</v>
      </c>
      <c r="GY138" s="59">
        <f t="shared" si="137"/>
        <v>285.82212205373708</v>
      </c>
      <c r="GZ138" s="59">
        <f ca="1">AVERAGE(OFFSET($GY$3,0,0,'Données projet'!$E$18+1,1))-AVERAGE(OFFSET($H$3,0,0,'Données projet'!$E$18+1,1))</f>
        <v>-15.950000000000017</v>
      </c>
      <c r="HA138" s="59">
        <f t="shared" si="160"/>
        <v>-15.950000000000017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34.883689070283012</v>
      </c>
      <c r="HH138" s="21">
        <f>EXP(-LN(2)/25)*HH137+(1-EXP(-LN(2)/25))/(LN(2)/25)*Calculateur!HC138*Calculateur!HE138*VLOOKUP('Données projet'!$B$18,Paramètres!$A$1:$I$89,3,0)*0.475*44/12</f>
        <v>12.763021509555372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47.646710579838384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4.3499999999999996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15.949999999999998</v>
      </c>
      <c r="H139" s="67">
        <f t="shared" si="110"/>
        <v>192.86666666666667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-9.9316821433603781E-14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433.46721010558042</v>
      </c>
      <c r="T139" s="59">
        <f t="shared" si="142"/>
        <v>306.18862295347509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49.356961269116098</v>
      </c>
      <c r="AA139" s="21">
        <f>EXP(-LN(2)/25)*AA138+(1-EXP(-LN(2)/25))/(LN(2)/25)*Calculateur!V139*Calculateur!X139*VLOOKUP('Données projet'!$B$9,Paramètres!$A$1:$I$89,3,0)*0.475*44/12</f>
        <v>15.278768521234969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64.635729790351064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285.95242477688544</v>
      </c>
      <c r="AN139" s="59">
        <f ca="1">AVERAGE(OFFSET($AM$3,0,0,'Données projet'!$E$10+1,1))-AVERAGE(OFFSET($H$3,0,0,'Données projet'!$E$10+1,1))</f>
        <v>400.1942260113168</v>
      </c>
      <c r="AO139" s="59">
        <f t="shared" si="144"/>
        <v>497.04866930593926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34.199641204564173</v>
      </c>
      <c r="AV139" s="21">
        <f>EXP(-LN(2)/25)*AV138+(1-EXP(-LN(2)/25))/(LN(2)/25)*Calculateur!AQ139*Calculateur!AS139*VLOOKUP('Données projet'!$B$10,Paramètres!$A$1:$I$89,3,0)*0.475*44/12</f>
        <v>12.414016015198449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46.613657219762622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284.78505691662588</v>
      </c>
      <c r="BJ139" s="59">
        <f t="shared" si="146"/>
        <v>664.42623058686308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380.64318988568527</v>
      </c>
      <c r="CE139" s="59">
        <f t="shared" si="148"/>
        <v>885.24651320439159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19.514118488018578</v>
      </c>
      <c r="CL139" s="21">
        <f>EXP(-LN(2)/25)*CL138+(1-EXP(-LN(2)/25))/(LN(2)/25)*Calculateur!CG139*Calculateur!CI139*VLOOKUP('Données projet'!$B$12,Paramètres!$A$1:$I$89,3,0)*0.475*44/12</f>
        <v>2.168535833521458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21.682654321540035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-6.3550942286383367E-14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404.10467005188889</v>
      </c>
      <c r="CZ139" s="59">
        <f t="shared" si="150"/>
        <v>372.70490129557845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63.897651544142377</v>
      </c>
      <c r="DG139" s="21">
        <f>EXP(-LN(2)/25)*DG138+(1-EXP(-LN(2)/25))/(LN(2)/25)*Calculateur!DB139*Calculateur!DD139*VLOOKUP('Données projet'!$B$13,Paramètres!$A$1:$I$89,3,0)*0.475*44/12</f>
        <v>20.899814301478287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84.797465845620664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6.4825000000000017</v>
      </c>
      <c r="DO139" s="12">
        <f>IF('Données projet'!$A$166&gt;35,DO138+DN139-DW138,IF(A139&lt;'Données projet'!$A$166,$DL$205^A139,IF(A139='Données projet'!$A$166,'Données projet'!$B$166,DO138+DN139-DW138)))</f>
        <v>287.50000000000006</v>
      </c>
      <c r="DP139" s="17">
        <f>DO139*VLOOKUP('Données projet'!$B$14,Paramètres!$A$1:$I$89,3,0)*VLOOKUP('Données projet'!$B$14,Paramètres!$A$1:$I$89,5,0)</f>
        <v>260.13000000000005</v>
      </c>
      <c r="DQ139" s="13">
        <f t="shared" si="151"/>
        <v>62.750087896510983</v>
      </c>
      <c r="DR139" s="20">
        <f t="shared" si="124"/>
        <v>562.34948641975677</v>
      </c>
      <c r="DS139" s="59">
        <f t="shared" si="125"/>
        <v>848.30191119664028</v>
      </c>
      <c r="DT139" s="59">
        <f ca="1">AVERAGE(OFFSET($DS$3,0,0,'Données projet'!$E$14+1,1))-AVERAGE(OFFSET($H$3,0,0,'Données projet'!$E$14+1,1))</f>
        <v>479.53113328461268</v>
      </c>
      <c r="DU139" s="59">
        <f t="shared" si="152"/>
        <v>244.6360664588118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46.764760451119315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46.764760451119315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2.2737367544323206E-13</v>
      </c>
      <c r="EK139" s="17">
        <f>EJ139*VLOOKUP('Données projet'!$B$15,Paramètres!$A$1:$I$89,3,0)*VLOOKUP('Données projet'!$B$15,Paramètres!$A$1:$I$89,5,0)</f>
        <v>1.0049916454590858E-13</v>
      </c>
      <c r="EL139" s="13">
        <f t="shared" si="153"/>
        <v>1.5089081593838289E-12</v>
      </c>
      <c r="EM139" s="20">
        <f t="shared" si="127"/>
        <v>2.8030510891776262E-12</v>
      </c>
      <c r="EN139" s="59">
        <f t="shared" si="128"/>
        <v>285.95242477688623</v>
      </c>
      <c r="EO139" s="59">
        <f ca="1">AVERAGE(OFFSET($EN$3,0,0,'Données projet'!$E$15+1,1))-AVERAGE(OFFSET($H$3,0,0,'Données projet'!$E$15+1,1))</f>
        <v>339.23049610652492</v>
      </c>
      <c r="EP139" s="59">
        <f t="shared" si="154"/>
        <v>448.85057640789785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36.640491314239078</v>
      </c>
      <c r="EW139" s="21">
        <f>EXP(-LN(2)/25)*EW138+(1-EXP(-LN(2)/25))/(LN(2)/25)*Calculateur!ER139*Calculateur!ET139*VLOOKUP('Données projet'!$B$15,Paramètres!$A$1:$I$89,3,0)*0.475*44/12</f>
        <v>14.274164875890301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50.914656190129378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6.2527760746888816E-13</v>
      </c>
      <c r="FF139" s="17">
        <f>FE139*VLOOKUP('Données projet'!$B$16,Paramètres!$A$1:$I$89,3,0)*VLOOKUP('Données projet'!$B$16,Paramètres!$A$1:$I$89,5,0)</f>
        <v>2.9262992029543964E-13</v>
      </c>
      <c r="FG139" s="13">
        <f t="shared" si="155"/>
        <v>3.8796387982050903E-12</v>
      </c>
      <c r="FH139" s="20">
        <f t="shared" si="130"/>
        <v>7.2667013513884219E-12</v>
      </c>
      <c r="FI139" s="59">
        <f t="shared" si="131"/>
        <v>285.95242477689072</v>
      </c>
      <c r="FJ139" s="59">
        <f ca="1">AVERAGE(OFFSET($FI$3,0,0,'Données projet'!$E$16+1,1))-AVERAGE(OFFSET($H$3,0,0,'Données projet'!$E$16+1,1))</f>
        <v>365.63278362856033</v>
      </c>
      <c r="FK139" s="59">
        <f t="shared" si="156"/>
        <v>290.68267842697452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156.06857265062797</v>
      </c>
      <c r="FR139" s="21">
        <f>EXP(-LN(2)/25)*FR138+(1-EXP(-LN(2)/25))/(LN(2)/25)*Calculateur!FM139*Calculateur!FO139*VLOOKUP('Données projet'!$B$16,Paramètres!$A$1:$I$89,3,0)*0.475*44/12</f>
        <v>56.440450776570579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212.50902342719854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4.7399999999999975</v>
      </c>
      <c r="FZ139" s="12">
        <f>IF('Données projet'!$A$244&gt;35,FZ138+FY139-GH138,IF(A139&lt;'Données projet'!$A$244,$FW$205^A139,IF(A139='Données projet'!$A$244,'Données projet'!$B$244,FZ138+FY139-GH138)))</f>
        <v>180.21000000000021</v>
      </c>
      <c r="GA139" s="17">
        <f>FZ139*VLOOKUP('Données projet'!$B$17,Paramètres!$A$1:$I$89,3,0)*VLOOKUP('Données projet'!$B$17,Paramètres!$A$1:$I$89,5,0)</f>
        <v>154.6201800000002</v>
      </c>
      <c r="GB139" s="13">
        <f t="shared" si="157"/>
        <v>39.62667715740308</v>
      </c>
      <c r="GC139" s="20">
        <f t="shared" si="133"/>
        <v>338.31327621581067</v>
      </c>
      <c r="GD139" s="59">
        <f t="shared" si="134"/>
        <v>624.26570099269406</v>
      </c>
      <c r="GE139" s="59">
        <f ca="1">AVERAGE(OFFSET($GD$3,0,0,'Données projet'!$E$17+1,1))-AVERAGE(OFFSET($H$3,0,0,'Données projet'!$E$17+1,1))</f>
        <v>460.46300302025099</v>
      </c>
      <c r="GF139" s="59">
        <f t="shared" si="158"/>
        <v>340.22534554615879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118.38794284689988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118.38794284689988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67.987024939150032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1.1368683772161603E-13</v>
      </c>
      <c r="GV139" s="17">
        <f>GU139*VLOOKUP('Données projet'!$B$18,Paramètres!$A$1:$I$89,3,0)*VLOOKUP('Données projet'!$B$18,Paramètres!$A$1:$I$89,5,0)</f>
        <v>6.7984728957526396E-14</v>
      </c>
      <c r="GW139" s="13">
        <f t="shared" si="159"/>
        <v>1.0682447123141398E-12</v>
      </c>
      <c r="GX139" s="20">
        <f t="shared" si="136"/>
        <v>1.978932943548152E-12</v>
      </c>
      <c r="GY139" s="59">
        <f t="shared" si="137"/>
        <v>285.95242477688544</v>
      </c>
      <c r="GZ139" s="59">
        <f ca="1">AVERAGE(OFFSET($GY$3,0,0,'Données projet'!$E$18+1,1))-AVERAGE(OFFSET($H$3,0,0,'Données projet'!$E$18+1,1))</f>
        <v>-15.950000000000017</v>
      </c>
      <c r="HA139" s="59">
        <f t="shared" si="160"/>
        <v>-15.950000000000017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34.199641204564173</v>
      </c>
      <c r="HH139" s="21">
        <f>EXP(-LN(2)/25)*HH138+(1-EXP(-LN(2)/25))/(LN(2)/25)*Calculateur!HC139*Calculateur!HE139*VLOOKUP('Données projet'!$B$18,Paramètres!$A$1:$I$89,3,0)*0.475*44/12</f>
        <v>12.414016015198449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46.613657219762622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4.3499999999999996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15.949999999999998</v>
      </c>
      <c r="H140" s="67">
        <f t="shared" si="110"/>
        <v>192.86666666666667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-9.9316821433603781E-14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433.46721010558042</v>
      </c>
      <c r="T140" s="59">
        <f t="shared" si="142"/>
        <v>306.18862295347509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48.389101363402503</v>
      </c>
      <c r="AA140" s="21">
        <f>EXP(-LN(2)/25)*AA139+(1-EXP(-LN(2)/25))/(LN(2)/25)*Calculateur!V140*Calculateur!X140*VLOOKUP('Données projet'!$B$9,Paramètres!$A$1:$I$89,3,0)*0.475*44/12</f>
        <v>14.860969792546282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63.250071155948788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286.08046703910037</v>
      </c>
      <c r="AN140" s="59">
        <f ca="1">AVERAGE(OFFSET($AM$3,0,0,'Données projet'!$E$10+1,1))-AVERAGE(OFFSET($H$3,0,0,'Données projet'!$E$10+1,1))</f>
        <v>400.1942260113168</v>
      </c>
      <c r="AO140" s="59">
        <f t="shared" si="144"/>
        <v>497.04866930593926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33.529007100264081</v>
      </c>
      <c r="AV140" s="21">
        <f>EXP(-LN(2)/25)*AV139+(1-EXP(-LN(2)/25))/(LN(2)/25)*Calculateur!AQ140*Calculateur!AS140*VLOOKUP('Données projet'!$B$10,Paramètres!$A$1:$I$89,3,0)*0.475*44/12</f>
        <v>12.074554094438117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45.603561194702195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284.78505691662588</v>
      </c>
      <c r="BJ140" s="59">
        <f t="shared" si="146"/>
        <v>664.42623058686308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380.64318988568527</v>
      </c>
      <c r="CE140" s="59">
        <f t="shared" si="148"/>
        <v>885.24651320439159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19.131458526905543</v>
      </c>
      <c r="CL140" s="21">
        <f>EXP(-LN(2)/25)*CL139+(1-EXP(-LN(2)/25))/(LN(2)/25)*Calculateur!CG140*Calculateur!CI140*VLOOKUP('Données projet'!$B$12,Paramètres!$A$1:$I$89,3,0)*0.475*44/12</f>
        <v>2.1092371071154705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21.240695634021016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-6.3550942286383367E-14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404.10467005188889</v>
      </c>
      <c r="CZ140" s="59">
        <f t="shared" si="150"/>
        <v>372.70490129557845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62.644657571080849</v>
      </c>
      <c r="DG140" s="21">
        <f>EXP(-LN(2)/25)*DG139+(1-EXP(-LN(2)/25))/(LN(2)/25)*Calculateur!DB140*Calculateur!DD140*VLOOKUP('Données projet'!$B$13,Paramètres!$A$1:$I$89,3,0)*0.475*44/12</f>
        <v>20.328307780330896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82.972965351411744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6.4825000000000017</v>
      </c>
      <c r="DO140" s="12">
        <f>IF('Données projet'!$A$166&gt;35,DO139+DN140-DW139,IF(A140&lt;'Données projet'!$A$166,$DL$205^A140,IF(A140='Données projet'!$A$166,'Données projet'!$B$166,DO139+DN140-DW139)))</f>
        <v>293.98250000000007</v>
      </c>
      <c r="DP140" s="17">
        <f>DO140*VLOOKUP('Données projet'!$B$14,Paramètres!$A$1:$I$89,3,0)*VLOOKUP('Données projet'!$B$14,Paramètres!$A$1:$I$89,5,0)</f>
        <v>265.99536600000005</v>
      </c>
      <c r="DQ140" s="13">
        <f t="shared" si="151"/>
        <v>63.99864716333186</v>
      </c>
      <c r="DR140" s="20">
        <f t="shared" si="124"/>
        <v>574.73957292613636</v>
      </c>
      <c r="DS140" s="59">
        <f t="shared" si="125"/>
        <v>860.82003996523474</v>
      </c>
      <c r="DT140" s="59">
        <f ca="1">AVERAGE(OFFSET($DS$3,0,0,'Données projet'!$E$14+1,1))-AVERAGE(OFFSET($H$3,0,0,'Données projet'!$E$14+1,1))</f>
        <v>479.53113328461268</v>
      </c>
      <c r="DU140" s="59">
        <f t="shared" si="152"/>
        <v>244.6360664588118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45.847732022360262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45.847732022360262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2.2737367544323206E-13</v>
      </c>
      <c r="EK140" s="17">
        <f>EJ140*VLOOKUP('Données projet'!$B$15,Paramètres!$A$1:$I$89,3,0)*VLOOKUP('Données projet'!$B$15,Paramètres!$A$1:$I$89,5,0)</f>
        <v>1.0049916454590858E-13</v>
      </c>
      <c r="EL140" s="13">
        <f t="shared" si="153"/>
        <v>1.5089081593838289E-12</v>
      </c>
      <c r="EM140" s="20">
        <f t="shared" si="127"/>
        <v>2.8030510891776262E-12</v>
      </c>
      <c r="EN140" s="59">
        <f t="shared" si="128"/>
        <v>286.08046703910117</v>
      </c>
      <c r="EO140" s="59">
        <f ca="1">AVERAGE(OFFSET($EN$3,0,0,'Données projet'!$E$15+1,1))-AVERAGE(OFFSET($H$3,0,0,'Données projet'!$E$15+1,1))</f>
        <v>339.23049610652492</v>
      </c>
      <c r="EP140" s="59">
        <f t="shared" si="154"/>
        <v>448.85057640789785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35.921993628059823</v>
      </c>
      <c r="EW140" s="21">
        <f>EXP(-LN(2)/25)*EW139+(1-EXP(-LN(2)/25))/(LN(2)/25)*Calculateur!ER140*Calculateur!ET140*VLOOKUP('Données projet'!$B$15,Paramètres!$A$1:$I$89,3,0)*0.475*44/12</f>
        <v>13.883837086713374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49.805830714773194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6.2527760746888816E-13</v>
      </c>
      <c r="FF140" s="17">
        <f>FE140*VLOOKUP('Données projet'!$B$16,Paramètres!$A$1:$I$89,3,0)*VLOOKUP('Données projet'!$B$16,Paramètres!$A$1:$I$89,5,0)</f>
        <v>2.9262992029543964E-13</v>
      </c>
      <c r="FG140" s="13">
        <f t="shared" si="155"/>
        <v>3.8796387982050903E-12</v>
      </c>
      <c r="FH140" s="20">
        <f t="shared" si="130"/>
        <v>7.2667013513884219E-12</v>
      </c>
      <c r="FI140" s="59">
        <f t="shared" si="131"/>
        <v>286.08046703910566</v>
      </c>
      <c r="FJ140" s="59">
        <f ca="1">AVERAGE(OFFSET($FI$3,0,0,'Données projet'!$E$16+1,1))-AVERAGE(OFFSET($H$3,0,0,'Données projet'!$E$16+1,1))</f>
        <v>365.63278362856033</v>
      </c>
      <c r="FK140" s="59">
        <f t="shared" si="156"/>
        <v>290.68267842697452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153.00816313337901</v>
      </c>
      <c r="FR140" s="21">
        <f>EXP(-LN(2)/25)*FR139+(1-EXP(-LN(2)/25))/(LN(2)/25)*Calculateur!FM140*Calculateur!FO140*VLOOKUP('Données projet'!$B$16,Paramètres!$A$1:$I$89,3,0)*0.475*44/12</f>
        <v>54.897083682010944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207.90524681538994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4.7399999999999975</v>
      </c>
      <c r="FZ140" s="12">
        <f>IF('Données projet'!$A$244&gt;35,FZ139+FY140-GH139,IF(A140&lt;'Données projet'!$A$244,$FW$205^A140,IF(A140='Données projet'!$A$244,'Données projet'!$B$244,FZ139+FY140-GH139)))</f>
        <v>184.95000000000022</v>
      </c>
      <c r="GA140" s="17">
        <f>FZ140*VLOOKUP('Données projet'!$B$17,Paramètres!$A$1:$I$89,3,0)*VLOOKUP('Données projet'!$B$17,Paramètres!$A$1:$I$89,5,0)</f>
        <v>158.68710000000019</v>
      </c>
      <c r="GB140" s="13">
        <f t="shared" si="157"/>
        <v>40.546245292032083</v>
      </c>
      <c r="GC140" s="20">
        <f t="shared" si="133"/>
        <v>346.99807638362284</v>
      </c>
      <c r="GD140" s="59">
        <f t="shared" si="134"/>
        <v>633.07854342272117</v>
      </c>
      <c r="GE140" s="59">
        <f ca="1">AVERAGE(OFFSET($GD$3,0,0,'Données projet'!$E$17+1,1))-AVERAGE(OFFSET($H$3,0,0,'Données projet'!$E$17+1,1))</f>
        <v>460.46300302025099</v>
      </c>
      <c r="GF140" s="59">
        <f t="shared" si="158"/>
        <v>340.22534554615879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116.06642749718721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116.06642749718721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68.021945556117743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1.1368683772161603E-13</v>
      </c>
      <c r="GV140" s="17">
        <f>GU140*VLOOKUP('Données projet'!$B$18,Paramètres!$A$1:$I$89,3,0)*VLOOKUP('Données projet'!$B$18,Paramètres!$A$1:$I$89,5,0)</f>
        <v>6.7984728957526396E-14</v>
      </c>
      <c r="GW140" s="13">
        <f t="shared" si="159"/>
        <v>1.0682447123141398E-12</v>
      </c>
      <c r="GX140" s="20">
        <f t="shared" si="136"/>
        <v>1.978932943548152E-12</v>
      </c>
      <c r="GY140" s="59">
        <f t="shared" si="137"/>
        <v>286.08046703910037</v>
      </c>
      <c r="GZ140" s="59">
        <f ca="1">AVERAGE(OFFSET($GY$3,0,0,'Données projet'!$E$18+1,1))-AVERAGE(OFFSET($H$3,0,0,'Données projet'!$E$18+1,1))</f>
        <v>-15.950000000000017</v>
      </c>
      <c r="HA140" s="59">
        <f t="shared" si="160"/>
        <v>-15.950000000000017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33.529007100264081</v>
      </c>
      <c r="HH140" s="21">
        <f>EXP(-LN(2)/25)*HH139+(1-EXP(-LN(2)/25))/(LN(2)/25)*Calculateur!HC140*Calculateur!HE140*VLOOKUP('Données projet'!$B$18,Paramètres!$A$1:$I$89,3,0)*0.475*44/12</f>
        <v>12.074554094438117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45.603561194702195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4.3499999999999996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15.949999999999998</v>
      </c>
      <c r="H141" s="67">
        <f t="shared" si="110"/>
        <v>192.86666666666667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-9.9316821433603781E-14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433.46721010558042</v>
      </c>
      <c r="T141" s="59">
        <f t="shared" si="142"/>
        <v>306.18862295347509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47.4402206001037</v>
      </c>
      <c r="AA141" s="21">
        <f>EXP(-LN(2)/25)*AA140+(1-EXP(-LN(2)/25))/(LN(2)/25)*Calculateur!V141*Calculateur!X141*VLOOKUP('Données projet'!$B$9,Paramètres!$A$1:$I$89,3,0)*0.475*44/12</f>
        <v>14.454595792064667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61.894816392168366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286.20628805432551</v>
      </c>
      <c r="AN141" s="59">
        <f ca="1">AVERAGE(OFFSET($AM$3,0,0,'Données projet'!$E$10+1,1))-AVERAGE(OFFSET($H$3,0,0,'Données projet'!$E$10+1,1))</f>
        <v>400.1942260113168</v>
      </c>
      <c r="AO141" s="59">
        <f t="shared" si="144"/>
        <v>497.04866930593926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32.8715237217029</v>
      </c>
      <c r="AV141" s="21">
        <f>EXP(-LN(2)/25)*AV140+(1-EXP(-LN(2)/25))/(LN(2)/25)*Calculateur!AQ141*Calculateur!AS141*VLOOKUP('Données projet'!$B$10,Paramètres!$A$1:$I$89,3,0)*0.475*44/12</f>
        <v>11.744374777752503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44.615898499455405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284.78505691662588</v>
      </c>
      <c r="BJ141" s="59">
        <f t="shared" si="146"/>
        <v>664.42623058686308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380.64318988568527</v>
      </c>
      <c r="CE141" s="59">
        <f t="shared" si="148"/>
        <v>885.24651320439159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18.756302294230405</v>
      </c>
      <c r="CL141" s="21">
        <f>EXP(-LN(2)/25)*CL140+(1-EXP(-LN(2)/25))/(LN(2)/25)*Calculateur!CG141*Calculateur!CI141*VLOOKUP('Données projet'!$B$12,Paramètres!$A$1:$I$89,3,0)*0.475*44/12</f>
        <v>2.0515599075014395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20.807862201731844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-6.3550942286383367E-14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404.10467005188889</v>
      </c>
      <c r="CZ141" s="59">
        <f t="shared" si="150"/>
        <v>372.70490129557845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61.416234045580197</v>
      </c>
      <c r="DG141" s="21">
        <f>EXP(-LN(2)/25)*DG140+(1-EXP(-LN(2)/25))/(LN(2)/25)*Calculateur!DB141*Calculateur!DD141*VLOOKUP('Données projet'!$B$13,Paramètres!$A$1:$I$89,3,0)*0.475*44/12</f>
        <v>19.772429135058502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81.188663180638699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6.4825000000000017</v>
      </c>
      <c r="DO141" s="12">
        <f>IF('Données projet'!$A$166&gt;35,DO140+DN141-DW140,IF(A141&lt;'Données projet'!$A$166,$DL$205^A141,IF(A141='Données projet'!$A$166,'Données projet'!$B$166,DO140+DN141-DW140)))</f>
        <v>300.46500000000009</v>
      </c>
      <c r="DP141" s="17">
        <f>DO141*VLOOKUP('Données projet'!$B$14,Paramètres!$A$1:$I$89,3,0)*VLOOKUP('Données projet'!$B$14,Paramètres!$A$1:$I$89,5,0)</f>
        <v>271.86073200000004</v>
      </c>
      <c r="DQ141" s="13">
        <f t="shared" si="151"/>
        <v>65.244005596096841</v>
      </c>
      <c r="DR141" s="20">
        <f t="shared" si="124"/>
        <v>587.12408464653538</v>
      </c>
      <c r="DS141" s="59">
        <f t="shared" si="125"/>
        <v>873.3303727008589</v>
      </c>
      <c r="DT141" s="59">
        <f ca="1">AVERAGE(OFFSET($DS$3,0,0,'Données projet'!$E$14+1,1))-AVERAGE(OFFSET($H$3,0,0,'Données projet'!$E$14+1,1))</f>
        <v>479.53113328461268</v>
      </c>
      <c r="DU141" s="59">
        <f t="shared" si="152"/>
        <v>244.6360664588118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44.948685961757057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44.948685961757057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2.2737367544323206E-13</v>
      </c>
      <c r="EK141" s="17">
        <f>EJ141*VLOOKUP('Données projet'!$B$15,Paramètres!$A$1:$I$89,3,0)*VLOOKUP('Données projet'!$B$15,Paramètres!$A$1:$I$89,5,0)</f>
        <v>1.0049916454590858E-13</v>
      </c>
      <c r="EL141" s="13">
        <f t="shared" si="153"/>
        <v>1.5089081593838289E-12</v>
      </c>
      <c r="EM141" s="20">
        <f t="shared" si="127"/>
        <v>2.8030510891776262E-12</v>
      </c>
      <c r="EN141" s="59">
        <f t="shared" si="128"/>
        <v>286.20628805432631</v>
      </c>
      <c r="EO141" s="59">
        <f ca="1">AVERAGE(OFFSET($EN$3,0,0,'Données projet'!$E$15+1,1))-AVERAGE(OFFSET($H$3,0,0,'Données projet'!$E$15+1,1))</f>
        <v>339.23049610652492</v>
      </c>
      <c r="EP141" s="59">
        <f t="shared" si="154"/>
        <v>448.85057640789785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35.217585243266228</v>
      </c>
      <c r="EW141" s="21">
        <f>EXP(-LN(2)/25)*EW140+(1-EXP(-LN(2)/25))/(LN(2)/25)*Calculateur!ER141*Calculateur!ET141*VLOOKUP('Données projet'!$B$15,Paramètres!$A$1:$I$89,3,0)*0.475*44/12</f>
        <v>13.504182831457936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48.721768074724167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6.2527760746888816E-13</v>
      </c>
      <c r="FF141" s="17">
        <f>FE141*VLOOKUP('Données projet'!$B$16,Paramètres!$A$1:$I$89,3,0)*VLOOKUP('Données projet'!$B$16,Paramètres!$A$1:$I$89,5,0)</f>
        <v>2.9262992029543964E-13</v>
      </c>
      <c r="FG141" s="13">
        <f t="shared" si="155"/>
        <v>3.8796387982050903E-12</v>
      </c>
      <c r="FH141" s="20">
        <f t="shared" si="130"/>
        <v>7.2667013513884219E-12</v>
      </c>
      <c r="FI141" s="59">
        <f t="shared" si="131"/>
        <v>286.2062880543308</v>
      </c>
      <c r="FJ141" s="59">
        <f ca="1">AVERAGE(OFFSET($FI$3,0,0,'Données projet'!$E$16+1,1))-AVERAGE(OFFSET($H$3,0,0,'Données projet'!$E$16+1,1))</f>
        <v>365.63278362856033</v>
      </c>
      <c r="FK141" s="59">
        <f t="shared" si="156"/>
        <v>290.68267842697452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150.00776638009782</v>
      </c>
      <c r="FR141" s="21">
        <f>EXP(-LN(2)/25)*FR140+(1-EXP(-LN(2)/25))/(LN(2)/25)*Calculateur!FM141*Calculateur!FO141*VLOOKUP('Données projet'!$B$16,Paramètres!$A$1:$I$89,3,0)*0.475*44/12</f>
        <v>53.395920041814193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203.40368642191203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4.7399999999999975</v>
      </c>
      <c r="FZ141" s="12">
        <f>IF('Données projet'!$A$244&gt;35,FZ140+FY141-GH140,IF(A141&lt;'Données projet'!$A$244,$FW$205^A141,IF(A141='Données projet'!$A$244,'Données projet'!$B$244,FZ140+FY141-GH140)))</f>
        <v>189.69000000000023</v>
      </c>
      <c r="GA141" s="17">
        <f>FZ141*VLOOKUP('Données projet'!$B$17,Paramètres!$A$1:$I$89,3,0)*VLOOKUP('Données projet'!$B$17,Paramètres!$A$1:$I$89,5,0)</f>
        <v>162.75402000000022</v>
      </c>
      <c r="GB141" s="13">
        <f t="shared" si="157"/>
        <v>41.463073975763471</v>
      </c>
      <c r="GC141" s="20">
        <f t="shared" si="133"/>
        <v>355.67810534112181</v>
      </c>
      <c r="GD141" s="59">
        <f t="shared" si="134"/>
        <v>641.88439339544539</v>
      </c>
      <c r="GE141" s="59">
        <f ca="1">AVERAGE(OFFSET($GD$3,0,0,'Données projet'!$E$17+1,1))-AVERAGE(OFFSET($H$3,0,0,'Données projet'!$E$17+1,1))</f>
        <v>460.46300302025099</v>
      </c>
      <c r="GF141" s="59">
        <f t="shared" si="158"/>
        <v>340.22534554615879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113.79043564749786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113.79043564749786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68.056260378451867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1.1368683772161603E-13</v>
      </c>
      <c r="GV141" s="17">
        <f>GU141*VLOOKUP('Données projet'!$B$18,Paramètres!$A$1:$I$89,3,0)*VLOOKUP('Données projet'!$B$18,Paramètres!$A$1:$I$89,5,0)</f>
        <v>6.7984728957526396E-14</v>
      </c>
      <c r="GW141" s="13">
        <f t="shared" si="159"/>
        <v>1.0682447123141398E-12</v>
      </c>
      <c r="GX141" s="20">
        <f t="shared" si="136"/>
        <v>1.978932943548152E-12</v>
      </c>
      <c r="GY141" s="59">
        <f t="shared" si="137"/>
        <v>286.20628805432551</v>
      </c>
      <c r="GZ141" s="59">
        <f ca="1">AVERAGE(OFFSET($GY$3,0,0,'Données projet'!$E$18+1,1))-AVERAGE(OFFSET($H$3,0,0,'Données projet'!$E$18+1,1))</f>
        <v>-15.950000000000017</v>
      </c>
      <c r="HA141" s="59">
        <f t="shared" si="160"/>
        <v>-15.950000000000017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32.8715237217029</v>
      </c>
      <c r="HH141" s="21">
        <f>EXP(-LN(2)/25)*HH140+(1-EXP(-LN(2)/25))/(LN(2)/25)*Calculateur!HC141*Calculateur!HE141*VLOOKUP('Données projet'!$B$18,Paramètres!$A$1:$I$89,3,0)*0.475*44/12</f>
        <v>11.744374777752503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44.615898499455405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4.3499999999999996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15.949999999999998</v>
      </c>
      <c r="H142" s="67">
        <f t="shared" si="110"/>
        <v>192.86666666666667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-9.9316821433603781E-14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433.46721010558042</v>
      </c>
      <c r="T142" s="59">
        <f t="shared" si="142"/>
        <v>306.18862295347509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46.509946809813073</v>
      </c>
      <c r="AA142" s="21">
        <f>EXP(-LN(2)/25)*AA141+(1-EXP(-LN(2)/25))/(LN(2)/25)*Calculateur!V142*Calculateur!X142*VLOOKUP('Données projet'!$B$9,Paramètres!$A$1:$I$89,3,0)*0.475*44/12</f>
        <v>14.059334109996502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60.569280919809572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286.32992635623015</v>
      </c>
      <c r="AN142" s="59">
        <f ca="1">AVERAGE(OFFSET($AM$3,0,0,'Données projet'!$E$10+1,1))-AVERAGE(OFFSET($H$3,0,0,'Données projet'!$E$10+1,1))</f>
        <v>400.1942260113168</v>
      </c>
      <c r="AO142" s="59">
        <f t="shared" si="144"/>
        <v>497.04866930593926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32.226933191170041</v>
      </c>
      <c r="AV142" s="21">
        <f>EXP(-LN(2)/25)*AV141+(1-EXP(-LN(2)/25))/(LN(2)/25)*Calculateur!AQ142*Calculateur!AS142*VLOOKUP('Données projet'!$B$10,Paramètres!$A$1:$I$89,3,0)*0.475*44/12</f>
        <v>11.423224231845033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43.650157423015074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284.78505691662588</v>
      </c>
      <c r="BJ142" s="59">
        <f t="shared" si="146"/>
        <v>664.42623058686308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380.64318988568527</v>
      </c>
      <c r="CE142" s="59">
        <f t="shared" si="148"/>
        <v>885.24651320439159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18.388502646455319</v>
      </c>
      <c r="CL142" s="21">
        <f>EXP(-LN(2)/25)*CL141+(1-EXP(-LN(2)/25))/(LN(2)/25)*Calculateur!CG142*Calculateur!CI142*VLOOKUP('Données projet'!$B$12,Paramètres!$A$1:$I$89,3,0)*0.475*44/12</f>
        <v>1.9954598939439661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20.383962540399285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-6.3550942286383367E-14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404.10467005188889</v>
      </c>
      <c r="CZ142" s="59">
        <f t="shared" si="150"/>
        <v>372.70490129557845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60.211899156150245</v>
      </c>
      <c r="DG142" s="21">
        <f>EXP(-LN(2)/25)*DG141+(1-EXP(-LN(2)/25))/(LN(2)/25)*Calculateur!DB142*Calculateur!DD142*VLOOKUP('Données projet'!$B$13,Paramètres!$A$1:$I$89,3,0)*0.475*44/12</f>
        <v>19.231751020573469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79.443650176723708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6.4825000000000017</v>
      </c>
      <c r="DO142" s="12">
        <f>IF('Données projet'!$A$166&gt;35,DO141+DN142-DW141,IF(A142&lt;'Données projet'!$A$166,$DL$205^A142,IF(A142='Données projet'!$A$166,'Données projet'!$B$166,DO141+DN142-DW141)))</f>
        <v>306.9475000000001</v>
      </c>
      <c r="DP142" s="17">
        <f>DO142*VLOOKUP('Données projet'!$B$14,Paramètres!$A$1:$I$89,3,0)*VLOOKUP('Données projet'!$B$14,Paramètres!$A$1:$I$89,5,0)</f>
        <v>277.72609800000009</v>
      </c>
      <c r="DQ142" s="13">
        <f t="shared" si="151"/>
        <v>66.486240206107965</v>
      </c>
      <c r="DR142" s="20">
        <f t="shared" si="124"/>
        <v>599.50315570897146</v>
      </c>
      <c r="DS142" s="59">
        <f t="shared" si="125"/>
        <v>885.83308206519962</v>
      </c>
      <c r="DT142" s="59">
        <f ca="1">AVERAGE(OFFSET($DS$3,0,0,'Données projet'!$E$14+1,1))-AVERAGE(OFFSET($H$3,0,0,'Données projet'!$E$14+1,1))</f>
        <v>479.53113328461268</v>
      </c>
      <c r="DU142" s="59">
        <f t="shared" si="152"/>
        <v>244.6360664588118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44.067269646038334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44.067269646038334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2.2737367544323206E-13</v>
      </c>
      <c r="EK142" s="17">
        <f>EJ142*VLOOKUP('Données projet'!$B$15,Paramètres!$A$1:$I$89,3,0)*VLOOKUP('Données projet'!$B$15,Paramètres!$A$1:$I$89,5,0)</f>
        <v>1.0049916454590858E-13</v>
      </c>
      <c r="EL142" s="13">
        <f t="shared" si="153"/>
        <v>1.5089081593838289E-12</v>
      </c>
      <c r="EM142" s="20">
        <f t="shared" si="127"/>
        <v>2.8030510891776262E-12</v>
      </c>
      <c r="EN142" s="59">
        <f t="shared" si="128"/>
        <v>286.32992635623094</v>
      </c>
      <c r="EO142" s="59">
        <f ca="1">AVERAGE(OFFSET($EN$3,0,0,'Données projet'!$E$15+1,1))-AVERAGE(OFFSET($H$3,0,0,'Données projet'!$E$15+1,1))</f>
        <v>339.23049610652492</v>
      </c>
      <c r="EP142" s="59">
        <f t="shared" si="154"/>
        <v>448.85057640789785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34.526989877251744</v>
      </c>
      <c r="EW142" s="21">
        <f>EXP(-LN(2)/25)*EW141+(1-EXP(-LN(2)/25))/(LN(2)/25)*Calculateur!ER142*Calculateur!ET142*VLOOKUP('Données projet'!$B$15,Paramètres!$A$1:$I$89,3,0)*0.475*44/12</f>
        <v>13.134910241777607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47.661900119029355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6.2527760746888816E-13</v>
      </c>
      <c r="FF142" s="17">
        <f>FE142*VLOOKUP('Données projet'!$B$16,Paramètres!$A$1:$I$89,3,0)*VLOOKUP('Données projet'!$B$16,Paramètres!$A$1:$I$89,5,0)</f>
        <v>2.9262992029543964E-13</v>
      </c>
      <c r="FG142" s="13">
        <f t="shared" si="155"/>
        <v>3.8796387982050903E-12</v>
      </c>
      <c r="FH142" s="20">
        <f t="shared" si="130"/>
        <v>7.2667013513884219E-12</v>
      </c>
      <c r="FI142" s="59">
        <f t="shared" si="131"/>
        <v>286.32992635623543</v>
      </c>
      <c r="FJ142" s="59">
        <f ca="1">AVERAGE(OFFSET($FI$3,0,0,'Données projet'!$E$16+1,1))-AVERAGE(OFFSET($H$3,0,0,'Données projet'!$E$16+1,1))</f>
        <v>365.63278362856033</v>
      </c>
      <c r="FK142" s="59">
        <f t="shared" si="156"/>
        <v>290.68267842697452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147.06620557708715</v>
      </c>
      <c r="FR142" s="21">
        <f>EXP(-LN(2)/25)*FR141+(1-EXP(-LN(2)/25))/(LN(2)/25)*Calculateur!FM142*Calculateur!FO142*VLOOKUP('Données projet'!$B$16,Paramètres!$A$1:$I$89,3,0)*0.475*44/12</f>
        <v>51.935805800301388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199.00201137738853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>
        <f>VLOOKUP(A142,'Données projet'!$A$243:$I$263,2,0)</f>
        <v>194.43</v>
      </c>
      <c r="FX142" s="12">
        <f>VLOOKUP(A142,'Données projet'!$A$243:$I$263,9,0)</f>
        <v>4.7399999999999975</v>
      </c>
      <c r="FY142" s="12">
        <f t="array" ref="FY142">INDEX(FX:FX,MIN(IF(ISNUMBER(FX142:FX338),ROW(FX142:FX338),"")))</f>
        <v>4.7399999999999975</v>
      </c>
      <c r="FZ142" s="12">
        <f>IF('Données projet'!$A$244&gt;35,FZ141+FY142-GH141,IF(A142&lt;'Données projet'!$A$244,$FW$205^A142,IF(A142='Données projet'!$A$244,'Données projet'!$B$244,FZ141+FY142-GH141)))</f>
        <v>194.43000000000023</v>
      </c>
      <c r="GA142" s="17">
        <f>FZ142*VLOOKUP('Données projet'!$B$17,Paramètres!$A$1:$I$89,3,0)*VLOOKUP('Données projet'!$B$17,Paramètres!$A$1:$I$89,5,0)</f>
        <v>166.82094000000021</v>
      </c>
      <c r="GB142" s="13">
        <f t="shared" si="157"/>
        <v>42.377239535431386</v>
      </c>
      <c r="GC142" s="20">
        <f t="shared" si="133"/>
        <v>364.35349602421002</v>
      </c>
      <c r="GD142" s="59">
        <f t="shared" si="134"/>
        <v>650.68342238043817</v>
      </c>
      <c r="GE142" s="59">
        <f ca="1">AVERAGE(OFFSET($GD$3,0,0,'Données projet'!$E$17+1,1))-AVERAGE(OFFSET($H$3,0,0,'Données projet'!$E$17+1,1))</f>
        <v>460.46300302025099</v>
      </c>
      <c r="GF142" s="59">
        <f t="shared" si="158"/>
        <v>340.22534554615879</v>
      </c>
      <c r="GG142" s="15">
        <f>IF(ISNA(VLOOKUP(A142,'Données projet'!$A$243:$I$263,3,0)),0,VLOOKUP(A142,'Données projet'!$A$243:$I$263,3,0))</f>
        <v>10</v>
      </c>
      <c r="GH142" s="15">
        <f>IF(ISNA(VLOOKUP(A142,'Données projet'!$A$243:$I$263,4,0)),0,VLOOKUP(A142,'Données projet'!$A$243:$I$263,4,0))</f>
        <v>79.77</v>
      </c>
      <c r="GI142" s="16">
        <f>IF(ISNA(VLOOKUP(A142,'Données projet'!$A$243:$I$263,5,0)),0%,VLOOKUP(A142,'Données projet'!$A$243:$I$263,5,0)*VLOOKUP('Données projet'!$B$17,Paramètres!$A$1:$I$89,7,0))</f>
        <v>0.318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135.61937860757237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135.61937860757237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68.089979915334951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1.1368683772161603E-13</v>
      </c>
      <c r="GV142" s="17">
        <f>GU142*VLOOKUP('Données projet'!$B$18,Paramètres!$A$1:$I$89,3,0)*VLOOKUP('Données projet'!$B$18,Paramètres!$A$1:$I$89,5,0)</f>
        <v>6.7984728957526396E-14</v>
      </c>
      <c r="GW142" s="13">
        <f t="shared" si="159"/>
        <v>1.0682447123141398E-12</v>
      </c>
      <c r="GX142" s="20">
        <f t="shared" si="136"/>
        <v>1.978932943548152E-12</v>
      </c>
      <c r="GY142" s="59">
        <f t="shared" si="137"/>
        <v>286.32992635623015</v>
      </c>
      <c r="GZ142" s="59">
        <f ca="1">AVERAGE(OFFSET($GY$3,0,0,'Données projet'!$E$18+1,1))-AVERAGE(OFFSET($H$3,0,0,'Données projet'!$E$18+1,1))</f>
        <v>-15.950000000000017</v>
      </c>
      <c r="HA142" s="59">
        <f t="shared" si="160"/>
        <v>-15.950000000000017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32.226933191170041</v>
      </c>
      <c r="HH142" s="21">
        <f>EXP(-LN(2)/25)*HH141+(1-EXP(-LN(2)/25))/(LN(2)/25)*Calculateur!HC142*Calculateur!HE142*VLOOKUP('Données projet'!$B$18,Paramètres!$A$1:$I$89,3,0)*0.475*44/12</f>
        <v>11.423224231845033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43.650157423015074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4.3499999999999996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15.949999999999998</v>
      </c>
      <c r="H143" s="67">
        <f t="shared" si="110"/>
        <v>192.86666666666667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-9.9316821433603781E-14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433.46721010558042</v>
      </c>
      <c r="T143" s="59">
        <f t="shared" si="142"/>
        <v>306.18862295347509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45.59791512113906</v>
      </c>
      <c r="AA143" s="21">
        <f>EXP(-LN(2)/25)*AA142+(1-EXP(-LN(2)/25))/(LN(2)/25)*Calculateur!V143*Calculateur!X143*VLOOKUP('Données projet'!$B$9,Paramètres!$A$1:$I$89,3,0)*0.475*44/12</f>
        <v>13.6748808794104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59.272796000549462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286.45141981001052</v>
      </c>
      <c r="AN143" s="59">
        <f ca="1">AVERAGE(OFFSET($AM$3,0,0,'Données projet'!$E$10+1,1))-AVERAGE(OFFSET($H$3,0,0,'Données projet'!$E$10+1,1))</f>
        <v>400.1942260113168</v>
      </c>
      <c r="AO143" s="59">
        <f t="shared" si="144"/>
        <v>497.04866930593926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31.594982687779524</v>
      </c>
      <c r="AV143" s="21">
        <f>EXP(-LN(2)/25)*AV142+(1-EXP(-LN(2)/25))/(LN(2)/25)*Calculateur!AQ143*Calculateur!AS143*VLOOKUP('Données projet'!$B$10,Paramètres!$A$1:$I$89,3,0)*0.475*44/12</f>
        <v>11.110855564503977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42.705838252283499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284.78505691662588</v>
      </c>
      <c r="BJ143" s="59">
        <f t="shared" si="146"/>
        <v>664.42623058686308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380.64318988568527</v>
      </c>
      <c r="CE143" s="59">
        <f t="shared" si="148"/>
        <v>885.24651320439159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18.027915325437469</v>
      </c>
      <c r="CL143" s="21">
        <f>EXP(-LN(2)/25)*CL142+(1-EXP(-LN(2)/25))/(LN(2)/25)*Calculateur!CG143*Calculateur!CI143*VLOOKUP('Données projet'!$B$12,Paramètres!$A$1:$I$89,3,0)*0.475*44/12</f>
        <v>1.9408939382073931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19.968809263644861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-6.3550942286383367E-14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404.10467005188889</v>
      </c>
      <c r="CZ143" s="59">
        <f t="shared" si="150"/>
        <v>372.70490129557845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59.031180539330272</v>
      </c>
      <c r="DG143" s="21">
        <f>EXP(-LN(2)/25)*DG142+(1-EXP(-LN(2)/25))/(LN(2)/25)*Calculateur!DB143*Calculateur!DD143*VLOOKUP('Données projet'!$B$13,Paramètres!$A$1:$I$89,3,0)*0.475*44/12</f>
        <v>18.705857777562056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77.737038316892324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6.4825000000000017</v>
      </c>
      <c r="DO143" s="12">
        <f>IF('Données projet'!$A$166&gt;35,DO142+DN143-DW142,IF(A143&lt;'Données projet'!$A$166,$DL$205^A143,IF(A143='Données projet'!$A$166,'Données projet'!$B$166,DO142+DN143-DW142)))</f>
        <v>313.43000000000012</v>
      </c>
      <c r="DP143" s="17">
        <f>DO143*VLOOKUP('Données projet'!$B$14,Paramètres!$A$1:$I$89,3,0)*VLOOKUP('Données projet'!$B$14,Paramètres!$A$1:$I$89,5,0)</f>
        <v>283.59146400000009</v>
      </c>
      <c r="DQ143" s="13">
        <f t="shared" si="151"/>
        <v>67.725424565970371</v>
      </c>
      <c r="DR143" s="20">
        <f t="shared" si="124"/>
        <v>611.87691425239848</v>
      </c>
      <c r="DS143" s="59">
        <f t="shared" si="125"/>
        <v>898.32833406240707</v>
      </c>
      <c r="DT143" s="59">
        <f ca="1">AVERAGE(OFFSET($DS$3,0,0,'Données projet'!$E$14+1,1))-AVERAGE(OFFSET($H$3,0,0,'Données projet'!$E$14+1,1))</f>
        <v>479.53113328461268</v>
      </c>
      <c r="DU143" s="59">
        <f t="shared" si="152"/>
        <v>244.6360664588118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43.203137366659988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43.203137366659988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2.2737367544323206E-13</v>
      </c>
      <c r="EK143" s="17">
        <f>EJ143*VLOOKUP('Données projet'!$B$15,Paramètres!$A$1:$I$89,3,0)*VLOOKUP('Données projet'!$B$15,Paramètres!$A$1:$I$89,5,0)</f>
        <v>1.0049916454590858E-13</v>
      </c>
      <c r="EL143" s="13">
        <f t="shared" si="153"/>
        <v>1.5089081593838289E-12</v>
      </c>
      <c r="EM143" s="20">
        <f t="shared" si="127"/>
        <v>2.8030510891776262E-12</v>
      </c>
      <c r="EN143" s="59">
        <f t="shared" si="128"/>
        <v>286.45141981001132</v>
      </c>
      <c r="EO143" s="59">
        <f ca="1">AVERAGE(OFFSET($EN$3,0,0,'Données projet'!$E$15+1,1))-AVERAGE(OFFSET($H$3,0,0,'Données projet'!$E$15+1,1))</f>
        <v>339.23049610652492</v>
      </c>
      <c r="EP143" s="59">
        <f t="shared" si="154"/>
        <v>448.85057640789785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33.849936665143218</v>
      </c>
      <c r="EW143" s="21">
        <f>EXP(-LN(2)/25)*EW142+(1-EXP(-LN(2)/25))/(LN(2)/25)*Calculateur!ER143*Calculateur!ET143*VLOOKUP('Données projet'!$B$15,Paramètres!$A$1:$I$89,3,0)*0.475*44/12</f>
        <v>12.775735430481289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46.625672095624509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6.2527760746888816E-13</v>
      </c>
      <c r="FF143" s="17">
        <f>FE143*VLOOKUP('Données projet'!$B$16,Paramètres!$A$1:$I$89,3,0)*VLOOKUP('Données projet'!$B$16,Paramètres!$A$1:$I$89,5,0)</f>
        <v>2.9262992029543964E-13</v>
      </c>
      <c r="FG143" s="13">
        <f t="shared" si="155"/>
        <v>3.8796387982050903E-12</v>
      </c>
      <c r="FH143" s="20">
        <f t="shared" si="130"/>
        <v>7.2667013513884219E-12</v>
      </c>
      <c r="FI143" s="59">
        <f t="shared" si="131"/>
        <v>286.45141981001581</v>
      </c>
      <c r="FJ143" s="59">
        <f ca="1">AVERAGE(OFFSET($FI$3,0,0,'Données projet'!$E$16+1,1))-AVERAGE(OFFSET($H$3,0,0,'Données projet'!$E$16+1,1))</f>
        <v>365.63278362856033</v>
      </c>
      <c r="FK143" s="59">
        <f t="shared" si="156"/>
        <v>290.68267842697452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144.18232698724859</v>
      </c>
      <c r="FR143" s="21">
        <f>EXP(-LN(2)/25)*FR142+(1-EXP(-LN(2)/25))/(LN(2)/25)*Calculateur!FM143*Calculateur!FO143*VLOOKUP('Données projet'!$B$16,Paramètres!$A$1:$I$89,3,0)*0.475*44/12</f>
        <v>50.515618459506818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194.6979454467554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3.5350000000000001</v>
      </c>
      <c r="FZ143" s="12">
        <f>IF('Données projet'!$A$244&gt;35,FZ142+FY143-GH142,IF(A143&lt;'Données projet'!$A$244,$FW$205^A143,IF(A143='Données projet'!$A$244,'Données projet'!$B$244,FZ142+FY143-GH142)))</f>
        <v>118.19500000000023</v>
      </c>
      <c r="GA143" s="17">
        <f>FZ143*VLOOKUP('Données projet'!$B$17,Paramètres!$A$1:$I$89,3,0)*VLOOKUP('Données projet'!$B$17,Paramètres!$A$1:$I$89,5,0)</f>
        <v>101.41131000000023</v>
      </c>
      <c r="GB143" s="13">
        <f t="shared" si="157"/>
        <v>27.297947964631007</v>
      </c>
      <c r="GC143" s="20">
        <f t="shared" si="133"/>
        <v>224.1686242883994</v>
      </c>
      <c r="GD143" s="59">
        <f t="shared" si="134"/>
        <v>510.6200440984079</v>
      </c>
      <c r="GE143" s="59">
        <f ca="1">AVERAGE(OFFSET($GD$3,0,0,'Données projet'!$E$17+1,1))-AVERAGE(OFFSET($H$3,0,0,'Données projet'!$E$17+1,1))</f>
        <v>460.46300302025099</v>
      </c>
      <c r="GF143" s="59">
        <f t="shared" si="158"/>
        <v>340.22534554615879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132.95996531273093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132.95996531273093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68.123114493638695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1.1368683772161603E-13</v>
      </c>
      <c r="GV143" s="17">
        <f>GU143*VLOOKUP('Données projet'!$B$18,Paramètres!$A$1:$I$89,3,0)*VLOOKUP('Données projet'!$B$18,Paramètres!$A$1:$I$89,5,0)</f>
        <v>6.7984728957526396E-14</v>
      </c>
      <c r="GW143" s="13">
        <f t="shared" si="159"/>
        <v>1.0682447123141398E-12</v>
      </c>
      <c r="GX143" s="20">
        <f t="shared" si="136"/>
        <v>1.978932943548152E-12</v>
      </c>
      <c r="GY143" s="59">
        <f t="shared" si="137"/>
        <v>286.45141981001052</v>
      </c>
      <c r="GZ143" s="59">
        <f ca="1">AVERAGE(OFFSET($GY$3,0,0,'Données projet'!$E$18+1,1))-AVERAGE(OFFSET($H$3,0,0,'Données projet'!$E$18+1,1))</f>
        <v>-15.950000000000017</v>
      </c>
      <c r="HA143" s="59">
        <f t="shared" si="160"/>
        <v>-15.950000000000017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31.594982687779524</v>
      </c>
      <c r="HH143" s="21">
        <f>EXP(-LN(2)/25)*HH142+(1-EXP(-LN(2)/25))/(LN(2)/25)*Calculateur!HC143*Calculateur!HE143*VLOOKUP('Données projet'!$B$18,Paramètres!$A$1:$I$89,3,0)*0.475*44/12</f>
        <v>11.110855564503977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42.705838252283499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4.3499999999999996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15.949999999999998</v>
      </c>
      <c r="H144" s="67">
        <f t="shared" si="110"/>
        <v>192.86666666666667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-9.9316821433603781E-14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433.46721010558042</v>
      </c>
      <c r="T144" s="59">
        <f t="shared" si="142"/>
        <v>306.18862295347509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44.703767817595541</v>
      </c>
      <c r="AA144" s="21">
        <f>EXP(-LN(2)/25)*AA143+(1-EXP(-LN(2)/25))/(LN(2)/25)*Calculateur!V144*Calculateur!X144*VLOOKUP('Données projet'!$B$9,Paramètres!$A$1:$I$89,3,0)*0.475*44/12</f>
        <v>13.300940542632192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58.004708360227731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286.57080562398653</v>
      </c>
      <c r="AN144" s="59">
        <f ca="1">AVERAGE(OFFSET($AM$3,0,0,'Données projet'!$E$10+1,1))-AVERAGE(OFFSET($H$3,0,0,'Données projet'!$E$10+1,1))</f>
        <v>400.1942260113168</v>
      </c>
      <c r="AO144" s="59">
        <f t="shared" si="144"/>
        <v>497.04866930593926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30.975424348308749</v>
      </c>
      <c r="AV144" s="21">
        <f>EXP(-LN(2)/25)*AV143+(1-EXP(-LN(2)/25))/(LN(2)/25)*Calculateur!AQ144*Calculateur!AS144*VLOOKUP('Données projet'!$B$10,Paramètres!$A$1:$I$89,3,0)*0.475*44/12</f>
        <v>10.807028634798115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41.782452983106865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284.78505691662588</v>
      </c>
      <c r="BJ144" s="59">
        <f t="shared" si="146"/>
        <v>664.42623058686308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380.64318988568527</v>
      </c>
      <c r="CE144" s="59">
        <f t="shared" si="148"/>
        <v>885.24651320439159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17.674398901848228</v>
      </c>
      <c r="CL144" s="21">
        <f>EXP(-LN(2)/25)*CL143+(1-EXP(-LN(2)/25))/(LN(2)/25)*Calculateur!CG144*Calculateur!CI144*VLOOKUP('Données projet'!$B$12,Paramètres!$A$1:$I$89,3,0)*0.475*44/12</f>
        <v>1.8878200913999357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19.562218993248162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-6.3550942286383367E-14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404.10467005188889</v>
      </c>
      <c r="CZ144" s="59">
        <f t="shared" si="150"/>
        <v>372.70490129557845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57.873615094418888</v>
      </c>
      <c r="DG144" s="21">
        <f>EXP(-LN(2)/25)*DG143+(1-EXP(-LN(2)/25))/(LN(2)/25)*Calculateur!DB144*Calculateur!DD144*VLOOKUP('Données projet'!$B$13,Paramètres!$A$1:$I$89,3,0)*0.475*44/12</f>
        <v>18.194345112936315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76.067960207355199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6.4825000000000017</v>
      </c>
      <c r="DO144" s="12">
        <f>IF('Données projet'!$A$166&gt;35,DO143+DN144-DW143,IF(A144&lt;'Données projet'!$A$166,$DL$205^A144,IF(A144='Données projet'!$A$166,'Données projet'!$B$166,DO143+DN144-DW143)))</f>
        <v>319.91250000000014</v>
      </c>
      <c r="DP144" s="17">
        <f>DO144*VLOOKUP('Données projet'!$B$14,Paramètres!$A$1:$I$89,3,0)*VLOOKUP('Données projet'!$B$14,Paramètres!$A$1:$I$89,5,0)</f>
        <v>289.45683000000008</v>
      </c>
      <c r="DQ144" s="13">
        <f t="shared" si="151"/>
        <v>68.961629031029304</v>
      </c>
      <c r="DR144" s="20">
        <f t="shared" si="124"/>
        <v>624.24548281237617</v>
      </c>
      <c r="DS144" s="59">
        <f t="shared" si="125"/>
        <v>910.81628843636076</v>
      </c>
      <c r="DT144" s="59">
        <f ca="1">AVERAGE(OFFSET($DS$3,0,0,'Données projet'!$E$14+1,1))-AVERAGE(OFFSET($H$3,0,0,'Données projet'!$E$14+1,1))</f>
        <v>479.53113328461268</v>
      </c>
      <c r="DU144" s="59">
        <f t="shared" si="152"/>
        <v>244.6360664588118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42.355950194211601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42.355950194211601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2.2737367544323206E-13</v>
      </c>
      <c r="EK144" s="17">
        <f>EJ144*VLOOKUP('Données projet'!$B$15,Paramètres!$A$1:$I$89,3,0)*VLOOKUP('Données projet'!$B$15,Paramètres!$A$1:$I$89,5,0)</f>
        <v>1.0049916454590858E-13</v>
      </c>
      <c r="EL144" s="13">
        <f t="shared" si="153"/>
        <v>1.5089081593838289E-12</v>
      </c>
      <c r="EM144" s="20">
        <f t="shared" si="127"/>
        <v>2.8030510891776262E-12</v>
      </c>
      <c r="EN144" s="59">
        <f t="shared" si="128"/>
        <v>286.57080562398733</v>
      </c>
      <c r="EO144" s="59">
        <f ca="1">AVERAGE(OFFSET($EN$3,0,0,'Données projet'!$E$15+1,1))-AVERAGE(OFFSET($H$3,0,0,'Données projet'!$E$15+1,1))</f>
        <v>339.23049610652492</v>
      </c>
      <c r="EP144" s="59">
        <f t="shared" si="154"/>
        <v>448.85057640789785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33.18616005356246</v>
      </c>
      <c r="EW144" s="21">
        <f>EXP(-LN(2)/25)*EW143+(1-EXP(-LN(2)/25))/(LN(2)/25)*Calculateur!ER144*Calculateur!ET144*VLOOKUP('Données projet'!$B$15,Paramètres!$A$1:$I$89,3,0)*0.475*44/12</f>
        <v>12.42638227328805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45.612542326850509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6.2527760746888816E-13</v>
      </c>
      <c r="FF144" s="17">
        <f>FE144*VLOOKUP('Données projet'!$B$16,Paramètres!$A$1:$I$89,3,0)*VLOOKUP('Données projet'!$B$16,Paramètres!$A$1:$I$89,5,0)</f>
        <v>2.9262992029543964E-13</v>
      </c>
      <c r="FG144" s="13">
        <f t="shared" si="155"/>
        <v>3.8796387982050903E-12</v>
      </c>
      <c r="FH144" s="20">
        <f t="shared" si="130"/>
        <v>7.2667013513884219E-12</v>
      </c>
      <c r="FI144" s="59">
        <f t="shared" si="131"/>
        <v>286.57080562399182</v>
      </c>
      <c r="FJ144" s="59">
        <f ca="1">AVERAGE(OFFSET($FI$3,0,0,'Données projet'!$E$16+1,1))-AVERAGE(OFFSET($H$3,0,0,'Données projet'!$E$16+1,1))</f>
        <v>365.63278362856033</v>
      </c>
      <c r="FK144" s="59">
        <f t="shared" si="156"/>
        <v>290.68267842697452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141.35499949756451</v>
      </c>
      <c r="FR144" s="21">
        <f>EXP(-LN(2)/25)*FR143+(1-EXP(-LN(2)/25))/(LN(2)/25)*Calculateur!FM144*Calculateur!FO144*VLOOKUP('Données projet'!$B$16,Paramètres!$A$1:$I$89,3,0)*0.475*44/12</f>
        <v>49.134266216230685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190.48926571379519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3.5350000000000001</v>
      </c>
      <c r="FZ144" s="12">
        <f>IF('Données projet'!$A$244&gt;35,FZ143+FY144-GH143,IF(A144&lt;'Données projet'!$A$244,$FW$205^A144,IF(A144='Données projet'!$A$244,'Données projet'!$B$244,FZ143+FY144-GH143)))</f>
        <v>121.73000000000023</v>
      </c>
      <c r="GA144" s="17">
        <f>FZ144*VLOOKUP('Données projet'!$B$17,Paramètres!$A$1:$I$89,3,0)*VLOOKUP('Données projet'!$B$17,Paramètres!$A$1:$I$89,5,0)</f>
        <v>104.44434000000022</v>
      </c>
      <c r="GB144" s="13">
        <f t="shared" si="157"/>
        <v>28.01810582067429</v>
      </c>
      <c r="GC144" s="20">
        <f t="shared" si="133"/>
        <v>230.70542647100808</v>
      </c>
      <c r="GD144" s="59">
        <f t="shared" si="134"/>
        <v>517.27623209499257</v>
      </c>
      <c r="GE144" s="59">
        <f ca="1">AVERAGE(OFFSET($GD$3,0,0,'Données projet'!$E$17+1,1))-AVERAGE(OFFSET($H$3,0,0,'Données projet'!$E$17+1,1))</f>
        <v>460.46300302025099</v>
      </c>
      <c r="GF144" s="59">
        <f t="shared" si="158"/>
        <v>340.22534554615879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130.35270149051939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130.35270149051939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68.155674261086688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1.1368683772161603E-13</v>
      </c>
      <c r="GV144" s="17">
        <f>GU144*VLOOKUP('Données projet'!$B$18,Paramètres!$A$1:$I$89,3,0)*VLOOKUP('Données projet'!$B$18,Paramètres!$A$1:$I$89,5,0)</f>
        <v>6.7984728957526396E-14</v>
      </c>
      <c r="GW144" s="13">
        <f t="shared" si="159"/>
        <v>1.0682447123141398E-12</v>
      </c>
      <c r="GX144" s="20">
        <f t="shared" si="136"/>
        <v>1.978932943548152E-12</v>
      </c>
      <c r="GY144" s="59">
        <f t="shared" si="137"/>
        <v>286.57080562398653</v>
      </c>
      <c r="GZ144" s="59">
        <f ca="1">AVERAGE(OFFSET($GY$3,0,0,'Données projet'!$E$18+1,1))-AVERAGE(OFFSET($H$3,0,0,'Données projet'!$E$18+1,1))</f>
        <v>-15.950000000000017</v>
      </c>
      <c r="HA144" s="59">
        <f t="shared" si="160"/>
        <v>-15.950000000000017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30.975424348308749</v>
      </c>
      <c r="HH144" s="21">
        <f>EXP(-LN(2)/25)*HH143+(1-EXP(-LN(2)/25))/(LN(2)/25)*Calculateur!HC144*Calculateur!HE144*VLOOKUP('Données projet'!$B$18,Paramètres!$A$1:$I$89,3,0)*0.475*44/12</f>
        <v>10.807028634798115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41.782452983106865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4.3499999999999996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15.949999999999998</v>
      </c>
      <c r="H145" s="67">
        <f t="shared" si="110"/>
        <v>192.86666666666667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-9.9316821433603781E-14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433.46721010558042</v>
      </c>
      <c r="T145" s="59">
        <f t="shared" si="142"/>
        <v>306.18862295347509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43.827154197298505</v>
      </c>
      <c r="AA145" s="21">
        <f>EXP(-LN(2)/25)*AA144+(1-EXP(-LN(2)/25))/(LN(2)/25)*Calculateur!V145*Calculateur!X145*VLOOKUP('Données projet'!$B$9,Paramètres!$A$1:$I$89,3,0)*0.475*44/12</f>
        <v>12.937225624027851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56.764379821326358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286.68812036099672</v>
      </c>
      <c r="AN145" s="59">
        <f ca="1">AVERAGE(OFFSET($AM$3,0,0,'Données projet'!$E$10+1,1))-AVERAGE(OFFSET($H$3,0,0,'Données projet'!$E$10+1,1))</f>
        <v>400.1942260113168</v>
      </c>
      <c r="AO145" s="59">
        <f t="shared" si="144"/>
        <v>497.04866930593926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30.368015169981724</v>
      </c>
      <c r="AV145" s="21">
        <f>EXP(-LN(2)/25)*AV144+(1-EXP(-LN(2)/25))/(LN(2)/25)*Calculateur!AQ145*Calculateur!AS145*VLOOKUP('Données projet'!$B$10,Paramètres!$A$1:$I$89,3,0)*0.475*44/12</f>
        <v>10.511509868462625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40.879525038444349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284.78505691662588</v>
      </c>
      <c r="BJ145" s="59">
        <f t="shared" si="146"/>
        <v>664.42623058686308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380.64318988568527</v>
      </c>
      <c r="CE145" s="59">
        <f t="shared" si="148"/>
        <v>885.24651320439159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17.327814719701845</v>
      </c>
      <c r="CL145" s="21">
        <f>EXP(-LN(2)/25)*CL144+(1-EXP(-LN(2)/25))/(LN(2)/25)*Calculateur!CG145*Calculateur!CI145*VLOOKUP('Données projet'!$B$12,Paramètres!$A$1:$I$89,3,0)*0.475*44/12</f>
        <v>1.8361975517244604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19.164012271426305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-6.3550942286383367E-14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404.10467005188889</v>
      </c>
      <c r="CZ145" s="59">
        <f t="shared" si="150"/>
        <v>372.70490129557845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56.738748801837012</v>
      </c>
      <c r="DG145" s="21">
        <f>EXP(-LN(2)/25)*DG144+(1-EXP(-LN(2)/25))/(LN(2)/25)*Calculateur!DB145*Calculateur!DD145*VLOOKUP('Données projet'!$B$13,Paramètres!$A$1:$I$89,3,0)*0.475*44/12</f>
        <v>17.696819789024044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74.435568590861052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6.4825000000000017</v>
      </c>
      <c r="DO145" s="12">
        <f>IF('Données projet'!$A$166&gt;35,DO144+DN145-DW144,IF(A145&lt;'Données projet'!$A$166,$DL$205^A145,IF(A145='Données projet'!$A$166,'Données projet'!$B$166,DO144+DN145-DW144)))</f>
        <v>326.39500000000015</v>
      </c>
      <c r="DP145" s="17">
        <f>DO145*VLOOKUP('Données projet'!$B$14,Paramètres!$A$1:$I$89,3,0)*VLOOKUP('Données projet'!$B$14,Paramètres!$A$1:$I$89,5,0)</f>
        <v>295.32219600000013</v>
      </c>
      <c r="DQ145" s="13">
        <f t="shared" si="151"/>
        <v>70.194920942352283</v>
      </c>
      <c r="DR145" s="20">
        <f t="shared" si="124"/>
        <v>636.6089786745971</v>
      </c>
      <c r="DS145" s="59">
        <f t="shared" si="125"/>
        <v>923.29709903559183</v>
      </c>
      <c r="DT145" s="59">
        <f ca="1">AVERAGE(OFFSET($DS$3,0,0,'Données projet'!$E$14+1,1))-AVERAGE(OFFSET($H$3,0,0,'Données projet'!$E$14+1,1))</f>
        <v>479.53113328461268</v>
      </c>
      <c r="DU145" s="59">
        <f t="shared" si="152"/>
        <v>244.6360664588118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41.525375845481776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41.525375845481776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2.2737367544323206E-13</v>
      </c>
      <c r="EK145" s="17">
        <f>EJ145*VLOOKUP('Données projet'!$B$15,Paramètres!$A$1:$I$89,3,0)*VLOOKUP('Données projet'!$B$15,Paramètres!$A$1:$I$89,5,0)</f>
        <v>1.0049916454590858E-13</v>
      </c>
      <c r="EL145" s="13">
        <f t="shared" si="153"/>
        <v>1.5089081593838289E-12</v>
      </c>
      <c r="EM145" s="20">
        <f t="shared" si="127"/>
        <v>2.8030510891776262E-12</v>
      </c>
      <c r="EN145" s="59">
        <f t="shared" si="128"/>
        <v>286.68812036099752</v>
      </c>
      <c r="EO145" s="59">
        <f ca="1">AVERAGE(OFFSET($EN$3,0,0,'Données projet'!$E$15+1,1))-AVERAGE(OFFSET($H$3,0,0,'Données projet'!$E$15+1,1))</f>
        <v>339.23049610652492</v>
      </c>
      <c r="EP145" s="59">
        <f t="shared" si="154"/>
        <v>448.85057640789785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32.535399696471046</v>
      </c>
      <c r="EW145" s="21">
        <f>EXP(-LN(2)/25)*EW144+(1-EXP(-LN(2)/25))/(LN(2)/25)*Calculateur!ER145*Calculateur!ET145*VLOOKUP('Données projet'!$B$15,Paramètres!$A$1:$I$89,3,0)*0.475*44/12</f>
        <v>12.086582196549946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44.621981893020994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6.2527760746888816E-13</v>
      </c>
      <c r="FF145" s="17">
        <f>FE145*VLOOKUP('Données projet'!$B$16,Paramètres!$A$1:$I$89,3,0)*VLOOKUP('Données projet'!$B$16,Paramètres!$A$1:$I$89,5,0)</f>
        <v>2.9262992029543964E-13</v>
      </c>
      <c r="FG145" s="13">
        <f t="shared" si="155"/>
        <v>3.8796387982050903E-12</v>
      </c>
      <c r="FH145" s="20">
        <f t="shared" si="130"/>
        <v>7.2667013513884219E-12</v>
      </c>
      <c r="FI145" s="59">
        <f t="shared" si="131"/>
        <v>286.68812036100201</v>
      </c>
      <c r="FJ145" s="59">
        <f ca="1">AVERAGE(OFFSET($FI$3,0,0,'Données projet'!$E$16+1,1))-AVERAGE(OFFSET($H$3,0,0,'Données projet'!$E$16+1,1))</f>
        <v>365.63278362856033</v>
      </c>
      <c r="FK145" s="59">
        <f t="shared" si="156"/>
        <v>290.68267842697452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138.58311417545363</v>
      </c>
      <c r="FR145" s="21">
        <f>EXP(-LN(2)/25)*FR144+(1-EXP(-LN(2)/25))/(LN(2)/25)*Calculateur!FM145*Calculateur!FO145*VLOOKUP('Données projet'!$B$16,Paramètres!$A$1:$I$89,3,0)*0.475*44/12</f>
        <v>47.790687122689093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186.37380129814272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3.5350000000000001</v>
      </c>
      <c r="FZ145" s="12">
        <f>IF('Données projet'!$A$244&gt;35,FZ144+FY145-GH144,IF(A145&lt;'Données projet'!$A$244,$FW$205^A145,IF(A145='Données projet'!$A$244,'Données projet'!$B$244,FZ144+FY145-GH144)))</f>
        <v>125.26500000000023</v>
      </c>
      <c r="GA145" s="17">
        <f>FZ145*VLOOKUP('Données projet'!$B$17,Paramètres!$A$1:$I$89,3,0)*VLOOKUP('Données projet'!$B$17,Paramètres!$A$1:$I$89,5,0)</f>
        <v>107.47737000000021</v>
      </c>
      <c r="GB145" s="13">
        <f t="shared" si="157"/>
        <v>28.735833134424777</v>
      </c>
      <c r="GC145" s="20">
        <f t="shared" si="133"/>
        <v>237.23799545912348</v>
      </c>
      <c r="GD145" s="59">
        <f t="shared" si="134"/>
        <v>523.92611582011818</v>
      </c>
      <c r="GE145" s="59">
        <f ca="1">AVERAGE(OFFSET($GD$3,0,0,'Données projet'!$E$17+1,1))-AVERAGE(OFFSET($H$3,0,0,'Données projet'!$E$17+1,1))</f>
        <v>460.46300302025099</v>
      </c>
      <c r="GF145" s="59">
        <f t="shared" si="158"/>
        <v>340.22534554615879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127.79656452158753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127.79656452158753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68.187669189362197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1.1368683772161603E-13</v>
      </c>
      <c r="GV145" s="17">
        <f>GU145*VLOOKUP('Données projet'!$B$18,Paramètres!$A$1:$I$89,3,0)*VLOOKUP('Données projet'!$B$18,Paramètres!$A$1:$I$89,5,0)</f>
        <v>6.7984728957526396E-14</v>
      </c>
      <c r="GW145" s="13">
        <f t="shared" si="159"/>
        <v>1.0682447123141398E-12</v>
      </c>
      <c r="GX145" s="20">
        <f t="shared" si="136"/>
        <v>1.978932943548152E-12</v>
      </c>
      <c r="GY145" s="59">
        <f t="shared" si="137"/>
        <v>286.68812036099672</v>
      </c>
      <c r="GZ145" s="59">
        <f ca="1">AVERAGE(OFFSET($GY$3,0,0,'Données projet'!$E$18+1,1))-AVERAGE(OFFSET($H$3,0,0,'Données projet'!$E$18+1,1))</f>
        <v>-15.950000000000017</v>
      </c>
      <c r="HA145" s="59">
        <f t="shared" si="160"/>
        <v>-15.950000000000017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30.368015169981724</v>
      </c>
      <c r="HH145" s="21">
        <f>EXP(-LN(2)/25)*HH144+(1-EXP(-LN(2)/25))/(LN(2)/25)*Calculateur!HC145*Calculateur!HE145*VLOOKUP('Données projet'!$B$18,Paramètres!$A$1:$I$89,3,0)*0.475*44/12</f>
        <v>10.511509868462625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40.879525038444349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4.3499999999999996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15.949999999999998</v>
      </c>
      <c r="H146" s="67">
        <f t="shared" si="110"/>
        <v>192.86666666666667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-9.9316821433603781E-14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433.46721010558042</v>
      </c>
      <c r="T146" s="59">
        <f t="shared" si="142"/>
        <v>306.18862295347509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42.967730435413984</v>
      </c>
      <c r="AA146" s="21">
        <f>EXP(-LN(2)/25)*AA145+(1-EXP(-LN(2)/25))/(LN(2)/25)*Calculateur!V146*Calculateur!X146*VLOOKUP('Données projet'!$B$9,Paramètres!$A$1:$I$89,3,0)*0.475*44/12</f>
        <v>12.583456508999683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55.551186944413665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286.80339994959627</v>
      </c>
      <c r="AN146" s="59">
        <f ca="1">AVERAGE(OFFSET($AM$3,0,0,'Données projet'!$E$10+1,1))-AVERAGE(OFFSET($H$3,0,0,'Données projet'!$E$10+1,1))</f>
        <v>400.1942260113168</v>
      </c>
      <c r="AO146" s="59">
        <f t="shared" si="144"/>
        <v>497.04866930593926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29.772516915158675</v>
      </c>
      <c r="AV146" s="21">
        <f>EXP(-LN(2)/25)*AV145+(1-EXP(-LN(2)/25))/(LN(2)/25)*Calculateur!AQ146*Calculateur!AS146*VLOOKUP('Données projet'!$B$10,Paramètres!$A$1:$I$89,3,0)*0.475*44/12</f>
        <v>10.224072078333235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39.996588993491912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284.78505691662588</v>
      </c>
      <c r="BJ146" s="59">
        <f t="shared" si="146"/>
        <v>664.42623058686308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380.64318988568527</v>
      </c>
      <c r="CE146" s="59">
        <f t="shared" si="148"/>
        <v>885.24651320439159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16.988026841971877</v>
      </c>
      <c r="CL146" s="21">
        <f>EXP(-LN(2)/25)*CL145+(1-EXP(-LN(2)/25))/(LN(2)/25)*Calculateur!CG146*Calculateur!CI146*VLOOKUP('Données projet'!$B$12,Paramètres!$A$1:$I$89,3,0)*0.475*44/12</f>
        <v>1.7859866331111225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18.774013475082999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-6.3550942286383367E-14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404.10467005188889</v>
      </c>
      <c r="CZ146" s="59">
        <f t="shared" si="150"/>
        <v>372.70490129557845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55.626136545052582</v>
      </c>
      <c r="DG146" s="21">
        <f>EXP(-LN(2)/25)*DG145+(1-EXP(-LN(2)/25))/(LN(2)/25)*Calculateur!DB146*Calculateur!DD146*VLOOKUP('Données projet'!$B$13,Paramètres!$A$1:$I$89,3,0)*0.475*44/12</f>
        <v>17.212899321257876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72.839035866310454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6.4825000000000017</v>
      </c>
      <c r="DO146" s="12">
        <f>IF('Données projet'!$A$166&gt;35,DO145+DN146-DW145,IF(A146&lt;'Données projet'!$A$166,$DL$205^A146,IF(A146='Données projet'!$A$166,'Données projet'!$B$166,DO145+DN146-DW145)))</f>
        <v>332.87750000000017</v>
      </c>
      <c r="DP146" s="17">
        <f>DO146*VLOOKUP('Données projet'!$B$14,Paramètres!$A$1:$I$89,3,0)*VLOOKUP('Données projet'!$B$14,Paramètres!$A$1:$I$89,5,0)</f>
        <v>301.18756200000013</v>
      </c>
      <c r="DQ146" s="13">
        <f t="shared" si="151"/>
        <v>71.425364813129747</v>
      </c>
      <c r="DR146" s="20">
        <f t="shared" si="124"/>
        <v>648.96751419953455</v>
      </c>
      <c r="DS146" s="59">
        <f t="shared" si="125"/>
        <v>935.77091414912888</v>
      </c>
      <c r="DT146" s="59">
        <f ca="1">AVERAGE(OFFSET($DS$3,0,0,'Données projet'!$E$14+1,1))-AVERAGE(OFFSET($H$3,0,0,'Données projet'!$E$14+1,1))</f>
        <v>479.53113328461268</v>
      </c>
      <c r="DU146" s="59">
        <f t="shared" si="152"/>
        <v>244.6360664588118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40.71108855313021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40.71108855313021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2.2737367544323206E-13</v>
      </c>
      <c r="EK146" s="17">
        <f>EJ146*VLOOKUP('Données projet'!$B$15,Paramètres!$A$1:$I$89,3,0)*VLOOKUP('Données projet'!$B$15,Paramètres!$A$1:$I$89,5,0)</f>
        <v>1.0049916454590858E-13</v>
      </c>
      <c r="EL146" s="13">
        <f t="shared" si="153"/>
        <v>1.5089081593838289E-12</v>
      </c>
      <c r="EM146" s="20">
        <f t="shared" si="127"/>
        <v>2.8030510891776262E-12</v>
      </c>
      <c r="EN146" s="59">
        <f t="shared" si="128"/>
        <v>286.80339994959706</v>
      </c>
      <c r="EO146" s="59">
        <f ca="1">AVERAGE(OFFSET($EN$3,0,0,'Données projet'!$E$15+1,1))-AVERAGE(OFFSET($H$3,0,0,'Données projet'!$E$15+1,1))</f>
        <v>339.23049610652492</v>
      </c>
      <c r="EP146" s="59">
        <f t="shared" si="154"/>
        <v>448.85057640789785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31.89740035305757</v>
      </c>
      <c r="EW146" s="21">
        <f>EXP(-LN(2)/25)*EW145+(1-EXP(-LN(2)/25))/(LN(2)/25)*Calculateur!ER146*Calculateur!ET146*VLOOKUP('Données projet'!$B$15,Paramètres!$A$1:$I$89,3,0)*0.475*44/12</f>
        <v>11.756073970779555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43.653474323837123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6.2527760746888816E-13</v>
      </c>
      <c r="FF146" s="17">
        <f>FE146*VLOOKUP('Données projet'!$B$16,Paramètres!$A$1:$I$89,3,0)*VLOOKUP('Données projet'!$B$16,Paramètres!$A$1:$I$89,5,0)</f>
        <v>2.9262992029543964E-13</v>
      </c>
      <c r="FG146" s="13">
        <f t="shared" si="155"/>
        <v>3.8796387982050903E-12</v>
      </c>
      <c r="FH146" s="20">
        <f t="shared" si="130"/>
        <v>7.2667013513884219E-12</v>
      </c>
      <c r="FI146" s="59">
        <f t="shared" si="131"/>
        <v>286.80339994960156</v>
      </c>
      <c r="FJ146" s="59">
        <f ca="1">AVERAGE(OFFSET($FI$3,0,0,'Données projet'!$E$16+1,1))-AVERAGE(OFFSET($H$3,0,0,'Données projet'!$E$16+1,1))</f>
        <v>365.63278362856033</v>
      </c>
      <c r="FK146" s="59">
        <f t="shared" si="156"/>
        <v>290.68267842697452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135.86558383382624</v>
      </c>
      <c r="FR146" s="21">
        <f>EXP(-LN(2)/25)*FR145+(1-EXP(-LN(2)/25))/(LN(2)/25)*Calculateur!FM146*Calculateur!FO146*VLOOKUP('Données projet'!$B$16,Paramètres!$A$1:$I$89,3,0)*0.475*44/12</f>
        <v>46.483848270116148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182.34943210394238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>
        <f>VLOOKUP(A146,'Données projet'!$A$243:$I$263,2,0)</f>
        <v>128.80000000000001</v>
      </c>
      <c r="FX146" s="12">
        <f>VLOOKUP(A146,'Données projet'!$A$243:$I$263,9,0)</f>
        <v>3.5350000000000001</v>
      </c>
      <c r="FY146" s="12">
        <f t="array" ref="FY146">INDEX(FX:FX,MIN(IF(ISNUMBER(FX146:FX342),ROW(FX146:FX342),"")))</f>
        <v>3.5350000000000001</v>
      </c>
      <c r="FZ146" s="12">
        <f>IF('Données projet'!$A$244&gt;35,FZ145+FY146-GH145,IF(A146&lt;'Données projet'!$A$244,$FW$205^A146,IF(A146='Données projet'!$A$244,'Données projet'!$B$244,FZ145+FY146-GH145)))</f>
        <v>128.80000000000024</v>
      </c>
      <c r="GA146" s="17">
        <f>FZ146*VLOOKUP('Données projet'!$B$17,Paramètres!$A$1:$I$89,3,0)*VLOOKUP('Données projet'!$B$17,Paramètres!$A$1:$I$89,5,0)</f>
        <v>110.5104000000002</v>
      </c>
      <c r="GB146" s="13">
        <f t="shared" si="157"/>
        <v>29.451206375056465</v>
      </c>
      <c r="GC146" s="20">
        <f t="shared" si="133"/>
        <v>243.76646443655704</v>
      </c>
      <c r="GD146" s="59">
        <f t="shared" si="134"/>
        <v>530.56986438615127</v>
      </c>
      <c r="GE146" s="59">
        <f ca="1">AVERAGE(OFFSET($GD$3,0,0,'Données projet'!$E$17+1,1))-AVERAGE(OFFSET($H$3,0,0,'Données projet'!$E$17+1,1))</f>
        <v>460.46300302025099</v>
      </c>
      <c r="GF146" s="59">
        <f t="shared" si="158"/>
        <v>340.22534554615879</v>
      </c>
      <c r="GG146" s="15">
        <f>IF(ISNA(VLOOKUP(A146,'Données projet'!$A$243:$I$263,3,0)),0,VLOOKUP(A146,'Données projet'!$A$243:$I$263,3,0))</f>
        <v>11</v>
      </c>
      <c r="GH146" s="15">
        <f>IF(ISNA(VLOOKUP(A146,'Données projet'!$A$243:$I$263,4,0)),0,VLOOKUP(A146,'Données projet'!$A$243:$I$263,4,0))</f>
        <v>128.80000000000001</v>
      </c>
      <c r="GI146" s="16">
        <f>IF(ISNA(VLOOKUP(A146,'Données projet'!$A$243:$I$263,5,0)),0%,VLOOKUP(A146,'Données projet'!$A$243:$I$263,5,0)*VLOOKUP('Données projet'!$B$17,Paramètres!$A$1:$I$89,7,0))</f>
        <v>0.318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164.13933151757436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164.13933151757436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68.219109077162074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1.1368683772161603E-13</v>
      </c>
      <c r="GV146" s="17">
        <f>GU146*VLOOKUP('Données projet'!$B$18,Paramètres!$A$1:$I$89,3,0)*VLOOKUP('Données projet'!$B$18,Paramètres!$A$1:$I$89,5,0)</f>
        <v>6.7984728957526396E-14</v>
      </c>
      <c r="GW146" s="13">
        <f t="shared" si="159"/>
        <v>1.0682447123141398E-12</v>
      </c>
      <c r="GX146" s="20">
        <f t="shared" si="136"/>
        <v>1.978932943548152E-12</v>
      </c>
      <c r="GY146" s="59">
        <f t="shared" si="137"/>
        <v>286.80339994959627</v>
      </c>
      <c r="GZ146" s="59">
        <f ca="1">AVERAGE(OFFSET($GY$3,0,0,'Données projet'!$E$18+1,1))-AVERAGE(OFFSET($H$3,0,0,'Données projet'!$E$18+1,1))</f>
        <v>-15.950000000000017</v>
      </c>
      <c r="HA146" s="59">
        <f t="shared" si="160"/>
        <v>-15.950000000000017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29.772516915158675</v>
      </c>
      <c r="HH146" s="21">
        <f>EXP(-LN(2)/25)*HH145+(1-EXP(-LN(2)/25))/(LN(2)/25)*Calculateur!HC146*Calculateur!HE146*VLOOKUP('Données projet'!$B$18,Paramètres!$A$1:$I$89,3,0)*0.475*44/12</f>
        <v>10.224072078333235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39.996588993491912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4.3499999999999996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15.949999999999998</v>
      </c>
      <c r="H147" s="67">
        <f t="shared" si="110"/>
        <v>192.86666666666667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-9.9316821433603781E-14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433.46721010558042</v>
      </c>
      <c r="T147" s="59">
        <f t="shared" si="142"/>
        <v>306.18862295347509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42.125159449303283</v>
      </c>
      <c r="AA147" s="21">
        <f>EXP(-LN(2)/25)*AA146+(1-EXP(-LN(2)/25))/(LN(2)/25)*Calculateur!V147*Calculateur!X147*VLOOKUP('Données projet'!$B$9,Paramètres!$A$1:$I$89,3,0)*0.475*44/12</f>
        <v>12.239361229025869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54.36452067832915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286.91667969506011</v>
      </c>
      <c r="AN147" s="59">
        <f ca="1">AVERAGE(OFFSET($AM$3,0,0,'Données projet'!$E$10+1,1))-AVERAGE(OFFSET($H$3,0,0,'Données projet'!$E$10+1,1))</f>
        <v>400.1942260113168</v>
      </c>
      <c r="AO147" s="59">
        <f t="shared" si="144"/>
        <v>497.04866930593926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29.188696017894635</v>
      </c>
      <c r="AV147" s="21">
        <f>EXP(-LN(2)/25)*AV146+(1-EXP(-LN(2)/25))/(LN(2)/25)*Calculateur!AQ147*Calculateur!AS147*VLOOKUP('Données projet'!$B$10,Paramètres!$A$1:$I$89,3,0)*0.475*44/12</f>
        <v>9.9444942896906294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39.133190307585267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284.78505691662588</v>
      </c>
      <c r="BJ147" s="59">
        <f t="shared" si="146"/>
        <v>664.42623058686308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380.64318988568527</v>
      </c>
      <c r="CE147" s="59">
        <f t="shared" si="148"/>
        <v>885.24651320439159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16.654901997274052</v>
      </c>
      <c r="CL147" s="21">
        <f>EXP(-LN(2)/25)*CL146+(1-EXP(-LN(2)/25))/(LN(2)/25)*Calculateur!CG147*Calculateur!CI147*VLOOKUP('Données projet'!$B$12,Paramètres!$A$1:$I$89,3,0)*0.475*44/12</f>
        <v>1.7371487347077437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18.392050731981797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-6.3550942286383367E-14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404.10467005188889</v>
      </c>
      <c r="CZ147" s="59">
        <f t="shared" si="150"/>
        <v>372.70490129557845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54.535341935997224</v>
      </c>
      <c r="DG147" s="21">
        <f>EXP(-LN(2)/25)*DG146+(1-EXP(-LN(2)/25))/(LN(2)/25)*Calculateur!DB147*Calculateur!DD147*VLOOKUP('Données projet'!$B$13,Paramètres!$A$1:$I$89,3,0)*0.475*44/12</f>
        <v>16.742211684131043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71.277553620128259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339.36</v>
      </c>
      <c r="DM147" s="12">
        <f>VLOOKUP(A147,'Données projet'!$A$165:$I$185,9,0)</f>
        <v>6.4825000000000017</v>
      </c>
      <c r="DN147" s="12">
        <f t="array" ref="DN147">INDEX(DM:DM,MIN(IF(ISNUMBER(DM147:DM343),ROW(DM147:DM343),"")))</f>
        <v>6.4825000000000017</v>
      </c>
      <c r="DO147" s="12">
        <f>IF('Données projet'!$A$166&gt;35,DO146+DN147-DW146,IF(A147&lt;'Données projet'!$A$166,$DL$205^A147,IF(A147='Données projet'!$A$166,'Données projet'!$B$166,DO146+DN147-DW146)))</f>
        <v>339.36000000000018</v>
      </c>
      <c r="DP147" s="17">
        <f>DO147*VLOOKUP('Données projet'!$B$14,Paramètres!$A$1:$I$89,3,0)*VLOOKUP('Données projet'!$B$14,Paramètres!$A$1:$I$89,5,0)</f>
        <v>307.05292800000012</v>
      </c>
      <c r="DQ147" s="13">
        <f t="shared" si="151"/>
        <v>72.653022500145994</v>
      </c>
      <c r="DR147" s="20">
        <f t="shared" si="124"/>
        <v>661.32119712108783</v>
      </c>
      <c r="DS147" s="59">
        <f t="shared" si="125"/>
        <v>948.2378768161459</v>
      </c>
      <c r="DT147" s="59">
        <f ca="1">AVERAGE(OFFSET($DS$3,0,0,'Données projet'!$E$14+1,1))-AVERAGE(OFFSET($H$3,0,0,'Données projet'!$E$14+1,1))</f>
        <v>479.53113328461268</v>
      </c>
      <c r="DU147" s="59">
        <f t="shared" si="152"/>
        <v>244.6360664588118</v>
      </c>
      <c r="DV147" s="15">
        <f>IF(ISNA(VLOOKUP(A147,'Données projet'!$A$165:$I$185,3,0)),0,VLOOKUP(A147,'Données projet'!$A$165:$I$185,3,0))</f>
        <v>10</v>
      </c>
      <c r="DW147" s="15">
        <f>IF(ISNA(VLOOKUP(A147,'Données projet'!$A$165:$I$185,4,0)),0,VLOOKUP(A147,'Données projet'!$A$165:$I$185,4,0))</f>
        <v>55.05</v>
      </c>
      <c r="DX147" s="16">
        <f>IF(ISNA(VLOOKUP(A147,'Données projet'!$A$165:$I$185,5,0)),0%,VLOOKUP(A147,'Données projet'!$A$165:$I$185,5,0)*VLOOKUP('Données projet'!$B$14,Paramètres!$A$1:$I$89,7,0))</f>
        <v>0.25800000000000001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54.118929915253794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54.118929915253794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2.2737367544323206E-13</v>
      </c>
      <c r="EK147" s="17">
        <f>EJ147*VLOOKUP('Données projet'!$B$15,Paramètres!$A$1:$I$89,3,0)*VLOOKUP('Données projet'!$B$15,Paramètres!$A$1:$I$89,5,0)</f>
        <v>1.0049916454590858E-13</v>
      </c>
      <c r="EL147" s="13">
        <f t="shared" si="153"/>
        <v>1.5089081593838289E-12</v>
      </c>
      <c r="EM147" s="20">
        <f t="shared" si="127"/>
        <v>2.8030510891776262E-12</v>
      </c>
      <c r="EN147" s="59">
        <f t="shared" si="128"/>
        <v>286.91667969506091</v>
      </c>
      <c r="EO147" s="59">
        <f ca="1">AVERAGE(OFFSET($EN$3,0,0,'Données projet'!$E$15+1,1))-AVERAGE(OFFSET($H$3,0,0,'Données projet'!$E$15+1,1))</f>
        <v>339.23049610652492</v>
      </c>
      <c r="EP147" s="59">
        <f t="shared" si="154"/>
        <v>448.85057640789785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31.271911787627257</v>
      </c>
      <c r="EW147" s="21">
        <f>EXP(-LN(2)/25)*EW146+(1-EXP(-LN(2)/25))/(LN(2)/25)*Calculateur!ER147*Calculateur!ET147*VLOOKUP('Données projet'!$B$15,Paramètres!$A$1:$I$89,3,0)*0.475*44/12</f>
        <v>11.434603509823527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42.706515297450785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6.2527760746888816E-13</v>
      </c>
      <c r="FF147" s="17">
        <f>FE147*VLOOKUP('Données projet'!$B$16,Paramètres!$A$1:$I$89,3,0)*VLOOKUP('Données projet'!$B$16,Paramètres!$A$1:$I$89,5,0)</f>
        <v>2.9262992029543964E-13</v>
      </c>
      <c r="FG147" s="13">
        <f t="shared" si="155"/>
        <v>3.8796387982050903E-12</v>
      </c>
      <c r="FH147" s="20">
        <f t="shared" si="130"/>
        <v>7.2667013513884219E-12</v>
      </c>
      <c r="FI147" s="59">
        <f t="shared" si="131"/>
        <v>286.9166796950654</v>
      </c>
      <c r="FJ147" s="59">
        <f ca="1">AVERAGE(OFFSET($FI$3,0,0,'Données projet'!$E$16+1,1))-AVERAGE(OFFSET($H$3,0,0,'Données projet'!$E$16+1,1))</f>
        <v>365.63278362856033</v>
      </c>
      <c r="FK147" s="59">
        <f t="shared" si="156"/>
        <v>290.68267842697452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133.20134260466833</v>
      </c>
      <c r="FR147" s="21">
        <f>EXP(-LN(2)/25)*FR146+(1-EXP(-LN(2)/25))/(LN(2)/25)*Calculateur!FM147*Calculateur!FO147*VLOOKUP('Données projet'!$B$16,Paramètres!$A$1:$I$89,3,0)*0.475*44/12</f>
        <v>45.212744994690482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178.41408759935882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2.2737367544323206E-13</v>
      </c>
      <c r="GA147" s="17">
        <f>FZ147*VLOOKUP('Données projet'!$B$17,Paramètres!$A$1:$I$89,3,0)*VLOOKUP('Données projet'!$B$17,Paramètres!$A$1:$I$89,5,0)</f>
        <v>1.9508661353029313E-13</v>
      </c>
      <c r="GB147" s="13">
        <f t="shared" si="157"/>
        <v>2.711421636700695E-12</v>
      </c>
      <c r="GC147" s="20">
        <f t="shared" si="133"/>
        <v>5.0621685358189711E-12</v>
      </c>
      <c r="GD147" s="59">
        <f t="shared" si="134"/>
        <v>286.91667969506318</v>
      </c>
      <c r="GE147" s="59">
        <f ca="1">AVERAGE(OFFSET($GD$3,0,0,'Données projet'!$E$17+1,1))-AVERAGE(OFFSET($H$3,0,0,'Données projet'!$E$17+1,1))</f>
        <v>460.46300302025099</v>
      </c>
      <c r="GF147" s="59">
        <f t="shared" si="158"/>
        <v>340.22534554615879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160.92065934162142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160.92065934162142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68.250003553197672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1.1368683772161603E-13</v>
      </c>
      <c r="GV147" s="17">
        <f>GU147*VLOOKUP('Données projet'!$B$18,Paramètres!$A$1:$I$89,3,0)*VLOOKUP('Données projet'!$B$18,Paramètres!$A$1:$I$89,5,0)</f>
        <v>6.7984728957526396E-14</v>
      </c>
      <c r="GW147" s="13">
        <f t="shared" si="159"/>
        <v>1.0682447123141398E-12</v>
      </c>
      <c r="GX147" s="20">
        <f t="shared" si="136"/>
        <v>1.978932943548152E-12</v>
      </c>
      <c r="GY147" s="59">
        <f t="shared" si="137"/>
        <v>286.91667969506011</v>
      </c>
      <c r="GZ147" s="59">
        <f ca="1">AVERAGE(OFFSET($GY$3,0,0,'Données projet'!$E$18+1,1))-AVERAGE(OFFSET($H$3,0,0,'Données projet'!$E$18+1,1))</f>
        <v>-15.950000000000017</v>
      </c>
      <c r="HA147" s="59">
        <f t="shared" si="160"/>
        <v>-15.950000000000017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29.188696017894635</v>
      </c>
      <c r="HH147" s="21">
        <f>EXP(-LN(2)/25)*HH146+(1-EXP(-LN(2)/25))/(LN(2)/25)*Calculateur!HC147*Calculateur!HE147*VLOOKUP('Données projet'!$B$18,Paramètres!$A$1:$I$89,3,0)*0.475*44/12</f>
        <v>9.9444942896906294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39.133190307585267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4.3499999999999996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15.949999999999998</v>
      </c>
      <c r="H148" s="67">
        <f t="shared" si="110"/>
        <v>192.86666666666667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-9.9316821433603781E-14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433.46721010558042</v>
      </c>
      <c r="T148" s="59">
        <f t="shared" si="142"/>
        <v>306.18862295347509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41.299110766312658</v>
      </c>
      <c r="AA148" s="21">
        <f>EXP(-LN(2)/25)*AA147+(1-EXP(-LN(2)/25))/(LN(2)/25)*Calculateur!V148*Calculateur!X148*VLOOKUP('Données projet'!$B$9,Paramètres!$A$1:$I$89,3,0)*0.475*44/12</f>
        <v>11.904675252578123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53.203786018890781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287.02799429019569</v>
      </c>
      <c r="AN148" s="59">
        <f ca="1">AVERAGE(OFFSET($AM$3,0,0,'Données projet'!$E$10+1,1))-AVERAGE(OFFSET($H$3,0,0,'Données projet'!$E$10+1,1))</f>
        <v>400.1942260113168</v>
      </c>
      <c r="AO148" s="59">
        <f t="shared" si="144"/>
        <v>497.04866930593926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28.616323492330359</v>
      </c>
      <c r="AV148" s="21">
        <f>EXP(-LN(2)/25)*AV147+(1-EXP(-LN(2)/25))/(LN(2)/25)*Calculateur!AQ148*Calculateur!AS148*VLOOKUP('Données projet'!$B$10,Paramètres!$A$1:$I$89,3,0)*0.475*44/12</f>
        <v>9.6725615703808128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38.288885062711174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284.78505691662588</v>
      </c>
      <c r="BJ148" s="59">
        <f t="shared" si="146"/>
        <v>664.42623058686308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380.64318988568527</v>
      </c>
      <c r="CE148" s="59">
        <f t="shared" si="148"/>
        <v>885.24651320439159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16.328309527594659</v>
      </c>
      <c r="CL148" s="21">
        <f>EXP(-LN(2)/25)*CL147+(1-EXP(-LN(2)/25))/(LN(2)/25)*Calculateur!CG148*Calculateur!CI148*VLOOKUP('Données projet'!$B$12,Paramètres!$A$1:$I$89,3,0)*0.475*44/12</f>
        <v>1.6896463112044788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18.017955838799139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-6.3550942286383367E-14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404.10467005188889</v>
      </c>
      <c r="CZ148" s="59">
        <f t="shared" si="150"/>
        <v>372.70490129557845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53.465937143906423</v>
      </c>
      <c r="DG148" s="21">
        <f>EXP(-LN(2)/25)*DG147+(1-EXP(-LN(2)/25))/(LN(2)/25)*Calculateur!DB148*Calculateur!DD148*VLOOKUP('Données projet'!$B$13,Paramètres!$A$1:$I$89,3,0)*0.475*44/12</f>
        <v>16.284395025193831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69.750332169100261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6.6125000000000016</v>
      </c>
      <c r="DO148" s="12">
        <f>IF('Données projet'!$A$166&gt;35,DO147+DN148-DW147,IF(A148&lt;'Données projet'!$A$166,$DL$205^A148,IF(A148='Données projet'!$A$166,'Données projet'!$B$166,DO147+DN148-DW147)))</f>
        <v>290.92250000000018</v>
      </c>
      <c r="DP148" s="17">
        <f>DO148*VLOOKUP('Données projet'!$B$14,Paramètres!$A$1:$I$89,3,0)*VLOOKUP('Données projet'!$B$14,Paramètres!$A$1:$I$89,5,0)</f>
        <v>263.22667800000016</v>
      </c>
      <c r="DQ148" s="13">
        <f t="shared" si="151"/>
        <v>63.409680810180269</v>
      </c>
      <c r="DR148" s="20">
        <f t="shared" si="124"/>
        <v>568.89165826106421</v>
      </c>
      <c r="DS148" s="59">
        <f t="shared" si="125"/>
        <v>855.91965255125797</v>
      </c>
      <c r="DT148" s="59">
        <f ca="1">AVERAGE(OFFSET($DS$3,0,0,'Données projet'!$E$14+1,1))-AVERAGE(OFFSET($H$3,0,0,'Données projet'!$E$14+1,1))</f>
        <v>479.53113328461268</v>
      </c>
      <c r="DU148" s="59">
        <f t="shared" si="152"/>
        <v>244.6360664588118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53.057690708903522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53.057690708903522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2.2737367544323206E-13</v>
      </c>
      <c r="EK148" s="17">
        <f>EJ148*VLOOKUP('Données projet'!$B$15,Paramètres!$A$1:$I$89,3,0)*VLOOKUP('Données projet'!$B$15,Paramètres!$A$1:$I$89,5,0)</f>
        <v>1.0049916454590858E-13</v>
      </c>
      <c r="EL148" s="13">
        <f t="shared" si="153"/>
        <v>1.5089081593838289E-12</v>
      </c>
      <c r="EM148" s="20">
        <f t="shared" si="127"/>
        <v>2.8030510891776262E-12</v>
      </c>
      <c r="EN148" s="59">
        <f t="shared" si="128"/>
        <v>287.02799429019649</v>
      </c>
      <c r="EO148" s="59">
        <f ca="1">AVERAGE(OFFSET($EN$3,0,0,'Données projet'!$E$15+1,1))-AVERAGE(OFFSET($H$3,0,0,'Données projet'!$E$15+1,1))</f>
        <v>339.23049610652492</v>
      </c>
      <c r="EP148" s="59">
        <f t="shared" si="154"/>
        <v>448.85057640789785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30.658688671454676</v>
      </c>
      <c r="EW148" s="21">
        <f>EXP(-LN(2)/25)*EW147+(1-EXP(-LN(2)/25))/(LN(2)/25)*Calculateur!ER148*Calculateur!ET148*VLOOKUP('Données projet'!$B$15,Paramètres!$A$1:$I$89,3,0)*0.475*44/12</f>
        <v>11.121923675527738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41.780612346982416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6.2527760746888816E-13</v>
      </c>
      <c r="FF148" s="17">
        <f>FE148*VLOOKUP('Données projet'!$B$16,Paramètres!$A$1:$I$89,3,0)*VLOOKUP('Données projet'!$B$16,Paramètres!$A$1:$I$89,5,0)</f>
        <v>2.9262992029543964E-13</v>
      </c>
      <c r="FG148" s="13">
        <f t="shared" si="155"/>
        <v>3.8796387982050903E-12</v>
      </c>
      <c r="FH148" s="20">
        <f t="shared" si="130"/>
        <v>7.2667013513884219E-12</v>
      </c>
      <c r="FI148" s="59">
        <f t="shared" si="131"/>
        <v>287.02799429020098</v>
      </c>
      <c r="FJ148" s="59">
        <f ca="1">AVERAGE(OFFSET($FI$3,0,0,'Données projet'!$E$16+1,1))-AVERAGE(OFFSET($H$3,0,0,'Données projet'!$E$16+1,1))</f>
        <v>365.63278362856033</v>
      </c>
      <c r="FK148" s="59">
        <f t="shared" si="156"/>
        <v>290.68267842697452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130.58934552098751</v>
      </c>
      <c r="FR148" s="21">
        <f>EXP(-LN(2)/25)*FR147+(1-EXP(-LN(2)/25))/(LN(2)/25)*Calculateur!FM148*Calculateur!FO148*VLOOKUP('Données projet'!$B$16,Paramètres!$A$1:$I$89,3,0)*0.475*44/12</f>
        <v>43.976400105175749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174.56574562616325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2.2737367544323206E-13</v>
      </c>
      <c r="GA148" s="17">
        <f>FZ148*VLOOKUP('Données projet'!$B$17,Paramètres!$A$1:$I$89,3,0)*VLOOKUP('Données projet'!$B$17,Paramètres!$A$1:$I$89,5,0)</f>
        <v>1.9508661353029313E-13</v>
      </c>
      <c r="GB148" s="13">
        <f t="shared" si="157"/>
        <v>2.711421636700695E-12</v>
      </c>
      <c r="GC148" s="20">
        <f t="shared" si="133"/>
        <v>5.0621685358189711E-12</v>
      </c>
      <c r="GD148" s="59">
        <f t="shared" si="134"/>
        <v>287.02799429019876</v>
      </c>
      <c r="GE148" s="59">
        <f ca="1">AVERAGE(OFFSET($GD$3,0,0,'Données projet'!$E$17+1,1))-AVERAGE(OFFSET($H$3,0,0,'Données projet'!$E$17+1,1))</f>
        <v>460.46300302025099</v>
      </c>
      <c r="GF148" s="59">
        <f t="shared" si="158"/>
        <v>340.22534554615879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157.76510336384271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157.76510336384271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68.280362079143742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1.1368683772161603E-13</v>
      </c>
      <c r="GV148" s="17">
        <f>GU148*VLOOKUP('Données projet'!$B$18,Paramètres!$A$1:$I$89,3,0)*VLOOKUP('Données projet'!$B$18,Paramètres!$A$1:$I$89,5,0)</f>
        <v>6.7984728957526396E-14</v>
      </c>
      <c r="GW148" s="13">
        <f t="shared" si="159"/>
        <v>1.0682447123141398E-12</v>
      </c>
      <c r="GX148" s="20">
        <f t="shared" si="136"/>
        <v>1.978932943548152E-12</v>
      </c>
      <c r="GY148" s="59">
        <f t="shared" si="137"/>
        <v>287.02799429019569</v>
      </c>
      <c r="GZ148" s="59">
        <f ca="1">AVERAGE(OFFSET($GY$3,0,0,'Données projet'!$E$18+1,1))-AVERAGE(OFFSET($H$3,0,0,'Données projet'!$E$18+1,1))</f>
        <v>-15.950000000000017</v>
      </c>
      <c r="HA148" s="59">
        <f t="shared" si="160"/>
        <v>-15.950000000000017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28.616323492330359</v>
      </c>
      <c r="HH148" s="21">
        <f>EXP(-LN(2)/25)*HH147+(1-EXP(-LN(2)/25))/(LN(2)/25)*Calculateur!HC148*Calculateur!HE148*VLOOKUP('Données projet'!$B$18,Paramètres!$A$1:$I$89,3,0)*0.475*44/12</f>
        <v>9.6725615703808128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38.288885062711174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4.3499999999999996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15.949999999999998</v>
      </c>
      <c r="H149" s="67">
        <f t="shared" si="110"/>
        <v>192.86666666666667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-9.9316821433603781E-14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433.46721010558042</v>
      </c>
      <c r="T149" s="59">
        <f t="shared" si="142"/>
        <v>306.18862295347509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40.489260394155529</v>
      </c>
      <c r="AA149" s="21">
        <f>EXP(-LN(2)/25)*AA148+(1-EXP(-LN(2)/25))/(LN(2)/25)*Calculateur!V149*Calculateur!X149*VLOOKUP('Données projet'!$B$9,Paramètres!$A$1:$I$89,3,0)*0.475*44/12</f>
        <v>11.57914128175671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52.068401675912241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287.13737782596797</v>
      </c>
      <c r="AN149" s="59">
        <f ca="1">AVERAGE(OFFSET($AM$3,0,0,'Données projet'!$E$10+1,1))-AVERAGE(OFFSET($H$3,0,0,'Données projet'!$E$10+1,1))</f>
        <v>400.1942260113168</v>
      </c>
      <c r="AO149" s="59">
        <f t="shared" si="144"/>
        <v>497.04866930593926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28.05517484287963</v>
      </c>
      <c r="AV149" s="21">
        <f>EXP(-LN(2)/25)*AV148+(1-EXP(-LN(2)/25))/(LN(2)/25)*Calculateur!AQ149*Calculateur!AS149*VLOOKUP('Données projet'!$B$10,Paramètres!$A$1:$I$89,3,0)*0.475*44/12</f>
        <v>9.4080648655808439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37.463239708460478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284.78505691662588</v>
      </c>
      <c r="BJ149" s="59">
        <f t="shared" si="146"/>
        <v>664.42623058686308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380.64318988568527</v>
      </c>
      <c r="CE149" s="59">
        <f t="shared" si="148"/>
        <v>885.24651320439159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16.008121337043942</v>
      </c>
      <c r="CL149" s="21">
        <f>EXP(-LN(2)/25)*CL148+(1-EXP(-LN(2)/25))/(LN(2)/25)*Calculateur!CG149*Calculateur!CI149*VLOOKUP('Données projet'!$B$12,Paramètres!$A$1:$I$89,3,0)*0.475*44/12</f>
        <v>1.6434428439699547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17.651564181013896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-6.3550942286383367E-14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404.10467005188889</v>
      </c>
      <c r="CZ149" s="59">
        <f t="shared" si="150"/>
        <v>372.70490129557845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52.417502727516009</v>
      </c>
      <c r="DG149" s="21">
        <f>EXP(-LN(2)/25)*DG148+(1-EXP(-LN(2)/25))/(LN(2)/25)*Calculateur!DB149*Calculateur!DD149*VLOOKUP('Données projet'!$B$13,Paramètres!$A$1:$I$89,3,0)*0.475*44/12</f>
        <v>15.83909738687079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68.256600114386799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6.6125000000000016</v>
      </c>
      <c r="DO149" s="12">
        <f>IF('Données projet'!$A$166&gt;35,DO148+DN149-DW148,IF(A149&lt;'Données projet'!$A$166,$DL$205^A149,IF(A149='Données projet'!$A$166,'Données projet'!$B$166,DO148+DN149-DW148)))</f>
        <v>297.5350000000002</v>
      </c>
      <c r="DP149" s="17">
        <f>DO149*VLOOKUP('Données projet'!$B$14,Paramètres!$A$1:$I$89,3,0)*VLOOKUP('Données projet'!$B$14,Paramètres!$A$1:$I$89,5,0)</f>
        <v>269.20966800000014</v>
      </c>
      <c r="DQ149" s="13">
        <f t="shared" si="151"/>
        <v>64.68151228533776</v>
      </c>
      <c r="DR149" s="20">
        <f t="shared" si="124"/>
        <v>581.52713899696346</v>
      </c>
      <c r="DS149" s="59">
        <f t="shared" si="125"/>
        <v>868.6645168229295</v>
      </c>
      <c r="DT149" s="59">
        <f ca="1">AVERAGE(OFFSET($DS$3,0,0,'Données projet'!$E$14+1,1))-AVERAGE(OFFSET($H$3,0,0,'Données projet'!$E$14+1,1))</f>
        <v>479.53113328461268</v>
      </c>
      <c r="DU149" s="59">
        <f t="shared" si="152"/>
        <v>244.6360664588118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52.017261756097774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52.017261756097774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2.2737367544323206E-13</v>
      </c>
      <c r="EK149" s="17">
        <f>EJ149*VLOOKUP('Données projet'!$B$15,Paramètres!$A$1:$I$89,3,0)*VLOOKUP('Données projet'!$B$15,Paramètres!$A$1:$I$89,5,0)</f>
        <v>1.0049916454590858E-13</v>
      </c>
      <c r="EL149" s="13">
        <f t="shared" si="153"/>
        <v>1.5089081593838289E-12</v>
      </c>
      <c r="EM149" s="20">
        <f t="shared" si="127"/>
        <v>2.8030510891776262E-12</v>
      </c>
      <c r="EN149" s="59">
        <f t="shared" si="128"/>
        <v>287.13737782596877</v>
      </c>
      <c r="EO149" s="59">
        <f ca="1">AVERAGE(OFFSET($EN$3,0,0,'Données projet'!$E$15+1,1))-AVERAGE(OFFSET($H$3,0,0,'Données projet'!$E$15+1,1))</f>
        <v>339.23049610652492</v>
      </c>
      <c r="EP149" s="59">
        <f t="shared" si="154"/>
        <v>448.85057640789785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30.057490486561072</v>
      </c>
      <c r="EW149" s="21">
        <f>EXP(-LN(2)/25)*EW148+(1-EXP(-LN(2)/25))/(LN(2)/25)*Calculateur!ER149*Calculateur!ET149*VLOOKUP('Données projet'!$B$15,Paramètres!$A$1:$I$89,3,0)*0.475*44/12</f>
        <v>10.817794087743884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40.875284574304956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6.2527760746888816E-13</v>
      </c>
      <c r="FF149" s="17">
        <f>FE149*VLOOKUP('Données projet'!$B$16,Paramètres!$A$1:$I$89,3,0)*VLOOKUP('Données projet'!$B$16,Paramètres!$A$1:$I$89,5,0)</f>
        <v>2.9262992029543964E-13</v>
      </c>
      <c r="FG149" s="13">
        <f t="shared" si="155"/>
        <v>3.8796387982050903E-12</v>
      </c>
      <c r="FH149" s="20">
        <f t="shared" si="130"/>
        <v>7.2667013513884219E-12</v>
      </c>
      <c r="FI149" s="59">
        <f t="shared" si="131"/>
        <v>287.13737782597326</v>
      </c>
      <c r="FJ149" s="59">
        <f ca="1">AVERAGE(OFFSET($FI$3,0,0,'Données projet'!$E$16+1,1))-AVERAGE(OFFSET($H$3,0,0,'Données projet'!$E$16+1,1))</f>
        <v>365.63278362856033</v>
      </c>
      <c r="FK149" s="59">
        <f t="shared" si="156"/>
        <v>290.68267842697452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128.02856810695675</v>
      </c>
      <c r="FR149" s="21">
        <f>EXP(-LN(2)/25)*FR148+(1-EXP(-LN(2)/25))/(LN(2)/25)*Calculateur!FM149*Calculateur!FO149*VLOOKUP('Données projet'!$B$16,Paramètres!$A$1:$I$89,3,0)*0.475*44/12</f>
        <v>42.773863131681345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170.80243123863809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2.2737367544323206E-13</v>
      </c>
      <c r="GA149" s="17">
        <f>FZ149*VLOOKUP('Données projet'!$B$17,Paramètres!$A$1:$I$89,3,0)*VLOOKUP('Données projet'!$B$17,Paramètres!$A$1:$I$89,5,0)</f>
        <v>1.9508661353029313E-13</v>
      </c>
      <c r="GB149" s="13">
        <f t="shared" si="157"/>
        <v>2.711421636700695E-12</v>
      </c>
      <c r="GC149" s="20">
        <f t="shared" si="133"/>
        <v>5.0621685358189711E-12</v>
      </c>
      <c r="GD149" s="59">
        <f t="shared" si="134"/>
        <v>287.13737782597104</v>
      </c>
      <c r="GE149" s="59">
        <f ca="1">AVERAGE(OFFSET($GD$3,0,0,'Données projet'!$E$17+1,1))-AVERAGE(OFFSET($H$3,0,0,'Données projet'!$E$17+1,1))</f>
        <v>460.46300302025099</v>
      </c>
      <c r="GF149" s="59">
        <f t="shared" si="158"/>
        <v>340.22534554615879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154.67142591408916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154.67142591408916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68.310193952536181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1.1368683772161603E-13</v>
      </c>
      <c r="GV149" s="17">
        <f>GU149*VLOOKUP('Données projet'!$B$18,Paramètres!$A$1:$I$89,3,0)*VLOOKUP('Données projet'!$B$18,Paramètres!$A$1:$I$89,5,0)</f>
        <v>6.7984728957526396E-14</v>
      </c>
      <c r="GW149" s="13">
        <f t="shared" si="159"/>
        <v>1.0682447123141398E-12</v>
      </c>
      <c r="GX149" s="20">
        <f t="shared" si="136"/>
        <v>1.978932943548152E-12</v>
      </c>
      <c r="GY149" s="59">
        <f t="shared" si="137"/>
        <v>287.13737782596797</v>
      </c>
      <c r="GZ149" s="59">
        <f ca="1">AVERAGE(OFFSET($GY$3,0,0,'Données projet'!$E$18+1,1))-AVERAGE(OFFSET($H$3,0,0,'Données projet'!$E$18+1,1))</f>
        <v>-15.950000000000017</v>
      </c>
      <c r="HA149" s="59">
        <f t="shared" si="160"/>
        <v>-15.950000000000017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28.05517484287963</v>
      </c>
      <c r="HH149" s="21">
        <f>EXP(-LN(2)/25)*HH148+(1-EXP(-LN(2)/25))/(LN(2)/25)*Calculateur!HC149*Calculateur!HE149*VLOOKUP('Données projet'!$B$18,Paramètres!$A$1:$I$89,3,0)*0.475*44/12</f>
        <v>9.4080648655808439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37.463239708460478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4.3499999999999996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15.949999999999998</v>
      </c>
      <c r="H150" s="67">
        <f t="shared" si="110"/>
        <v>192.86666666666667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-9.9316821433603781E-14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433.46721010558042</v>
      </c>
      <c r="T150" s="59">
        <f t="shared" si="142"/>
        <v>306.18862295347509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39.695290693836455</v>
      </c>
      <c r="AA150" s="21">
        <f>EXP(-LN(2)/25)*AA149+(1-EXP(-LN(2)/25))/(LN(2)/25)*Calculateur!V150*Calculateur!X150*VLOOKUP('Données projet'!$B$9,Paramètres!$A$1:$I$89,3,0)*0.475*44/12</f>
        <v>11.262509054486497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50.957799748322955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287.24486380193946</v>
      </c>
      <c r="AN150" s="59">
        <f ca="1">AVERAGE(OFFSET($AM$3,0,0,'Données projet'!$E$10+1,1))-AVERAGE(OFFSET($H$3,0,0,'Données projet'!$E$10+1,1))</f>
        <v>400.1942260113168</v>
      </c>
      <c r="AO150" s="59">
        <f t="shared" si="144"/>
        <v>497.04866930593926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27.505029976177749</v>
      </c>
      <c r="AV150" s="21">
        <f>EXP(-LN(2)/25)*AV149+(1-EXP(-LN(2)/25))/(LN(2)/25)*Calculateur!AQ150*Calculateur!AS150*VLOOKUP('Données projet'!$B$10,Paramètres!$A$1:$I$89,3,0)*0.475*44/12</f>
        <v>9.1508008370829064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36.655830813260657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284.78505691662588</v>
      </c>
      <c r="BJ150" s="59">
        <f t="shared" si="146"/>
        <v>664.42623058686308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380.64318988568527</v>
      </c>
      <c r="CE150" s="59">
        <f t="shared" si="148"/>
        <v>885.24651320439159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15.694211841614413</v>
      </c>
      <c r="CL150" s="21">
        <f>EXP(-LN(2)/25)*CL149+(1-EXP(-LN(2)/25))/(LN(2)/25)*Calculateur!CG150*Calculateur!CI150*VLOOKUP('Données projet'!$B$12,Paramètres!$A$1:$I$89,3,0)*0.475*44/12</f>
        <v>1.5985028129766932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17.292714654591105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-6.3550942286383367E-14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404.10467005188889</v>
      </c>
      <c r="CZ150" s="59">
        <f t="shared" si="150"/>
        <v>372.70490129557845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51.389627470549158</v>
      </c>
      <c r="DG150" s="21">
        <f>EXP(-LN(2)/25)*DG149+(1-EXP(-LN(2)/25))/(LN(2)/25)*Calculateur!DB150*Calculateur!DD150*VLOOKUP('Données projet'!$B$13,Paramètres!$A$1:$I$89,3,0)*0.475*44/12</f>
        <v>15.405976435884877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66.795603906434039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6.6125000000000016</v>
      </c>
      <c r="DO150" s="12">
        <f>IF('Données projet'!$A$166&gt;35,DO149+DN150-DW149,IF(A150&lt;'Données projet'!$A$166,$DL$205^A150,IF(A150='Données projet'!$A$166,'Données projet'!$B$166,DO149+DN150-DW149)))</f>
        <v>304.14750000000021</v>
      </c>
      <c r="DP150" s="17">
        <f>DO150*VLOOKUP('Données projet'!$B$14,Paramètres!$A$1:$I$89,3,0)*VLOOKUP('Données projet'!$B$14,Paramètres!$A$1:$I$89,5,0)</f>
        <v>275.19265800000022</v>
      </c>
      <c r="DQ150" s="13">
        <f t="shared" si="151"/>
        <v>65.950057618359224</v>
      </c>
      <c r="DR150" s="20">
        <f t="shared" si="124"/>
        <v>594.15689636864261</v>
      </c>
      <c r="DS150" s="59">
        <f t="shared" si="125"/>
        <v>881.40176017058002</v>
      </c>
      <c r="DT150" s="59">
        <f ca="1">AVERAGE(OFFSET($DS$3,0,0,'Données projet'!$E$14+1,1))-AVERAGE(OFFSET($H$3,0,0,'Données projet'!$E$14+1,1))</f>
        <v>479.53113328461268</v>
      </c>
      <c r="DU150" s="59">
        <f t="shared" si="152"/>
        <v>244.6360664588118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50.997234980457549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50.997234980457549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2.2737367544323206E-13</v>
      </c>
      <c r="EK150" s="17">
        <f>EJ150*VLOOKUP('Données projet'!$B$15,Paramètres!$A$1:$I$89,3,0)*VLOOKUP('Données projet'!$B$15,Paramètres!$A$1:$I$89,5,0)</f>
        <v>1.0049916454590858E-13</v>
      </c>
      <c r="EL150" s="13">
        <f t="shared" si="153"/>
        <v>1.5089081593838289E-12</v>
      </c>
      <c r="EM150" s="20">
        <f t="shared" si="127"/>
        <v>2.8030510891776262E-12</v>
      </c>
      <c r="EN150" s="59">
        <f t="shared" si="128"/>
        <v>287.24486380194026</v>
      </c>
      <c r="EO150" s="59">
        <f ca="1">AVERAGE(OFFSET($EN$3,0,0,'Données projet'!$E$15+1,1))-AVERAGE(OFFSET($H$3,0,0,'Données projet'!$E$15+1,1))</f>
        <v>339.23049610652492</v>
      </c>
      <c r="EP150" s="59">
        <f t="shared" si="154"/>
        <v>448.85057640789785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29.468081431378547</v>
      </c>
      <c r="EW150" s="21">
        <f>EXP(-LN(2)/25)*EW149+(1-EXP(-LN(2)/25))/(LN(2)/25)*Calculateur!ER150*Calculateur!ET150*VLOOKUP('Données projet'!$B$15,Paramètres!$A$1:$I$89,3,0)*0.475*44/12</f>
        <v>10.521980939531462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39.99006237091001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6.2527760746888816E-13</v>
      </c>
      <c r="FF150" s="17">
        <f>FE150*VLOOKUP('Données projet'!$B$16,Paramètres!$A$1:$I$89,3,0)*VLOOKUP('Données projet'!$B$16,Paramètres!$A$1:$I$89,5,0)</f>
        <v>2.9262992029543964E-13</v>
      </c>
      <c r="FG150" s="13">
        <f t="shared" si="155"/>
        <v>3.8796387982050903E-12</v>
      </c>
      <c r="FH150" s="20">
        <f t="shared" si="130"/>
        <v>7.2667013513884219E-12</v>
      </c>
      <c r="FI150" s="59">
        <f t="shared" si="131"/>
        <v>287.24486380194475</v>
      </c>
      <c r="FJ150" s="59">
        <f ca="1">AVERAGE(OFFSET($FI$3,0,0,'Données projet'!$E$16+1,1))-AVERAGE(OFFSET($H$3,0,0,'Données projet'!$E$16+1,1))</f>
        <v>365.63278362856033</v>
      </c>
      <c r="FK150" s="59">
        <f t="shared" si="156"/>
        <v>290.68267842697452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125.51800597609515</v>
      </c>
      <c r="FR150" s="21">
        <f>EXP(-LN(2)/25)*FR149+(1-EXP(-LN(2)/25))/(LN(2)/25)*Calculateur!FM150*Calculateur!FO150*VLOOKUP('Données projet'!$B$16,Paramètres!$A$1:$I$89,3,0)*0.475*44/12</f>
        <v>41.604209594965816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167.12221557106096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2.2737367544323206E-13</v>
      </c>
      <c r="GA150" s="17">
        <f>FZ150*VLOOKUP('Données projet'!$B$17,Paramètres!$A$1:$I$89,3,0)*VLOOKUP('Données projet'!$B$17,Paramètres!$A$1:$I$89,5,0)</f>
        <v>1.9508661353029313E-13</v>
      </c>
      <c r="GB150" s="13">
        <f t="shared" si="157"/>
        <v>2.711421636700695E-12</v>
      </c>
      <c r="GC150" s="20">
        <f t="shared" si="133"/>
        <v>5.0621685358189711E-12</v>
      </c>
      <c r="GD150" s="59">
        <f t="shared" si="134"/>
        <v>287.24486380194253</v>
      </c>
      <c r="GE150" s="59">
        <f ca="1">AVERAGE(OFFSET($GD$3,0,0,'Données projet'!$E$17+1,1))-AVERAGE(OFFSET($H$3,0,0,'Données projet'!$E$17+1,1))</f>
        <v>460.46300302025099</v>
      </c>
      <c r="GF150" s="59">
        <f t="shared" si="158"/>
        <v>340.22534554615879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151.63841359216835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151.63841359216835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68.339508309619305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1.1368683772161603E-13</v>
      </c>
      <c r="GV150" s="17">
        <f>GU150*VLOOKUP('Données projet'!$B$18,Paramètres!$A$1:$I$89,3,0)*VLOOKUP('Données projet'!$B$18,Paramètres!$A$1:$I$89,5,0)</f>
        <v>6.7984728957526396E-14</v>
      </c>
      <c r="GW150" s="13">
        <f t="shared" si="159"/>
        <v>1.0682447123141398E-12</v>
      </c>
      <c r="GX150" s="20">
        <f t="shared" si="136"/>
        <v>1.978932943548152E-12</v>
      </c>
      <c r="GY150" s="59">
        <f t="shared" si="137"/>
        <v>287.24486380193946</v>
      </c>
      <c r="GZ150" s="59">
        <f ca="1">AVERAGE(OFFSET($GY$3,0,0,'Données projet'!$E$18+1,1))-AVERAGE(OFFSET($H$3,0,0,'Données projet'!$E$18+1,1))</f>
        <v>-15.950000000000017</v>
      </c>
      <c r="HA150" s="59">
        <f t="shared" si="160"/>
        <v>-15.950000000000017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27.505029976177749</v>
      </c>
      <c r="HH150" s="21">
        <f>EXP(-LN(2)/25)*HH149+(1-EXP(-LN(2)/25))/(LN(2)/25)*Calculateur!HC150*Calculateur!HE150*VLOOKUP('Données projet'!$B$18,Paramètres!$A$1:$I$89,3,0)*0.475*44/12</f>
        <v>9.1508008370829064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36.655830813260657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4.3499999999999996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15.949999999999998</v>
      </c>
      <c r="H151" s="67">
        <f t="shared" si="110"/>
        <v>192.86666666666667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-9.9316821433603781E-14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433.46721010558042</v>
      </c>
      <c r="T151" s="59">
        <f t="shared" si="142"/>
        <v>306.18862295347509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38.916890255066932</v>
      </c>
      <c r="AA151" s="21">
        <f>EXP(-LN(2)/25)*AA150+(1-EXP(-LN(2)/25))/(LN(2)/25)*Calculateur!V151*Calculateur!X151*VLOOKUP('Données projet'!$B$9,Paramètres!$A$1:$I$89,3,0)*0.475*44/12</f>
        <v>10.954535152121952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49.87142540718888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287.35048513653049</v>
      </c>
      <c r="AN151" s="59">
        <f ca="1">AVERAGE(OFFSET($AM$3,0,0,'Données projet'!$E$10+1,1))-AVERAGE(OFFSET($H$3,0,0,'Données projet'!$E$10+1,1))</f>
        <v>400.1942260113168</v>
      </c>
      <c r="AO151" s="59">
        <f t="shared" si="144"/>
        <v>497.04866930593926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26.965673114756655</v>
      </c>
      <c r="AV151" s="21">
        <f>EXP(-LN(2)/25)*AV150+(1-EXP(-LN(2)/25))/(LN(2)/25)*Calculateur!AQ151*Calculateur!AS151*VLOOKUP('Données projet'!$B$10,Paramètres!$A$1:$I$89,3,0)*0.475*44/12</f>
        <v>8.9005717069731727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35.866244821729829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284.78505691662588</v>
      </c>
      <c r="BJ151" s="59">
        <f t="shared" si="146"/>
        <v>664.42623058686308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380.64318988568527</v>
      </c>
      <c r="CE151" s="59">
        <f t="shared" si="148"/>
        <v>885.24651320439159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15.38645791992437</v>
      </c>
      <c r="CL151" s="21">
        <f>EXP(-LN(2)/25)*CL150+(1-EXP(-LN(2)/25))/(LN(2)/25)*Calculateur!CG151*Calculateur!CI151*VLOOKUP('Données projet'!$B$12,Paramètres!$A$1:$I$89,3,0)*0.475*44/12</f>
        <v>1.5547916694942361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16.941249589418607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-6.3550942286383367E-14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404.10467005188889</v>
      </c>
      <c r="CZ151" s="59">
        <f t="shared" si="150"/>
        <v>372.70490129557845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50.381908220429423</v>
      </c>
      <c r="DG151" s="21">
        <f>EXP(-LN(2)/25)*DG150+(1-EXP(-LN(2)/25))/(LN(2)/25)*Calculateur!DB151*Calculateur!DD151*VLOOKUP('Données projet'!$B$13,Paramètres!$A$1:$I$89,3,0)*0.475*44/12</f>
        <v>14.984699200080515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65.366607420509936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6.6125000000000016</v>
      </c>
      <c r="DO151" s="12">
        <f>IF('Données projet'!$A$166&gt;35,DO150+DN151-DW150,IF(A151&lt;'Données projet'!$A$166,$DL$205^A151,IF(A151='Données projet'!$A$166,'Données projet'!$B$166,DO150+DN151-DW150)))</f>
        <v>310.76000000000022</v>
      </c>
      <c r="DP151" s="17">
        <f>DO151*VLOOKUP('Données projet'!$B$14,Paramètres!$A$1:$I$89,3,0)*VLOOKUP('Données projet'!$B$14,Paramètres!$A$1:$I$89,5,0)</f>
        <v>281.17564800000019</v>
      </c>
      <c r="DQ151" s="13">
        <f t="shared" si="151"/>
        <v>67.215396481536132</v>
      </c>
      <c r="DR151" s="20">
        <f t="shared" si="124"/>
        <v>606.78106913867566</v>
      </c>
      <c r="DS151" s="59">
        <f t="shared" si="125"/>
        <v>894.13155427520417</v>
      </c>
      <c r="DT151" s="59">
        <f ca="1">AVERAGE(OFFSET($DS$3,0,0,'Données projet'!$E$14+1,1))-AVERAGE(OFFSET($H$3,0,0,'Données projet'!$E$14+1,1))</f>
        <v>479.53113328461268</v>
      </c>
      <c r="DU151" s="59">
        <f t="shared" si="152"/>
        <v>244.6360664588118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49.997210307732729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49.997210307732729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2.2737367544323206E-13</v>
      </c>
      <c r="EK151" s="17">
        <f>EJ151*VLOOKUP('Données projet'!$B$15,Paramètres!$A$1:$I$89,3,0)*VLOOKUP('Données projet'!$B$15,Paramètres!$A$1:$I$89,5,0)</f>
        <v>1.0049916454590858E-13</v>
      </c>
      <c r="EL151" s="13">
        <f t="shared" si="153"/>
        <v>1.5089081593838289E-12</v>
      </c>
      <c r="EM151" s="20">
        <f t="shared" si="127"/>
        <v>2.8030510891776262E-12</v>
      </c>
      <c r="EN151" s="59">
        <f t="shared" si="128"/>
        <v>287.35048513653129</v>
      </c>
      <c r="EO151" s="59">
        <f ca="1">AVERAGE(OFFSET($EN$3,0,0,'Données projet'!$E$15+1,1))-AVERAGE(OFFSET($H$3,0,0,'Données projet'!$E$15+1,1))</f>
        <v>339.23049610652492</v>
      </c>
      <c r="EP151" s="59">
        <f t="shared" si="154"/>
        <v>448.85057640789785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28.890230328264124</v>
      </c>
      <c r="EW151" s="21">
        <f>EXP(-LN(2)/25)*EW150+(1-EXP(-LN(2)/25))/(LN(2)/25)*Calculateur!ER151*Calculateur!ET151*VLOOKUP('Données projet'!$B$15,Paramètres!$A$1:$I$89,3,0)*0.475*44/12</f>
        <v>10.234256817413044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39.124487145677165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6.2527760746888816E-13</v>
      </c>
      <c r="FF151" s="17">
        <f>FE151*VLOOKUP('Données projet'!$B$16,Paramètres!$A$1:$I$89,3,0)*VLOOKUP('Données projet'!$B$16,Paramètres!$A$1:$I$89,5,0)</f>
        <v>2.9262992029543964E-13</v>
      </c>
      <c r="FG151" s="13">
        <f t="shared" si="155"/>
        <v>3.8796387982050903E-12</v>
      </c>
      <c r="FH151" s="20">
        <f t="shared" si="130"/>
        <v>7.2667013513884219E-12</v>
      </c>
      <c r="FI151" s="59">
        <f t="shared" si="131"/>
        <v>287.35048513653578</v>
      </c>
      <c r="FJ151" s="59">
        <f ca="1">AVERAGE(OFFSET($FI$3,0,0,'Données projet'!$E$16+1,1))-AVERAGE(OFFSET($H$3,0,0,'Données projet'!$E$16+1,1))</f>
        <v>365.63278362856033</v>
      </c>
      <c r="FK151" s="59">
        <f t="shared" si="156"/>
        <v>290.68267842697452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123.05667443732806</v>
      </c>
      <c r="FR151" s="21">
        <f>EXP(-LN(2)/25)*FR150+(1-EXP(-LN(2)/25))/(LN(2)/25)*Calculateur!FM151*Calculateur!FO151*VLOOKUP('Données projet'!$B$16,Paramètres!$A$1:$I$89,3,0)*0.475*44/12</f>
        <v>40.466540295721181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163.52321473304923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2.2737367544323206E-13</v>
      </c>
      <c r="GA151" s="17">
        <f>FZ151*VLOOKUP('Données projet'!$B$17,Paramètres!$A$1:$I$89,3,0)*VLOOKUP('Données projet'!$B$17,Paramètres!$A$1:$I$89,5,0)</f>
        <v>1.9508661353029313E-13</v>
      </c>
      <c r="GB151" s="13">
        <f t="shared" si="157"/>
        <v>2.711421636700695E-12</v>
      </c>
      <c r="GC151" s="20">
        <f t="shared" si="133"/>
        <v>5.0621685358189711E-12</v>
      </c>
      <c r="GD151" s="59">
        <f t="shared" si="134"/>
        <v>287.35048513653356</v>
      </c>
      <c r="GE151" s="59">
        <f ca="1">AVERAGE(OFFSET($GD$3,0,0,'Données projet'!$E$17+1,1))-AVERAGE(OFFSET($H$3,0,0,'Données projet'!$E$17+1,1))</f>
        <v>460.46300302025099</v>
      </c>
      <c r="GF151" s="59">
        <f t="shared" si="158"/>
        <v>340.22534554615879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148.66487679192556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148.66487679192556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68.368314128144135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1.1368683772161603E-13</v>
      </c>
      <c r="GV151" s="17">
        <f>GU151*VLOOKUP('Données projet'!$B$18,Paramètres!$A$1:$I$89,3,0)*VLOOKUP('Données projet'!$B$18,Paramètres!$A$1:$I$89,5,0)</f>
        <v>6.7984728957526396E-14</v>
      </c>
      <c r="GW151" s="13">
        <f t="shared" si="159"/>
        <v>1.0682447123141398E-12</v>
      </c>
      <c r="GX151" s="20">
        <f t="shared" si="136"/>
        <v>1.978932943548152E-12</v>
      </c>
      <c r="GY151" s="59">
        <f t="shared" si="137"/>
        <v>287.35048513653049</v>
      </c>
      <c r="GZ151" s="59">
        <f ca="1">AVERAGE(OFFSET($GY$3,0,0,'Données projet'!$E$18+1,1))-AVERAGE(OFFSET($H$3,0,0,'Données projet'!$E$18+1,1))</f>
        <v>-15.950000000000017</v>
      </c>
      <c r="HA151" s="59">
        <f t="shared" si="160"/>
        <v>-15.950000000000017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26.965673114756655</v>
      </c>
      <c r="HH151" s="21">
        <f>EXP(-LN(2)/25)*HH150+(1-EXP(-LN(2)/25))/(LN(2)/25)*Calculateur!HC151*Calculateur!HE151*VLOOKUP('Données projet'!$B$18,Paramètres!$A$1:$I$89,3,0)*0.475*44/12</f>
        <v>8.9005717069731727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35.866244821729829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4.3499999999999996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15.949999999999998</v>
      </c>
      <c r="H152" s="67">
        <f t="shared" si="110"/>
        <v>192.86666666666667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-9.9316821433603781E-14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433.46721010558042</v>
      </c>
      <c r="T152" s="59">
        <f t="shared" si="142"/>
        <v>306.18862295347509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38.153753774124297</v>
      </c>
      <c r="AA152" s="21">
        <f>EXP(-LN(2)/25)*AA151+(1-EXP(-LN(2)/25))/(LN(2)/25)*Calculateur!V152*Calculateur!X152*VLOOKUP('Données projet'!$B$9,Paramètres!$A$1:$I$89,3,0)*0.475*44/12</f>
        <v>10.654982812313211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48.808736586437504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287.45427417710027</v>
      </c>
      <c r="AN152" s="59">
        <f ca="1">AVERAGE(OFFSET($AM$3,0,0,'Données projet'!$E$10+1,1))-AVERAGE(OFFSET($H$3,0,0,'Données projet'!$E$10+1,1))</f>
        <v>400.1942260113168</v>
      </c>
      <c r="AO152" s="59">
        <f t="shared" si="144"/>
        <v>497.04866930593926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26.436892712412828</v>
      </c>
      <c r="AV152" s="21">
        <f>EXP(-LN(2)/25)*AV151+(1-EXP(-LN(2)/25))/(LN(2)/25)*Calculateur!AQ152*Calculateur!AS152*VLOOKUP('Données projet'!$B$10,Paramètres!$A$1:$I$89,3,0)*0.475*44/12</f>
        <v>8.6571851055852669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35.094077817998098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284.78505691662588</v>
      </c>
      <c r="BJ152" s="59">
        <f t="shared" si="146"/>
        <v>664.42623058686308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380.64318988568527</v>
      </c>
      <c r="CE152" s="59">
        <f t="shared" si="148"/>
        <v>885.24651320439159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15.08473886492731</v>
      </c>
      <c r="CL152" s="21">
        <f>EXP(-LN(2)/25)*CL151+(1-EXP(-LN(2)/25))/(LN(2)/25)*Calculateur!CG152*Calculateur!CI152*VLOOKUP('Données projet'!$B$12,Paramètres!$A$1:$I$89,3,0)*0.475*44/12</f>
        <v>1.5122758095289759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16.597014674456286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-6.3550942286383367E-14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404.10467005188889</v>
      </c>
      <c r="CZ152" s="59">
        <f t="shared" si="150"/>
        <v>372.70490129557845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49.393949730156486</v>
      </c>
      <c r="DG152" s="21">
        <f>EXP(-LN(2)/25)*DG151+(1-EXP(-LN(2)/25))/(LN(2)/25)*Calculateur!DB152*Calculateur!DD152*VLOOKUP('Données projet'!$B$13,Paramètres!$A$1:$I$89,3,0)*0.475*44/12</f>
        <v>14.57494181244323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63.968891542599714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6.6125000000000016</v>
      </c>
      <c r="DO152" s="12">
        <f>IF('Données projet'!$A$166&gt;35,DO151+DN152-DW151,IF(A152&lt;'Données projet'!$A$166,$DL$205^A152,IF(A152='Données projet'!$A$166,'Données projet'!$B$166,DO151+DN152-DW151)))</f>
        <v>317.37250000000023</v>
      </c>
      <c r="DP152" s="17">
        <f>DO152*VLOOKUP('Données projet'!$B$14,Paramètres!$A$1:$I$89,3,0)*VLOOKUP('Données projet'!$B$14,Paramètres!$A$1:$I$89,5,0)</f>
        <v>287.15863800000022</v>
      </c>
      <c r="DQ152" s="13">
        <f t="shared" si="151"/>
        <v>68.477604962843515</v>
      </c>
      <c r="DR152" s="20">
        <f t="shared" si="124"/>
        <v>619.39978982695288</v>
      </c>
      <c r="DS152" s="59">
        <f t="shared" si="125"/>
        <v>906.85406400405122</v>
      </c>
      <c r="DT152" s="59">
        <f ca="1">AVERAGE(OFFSET($DS$3,0,0,'Données projet'!$E$14+1,1))-AVERAGE(OFFSET($H$3,0,0,'Données projet'!$E$14+1,1))</f>
        <v>479.53113328461268</v>
      </c>
      <c r="DU152" s="59">
        <f t="shared" si="152"/>
        <v>244.6360664588118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49.016795508885217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49.016795508885217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2.2737367544323206E-13</v>
      </c>
      <c r="EK152" s="17">
        <f>EJ152*VLOOKUP('Données projet'!$B$15,Paramètres!$A$1:$I$89,3,0)*VLOOKUP('Données projet'!$B$15,Paramètres!$A$1:$I$89,5,0)</f>
        <v>1.0049916454590858E-13</v>
      </c>
      <c r="EL152" s="13">
        <f t="shared" si="153"/>
        <v>1.5089081593838289E-12</v>
      </c>
      <c r="EM152" s="20">
        <f t="shared" si="127"/>
        <v>2.8030510891776262E-12</v>
      </c>
      <c r="EN152" s="59">
        <f t="shared" si="128"/>
        <v>287.45427417710107</v>
      </c>
      <c r="EO152" s="59">
        <f ca="1">AVERAGE(OFFSET($EN$3,0,0,'Données projet'!$E$15+1,1))-AVERAGE(OFFSET($H$3,0,0,'Données projet'!$E$15+1,1))</f>
        <v>339.23049610652492</v>
      </c>
      <c r="EP152" s="59">
        <f t="shared" si="154"/>
        <v>448.85057640789785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28.323710532827405</v>
      </c>
      <c r="EW152" s="21">
        <f>EXP(-LN(2)/25)*EW151+(1-EXP(-LN(2)/25))/(LN(2)/25)*Calculateur!ER152*Calculateur!ET152*VLOOKUP('Données projet'!$B$15,Paramètres!$A$1:$I$89,3,0)*0.475*44/12</f>
        <v>9.9544005265447097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38.278111059372115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6.2527760746888816E-13</v>
      </c>
      <c r="FF152" s="17">
        <f>FE152*VLOOKUP('Données projet'!$B$16,Paramètres!$A$1:$I$89,3,0)*VLOOKUP('Données projet'!$B$16,Paramètres!$A$1:$I$89,5,0)</f>
        <v>2.9262992029543964E-13</v>
      </c>
      <c r="FG152" s="13">
        <f t="shared" si="155"/>
        <v>3.8796387982050903E-12</v>
      </c>
      <c r="FH152" s="20">
        <f t="shared" si="130"/>
        <v>7.2667013513884219E-12</v>
      </c>
      <c r="FI152" s="59">
        <f t="shared" si="131"/>
        <v>287.45427417710556</v>
      </c>
      <c r="FJ152" s="59">
        <f ca="1">AVERAGE(OFFSET($FI$3,0,0,'Données projet'!$E$16+1,1))-AVERAGE(OFFSET($H$3,0,0,'Données projet'!$E$16+1,1))</f>
        <v>365.63278362856033</v>
      </c>
      <c r="FK152" s="59">
        <f t="shared" si="156"/>
        <v>290.68267842697452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120.64360810877218</v>
      </c>
      <c r="FR152" s="21">
        <f>EXP(-LN(2)/25)*FR151+(1-EXP(-LN(2)/25))/(LN(2)/25)*Calculateur!FM152*Calculateur!FO152*VLOOKUP('Données projet'!$B$16,Paramètres!$A$1:$I$89,3,0)*0.475*44/12</f>
        <v>39.359980623291818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160.003588732064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2.2737367544323206E-13</v>
      </c>
      <c r="GA152" s="17">
        <f>FZ152*VLOOKUP('Données projet'!$B$17,Paramètres!$A$1:$I$89,3,0)*VLOOKUP('Données projet'!$B$17,Paramètres!$A$1:$I$89,5,0)</f>
        <v>1.9508661353029313E-13</v>
      </c>
      <c r="GB152" s="13">
        <f t="shared" si="157"/>
        <v>2.711421636700695E-12</v>
      </c>
      <c r="GC152" s="20">
        <f t="shared" si="133"/>
        <v>5.0621685358189711E-12</v>
      </c>
      <c r="GD152" s="59">
        <f t="shared" si="134"/>
        <v>287.45427417710334</v>
      </c>
      <c r="GE152" s="59">
        <f ca="1">AVERAGE(OFFSET($GD$3,0,0,'Données projet'!$E$17+1,1))-AVERAGE(OFFSET($H$3,0,0,'Données projet'!$E$17+1,1))</f>
        <v>460.46300302025099</v>
      </c>
      <c r="GF152" s="59">
        <f t="shared" si="158"/>
        <v>340.22534554615879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145.74964923465717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145.74964923465717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68.396620230117719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1.1368683772161603E-13</v>
      </c>
      <c r="GV152" s="17">
        <f>GU152*VLOOKUP('Données projet'!$B$18,Paramètres!$A$1:$I$89,3,0)*VLOOKUP('Données projet'!$B$18,Paramètres!$A$1:$I$89,5,0)</f>
        <v>6.7984728957526396E-14</v>
      </c>
      <c r="GW152" s="13">
        <f t="shared" si="159"/>
        <v>1.0682447123141398E-12</v>
      </c>
      <c r="GX152" s="20">
        <f t="shared" si="136"/>
        <v>1.978932943548152E-12</v>
      </c>
      <c r="GY152" s="59">
        <f t="shared" si="137"/>
        <v>287.45427417710027</v>
      </c>
      <c r="GZ152" s="59">
        <f ca="1">AVERAGE(OFFSET($GY$3,0,0,'Données projet'!$E$18+1,1))-AVERAGE(OFFSET($H$3,0,0,'Données projet'!$E$18+1,1))</f>
        <v>-15.950000000000017</v>
      </c>
      <c r="HA152" s="59">
        <f t="shared" si="160"/>
        <v>-15.950000000000017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26.436892712412828</v>
      </c>
      <c r="HH152" s="21">
        <f>EXP(-LN(2)/25)*HH151+(1-EXP(-LN(2)/25))/(LN(2)/25)*Calculateur!HC152*Calculateur!HE152*VLOOKUP('Données projet'!$B$18,Paramètres!$A$1:$I$89,3,0)*0.475*44/12</f>
        <v>8.6571851055852669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35.094077817998098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4.3499999999999996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15.949999999999998</v>
      </c>
      <c r="H153" s="67">
        <f t="shared" si="110"/>
        <v>192.86666666666667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-9.9316821433603781E-14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433.46721010558042</v>
      </c>
      <c r="T153" s="59">
        <f t="shared" si="142"/>
        <v>306.18862295347509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37.405581934105655</v>
      </c>
      <c r="AA153" s="21">
        <f>EXP(-LN(2)/25)*AA152+(1-EXP(-LN(2)/25))/(LN(2)/25)*Calculateur!V153*Calculateur!X153*VLOOKUP('Données projet'!$B$9,Paramètres!$A$1:$I$89,3,0)*0.475*44/12</f>
        <v>10.363621746989311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47.769203681094965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287.5562627098538</v>
      </c>
      <c r="AN153" s="59">
        <f ca="1">AVERAGE(OFFSET($AM$3,0,0,'Données projet'!$E$10+1,1))-AVERAGE(OFFSET($H$3,0,0,'Données projet'!$E$10+1,1))</f>
        <v>400.1942260113168</v>
      </c>
      <c r="AO153" s="59">
        <f t="shared" si="144"/>
        <v>497.04866930593926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25.918481371234765</v>
      </c>
      <c r="AV153" s="21">
        <f>EXP(-LN(2)/25)*AV152+(1-EXP(-LN(2)/25))/(LN(2)/25)*Calculateur!AQ153*Calculateur!AS153*VLOOKUP('Données projet'!$B$10,Paramètres!$A$1:$I$89,3,0)*0.475*44/12</f>
        <v>8.4204539236114595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34.338935294846223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284.78505691662588</v>
      </c>
      <c r="BJ153" s="59">
        <f t="shared" si="146"/>
        <v>664.42623058686308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380.64318988568527</v>
      </c>
      <c r="CE153" s="59">
        <f t="shared" si="148"/>
        <v>885.24651320439159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14.788936336568291</v>
      </c>
      <c r="CL153" s="21">
        <f>EXP(-LN(2)/25)*CL152+(1-EXP(-LN(2)/25))/(LN(2)/25)*Calculateur!CG153*Calculateur!CI153*VLOOKUP('Données projet'!$B$12,Paramètres!$A$1:$I$89,3,0)*0.475*44/12</f>
        <v>1.4709225479902777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16.259858884558568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-6.3550942286383367E-14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404.10467005188889</v>
      </c>
      <c r="CZ153" s="59">
        <f t="shared" si="150"/>
        <v>372.70490129557845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48.425364503282623</v>
      </c>
      <c r="DG153" s="21">
        <f>EXP(-LN(2)/25)*DG152+(1-EXP(-LN(2)/25))/(LN(2)/25)*Calculateur!DB153*Calculateur!DD153*VLOOKUP('Données projet'!$B$13,Paramètres!$A$1:$I$89,3,0)*0.475*44/12</f>
        <v>14.176389262119091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62.60175376540171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6.6125000000000016</v>
      </c>
      <c r="DO153" s="12">
        <f>IF('Données projet'!$A$166&gt;35,DO152+DN153-DW152,IF(A153&lt;'Données projet'!$A$166,$DL$205^A153,IF(A153='Données projet'!$A$166,'Données projet'!$B$166,DO152+DN153-DW152)))</f>
        <v>323.98500000000024</v>
      </c>
      <c r="DP153" s="17">
        <f>DO153*VLOOKUP('Données projet'!$B$14,Paramètres!$A$1:$I$89,3,0)*VLOOKUP('Données projet'!$B$14,Paramètres!$A$1:$I$89,5,0)</f>
        <v>293.1416280000002</v>
      </c>
      <c r="DQ153" s="13">
        <f t="shared" si="151"/>
        <v>69.736755798457196</v>
      </c>
      <c r="DR153" s="20">
        <f t="shared" si="124"/>
        <v>632.01318511564659</v>
      </c>
      <c r="DS153" s="59">
        <f t="shared" si="125"/>
        <v>919.5694478254984</v>
      </c>
      <c r="DT153" s="59">
        <f ca="1">AVERAGE(OFFSET($DS$3,0,0,'Données projet'!$E$14+1,1))-AVERAGE(OFFSET($H$3,0,0,'Données projet'!$E$14+1,1))</f>
        <v>479.53113328461268</v>
      </c>
      <c r="DU153" s="59">
        <f t="shared" si="152"/>
        <v>244.6360664588118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48.055606046249125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48.055606046249125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2.2737367544323206E-13</v>
      </c>
      <c r="EK153" s="17">
        <f>EJ153*VLOOKUP('Données projet'!$B$15,Paramètres!$A$1:$I$89,3,0)*VLOOKUP('Données projet'!$B$15,Paramètres!$A$1:$I$89,5,0)</f>
        <v>1.0049916454590858E-13</v>
      </c>
      <c r="EL153" s="13">
        <f t="shared" si="153"/>
        <v>1.5089081593838289E-12</v>
      </c>
      <c r="EM153" s="20">
        <f t="shared" si="127"/>
        <v>2.8030510891776262E-12</v>
      </c>
      <c r="EN153" s="59">
        <f t="shared" si="128"/>
        <v>287.55626270985459</v>
      </c>
      <c r="EO153" s="59">
        <f ca="1">AVERAGE(OFFSET($EN$3,0,0,'Données projet'!$E$15+1,1))-AVERAGE(OFFSET($H$3,0,0,'Données projet'!$E$15+1,1))</f>
        <v>339.23049610652492</v>
      </c>
      <c r="EP153" s="59">
        <f t="shared" si="154"/>
        <v>448.85057640789785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27.768299845036246</v>
      </c>
      <c r="EW153" s="21">
        <f>EXP(-LN(2)/25)*EW152+(1-EXP(-LN(2)/25))/(LN(2)/25)*Calculateur!ER153*Calculateur!ET153*VLOOKUP('Données projet'!$B$15,Paramètres!$A$1:$I$89,3,0)*0.475*44/12</f>
        <v>9.6821969206671721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37.45049676570342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6.2527760746888816E-13</v>
      </c>
      <c r="FF153" s="17">
        <f>FE153*VLOOKUP('Données projet'!$B$16,Paramètres!$A$1:$I$89,3,0)*VLOOKUP('Données projet'!$B$16,Paramètres!$A$1:$I$89,5,0)</f>
        <v>2.9262992029543964E-13</v>
      </c>
      <c r="FG153" s="13">
        <f t="shared" si="155"/>
        <v>3.8796387982050903E-12</v>
      </c>
      <c r="FH153" s="20">
        <f t="shared" si="130"/>
        <v>7.2667013513884219E-12</v>
      </c>
      <c r="FI153" s="59">
        <f t="shared" si="131"/>
        <v>287.55626270985908</v>
      </c>
      <c r="FJ153" s="59">
        <f ca="1">AVERAGE(OFFSET($FI$3,0,0,'Données projet'!$E$16+1,1))-AVERAGE(OFFSET($H$3,0,0,'Données projet'!$E$16+1,1))</f>
        <v>365.63278362856033</v>
      </c>
      <c r="FK153" s="59">
        <f t="shared" si="156"/>
        <v>290.68267842697452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118.27786053909416</v>
      </c>
      <c r="FR153" s="21">
        <f>EXP(-LN(2)/25)*FR152+(1-EXP(-LN(2)/25))/(LN(2)/25)*Calculateur!FM153*Calculateur!FO153*VLOOKUP('Données projet'!$B$16,Paramètres!$A$1:$I$89,3,0)*0.475*44/12</f>
        <v>38.283679883296479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156.56154042239064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2.2737367544323206E-13</v>
      </c>
      <c r="GA153" s="17">
        <f>FZ153*VLOOKUP('Données projet'!$B$17,Paramètres!$A$1:$I$89,3,0)*VLOOKUP('Données projet'!$B$17,Paramètres!$A$1:$I$89,5,0)</f>
        <v>1.9508661353029313E-13</v>
      </c>
      <c r="GB153" s="13">
        <f t="shared" si="157"/>
        <v>2.711421636700695E-12</v>
      </c>
      <c r="GC153" s="20">
        <f t="shared" si="133"/>
        <v>5.0621685358189711E-12</v>
      </c>
      <c r="GD153" s="59">
        <f t="shared" si="134"/>
        <v>287.55626270985687</v>
      </c>
      <c r="GE153" s="59">
        <f ca="1">AVERAGE(OFFSET($GD$3,0,0,'Données projet'!$E$17+1,1))-AVERAGE(OFFSET($H$3,0,0,'Données projet'!$E$17+1,1))</f>
        <v>460.46300302025099</v>
      </c>
      <c r="GF153" s="59">
        <f t="shared" si="158"/>
        <v>340.22534554615879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142.89158751167358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142.89158751167358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68.424435284505037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1.1368683772161603E-13</v>
      </c>
      <c r="GV153" s="17">
        <f>GU153*VLOOKUP('Données projet'!$B$18,Paramètres!$A$1:$I$89,3,0)*VLOOKUP('Données projet'!$B$18,Paramètres!$A$1:$I$89,5,0)</f>
        <v>6.7984728957526396E-14</v>
      </c>
      <c r="GW153" s="13">
        <f t="shared" si="159"/>
        <v>1.0682447123141398E-12</v>
      </c>
      <c r="GX153" s="20">
        <f t="shared" si="136"/>
        <v>1.978932943548152E-12</v>
      </c>
      <c r="GY153" s="59">
        <f t="shared" si="137"/>
        <v>287.5562627098538</v>
      </c>
      <c r="GZ153" s="59">
        <f ca="1">AVERAGE(OFFSET($GY$3,0,0,'Données projet'!$E$18+1,1))-AVERAGE(OFFSET($H$3,0,0,'Données projet'!$E$18+1,1))</f>
        <v>-15.950000000000017</v>
      </c>
      <c r="HA153" s="59">
        <f t="shared" si="160"/>
        <v>-15.950000000000017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25.918481371234765</v>
      </c>
      <c r="HH153" s="21">
        <f>EXP(-LN(2)/25)*HH152+(1-EXP(-LN(2)/25))/(LN(2)/25)*Calculateur!HC153*Calculateur!HE153*VLOOKUP('Données projet'!$B$18,Paramètres!$A$1:$I$89,3,0)*0.475*44/12</f>
        <v>8.4204539236114595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34.338935294846223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4.3499999999999996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15.949999999999998</v>
      </c>
      <c r="H154" s="67">
        <f t="shared" si="110"/>
        <v>192.86666666666667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-9.9316821433603781E-14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433.46721010558042</v>
      </c>
      <c r="T154" s="59">
        <f t="shared" si="142"/>
        <v>306.18862295347509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36.672081287530013</v>
      </c>
      <c r="AA154" s="21">
        <f>EXP(-LN(2)/25)*AA153+(1-EXP(-LN(2)/25))/(LN(2)/25)*Calculateur!V154*Calculateur!X154*VLOOKUP('Données projet'!$B$9,Paramètres!$A$1:$I$89,3,0)*0.475*44/12</f>
        <v>10.080227965318707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46.752309252848718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287.65648196957613</v>
      </c>
      <c r="AN154" s="59">
        <f ca="1">AVERAGE(OFFSET($AM$3,0,0,'Données projet'!$E$10+1,1))-AVERAGE(OFFSET($H$3,0,0,'Données projet'!$E$10+1,1))</f>
        <v>400.1942260113168</v>
      </c>
      <c r="AO154" s="59">
        <f t="shared" si="144"/>
        <v>497.04866930593926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25.410235760257507</v>
      </c>
      <c r="AV154" s="21">
        <f>EXP(-LN(2)/25)*AV153+(1-EXP(-LN(2)/25))/(LN(2)/25)*Calculateur!AQ154*Calculateur!AS154*VLOOKUP('Données projet'!$B$10,Paramètres!$A$1:$I$89,3,0)*0.475*44/12</f>
        <v>8.1901961682578772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33.600431928515384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284.78505691662588</v>
      </c>
      <c r="BJ154" s="59">
        <f t="shared" si="146"/>
        <v>664.42623058686308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380.64318988568527</v>
      </c>
      <c r="CE154" s="59">
        <f t="shared" si="148"/>
        <v>885.24651320439159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14.498934315368665</v>
      </c>
      <c r="CL154" s="21">
        <f>EXP(-LN(2)/25)*CL153+(1-EXP(-LN(2)/25))/(LN(2)/25)*Calculateur!CG154*Calculateur!CI154*VLOOKUP('Données projet'!$B$12,Paramètres!$A$1:$I$89,3,0)*0.475*44/12</f>
        <v>1.4307000935630285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15.929634408931694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-6.3550942286383367E-14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404.10467005188889</v>
      </c>
      <c r="CZ154" s="59">
        <f t="shared" si="150"/>
        <v>372.70490129557845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47.475772641929105</v>
      </c>
      <c r="DG154" s="21">
        <f>EXP(-LN(2)/25)*DG153+(1-EXP(-LN(2)/25))/(LN(2)/25)*Calculateur!DB154*Calculateur!DD154*VLOOKUP('Données projet'!$B$13,Paramètres!$A$1:$I$89,3,0)*0.475*44/12</f>
        <v>13.788735152242534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61.264507794171635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6.6125000000000016</v>
      </c>
      <c r="DO154" s="12">
        <f>IF('Données projet'!$A$166&gt;35,DO153+DN154-DW153,IF(A154&lt;'Données projet'!$A$166,$DL$205^A154,IF(A154='Données projet'!$A$166,'Données projet'!$B$166,DO153+DN154-DW153)))</f>
        <v>330.59750000000025</v>
      </c>
      <c r="DP154" s="17">
        <f>DO154*VLOOKUP('Données projet'!$B$14,Paramètres!$A$1:$I$89,3,0)*VLOOKUP('Données projet'!$B$14,Paramètres!$A$1:$I$89,5,0)</f>
        <v>299.12461800000023</v>
      </c>
      <c r="DQ154" s="13">
        <f t="shared" ref="DQ154:DQ203" si="176">EXP(-1.0587+0.8836*LN(DP154)+0.284)</f>
        <v>70.992918585752577</v>
      </c>
      <c r="DR154" s="20">
        <f t="shared" ref="DR154:DR203" si="177">(DP154+DQ154)*0.475*44/12</f>
        <v>644.62137622018611</v>
      </c>
      <c r="DS154" s="59">
        <f t="shared" si="125"/>
        <v>932.27785818976031</v>
      </c>
      <c r="DT154" s="59">
        <f ca="1">AVERAGE(OFFSET($DS$3,0,0,'Données projet'!$E$14+1,1))-AVERAGE(OFFSET($H$3,0,0,'Données projet'!$E$14+1,1))</f>
        <v>479.53113328461268</v>
      </c>
      <c r="DU154" s="59">
        <f t="shared" si="152"/>
        <v>244.6360664588118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47.113264922707643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47.113264922707643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2.2737367544323206E-13</v>
      </c>
      <c r="EK154" s="17">
        <f>EJ154*VLOOKUP('Données projet'!$B$15,Paramètres!$A$1:$I$89,3,0)*VLOOKUP('Données projet'!$B$15,Paramètres!$A$1:$I$89,5,0)</f>
        <v>1.0049916454590858E-13</v>
      </c>
      <c r="EL154" s="13">
        <f t="shared" ref="EL154:EL203" si="179">EXP(-1.0587+0.8836*LN(EK154)+0.284)</f>
        <v>1.5089081593838289E-12</v>
      </c>
      <c r="EM154" s="20">
        <f t="shared" ref="EM154:EM203" si="180">(EK154+EL154)*0.475*44/12</f>
        <v>2.8030510891776262E-12</v>
      </c>
      <c r="EN154" s="59">
        <f t="shared" si="128"/>
        <v>287.65648196957693</v>
      </c>
      <c r="EO154" s="59">
        <f ca="1">AVERAGE(OFFSET($EN$3,0,0,'Données projet'!$E$15+1,1))-AVERAGE(OFFSET($H$3,0,0,'Données projet'!$E$15+1,1))</f>
        <v>339.23049610652492</v>
      </c>
      <c r="EP154" s="59">
        <f t="shared" si="154"/>
        <v>448.85057640789785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27.223780422065602</v>
      </c>
      <c r="EW154" s="21">
        <f>EXP(-LN(2)/25)*EW153+(1-EXP(-LN(2)/25))/(LN(2)/25)*Calculateur!ER154*Calculateur!ET154*VLOOKUP('Données projet'!$B$15,Paramètres!$A$1:$I$89,3,0)*0.475*44/12</f>
        <v>9.4174367367069216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36.64121715877252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6.2527760746888816E-13</v>
      </c>
      <c r="FF154" s="17">
        <f>FE154*VLOOKUP('Données projet'!$B$16,Paramètres!$A$1:$I$89,3,0)*VLOOKUP('Données projet'!$B$16,Paramètres!$A$1:$I$89,5,0)</f>
        <v>2.9262992029543964E-13</v>
      </c>
      <c r="FG154" s="13">
        <f t="shared" ref="FG154:FG203" si="182">EXP(-1.0587+0.8836*LN(FF154)+0.284)</f>
        <v>3.8796387982050903E-12</v>
      </c>
      <c r="FH154" s="20">
        <f t="shared" ref="FH154:FH203" si="183">(FF154+FG154)*0.475*44/12</f>
        <v>7.2667013513884219E-12</v>
      </c>
      <c r="FI154" s="59">
        <f t="shared" si="131"/>
        <v>287.65648196958142</v>
      </c>
      <c r="FJ154" s="59">
        <f ca="1">AVERAGE(OFFSET($FI$3,0,0,'Données projet'!$E$16+1,1))-AVERAGE(OFFSET($H$3,0,0,'Données projet'!$E$16+1,1))</f>
        <v>365.63278362856033</v>
      </c>
      <c r="FK154" s="59">
        <f t="shared" si="156"/>
        <v>290.68267842697452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115.95850383629399</v>
      </c>
      <c r="FR154" s="21">
        <f>EXP(-LN(2)/25)*FR153+(1-EXP(-LN(2)/25))/(LN(2)/25)*Calculateur!FM154*Calculateur!FO154*VLOOKUP('Données projet'!$B$16,Paramètres!$A$1:$I$89,3,0)*0.475*44/12</f>
        <v>37.23681064363651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153.19531447993049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2.2737367544323206E-13</v>
      </c>
      <c r="GA154" s="17">
        <f>FZ154*VLOOKUP('Données projet'!$B$17,Paramètres!$A$1:$I$89,3,0)*VLOOKUP('Données projet'!$B$17,Paramètres!$A$1:$I$89,5,0)</f>
        <v>1.9508661353029313E-13</v>
      </c>
      <c r="GB154" s="13">
        <f t="shared" ref="GB154:GB203" si="185">EXP(-1.0587+0.8836*LN(GA154)+0.284)</f>
        <v>2.711421636700695E-12</v>
      </c>
      <c r="GC154" s="20">
        <f t="shared" ref="GC154:GC203" si="186">(GA154+GB154)*0.475*44/12</f>
        <v>5.0621685358189711E-12</v>
      </c>
      <c r="GD154" s="59">
        <f t="shared" si="134"/>
        <v>287.6564819695792</v>
      </c>
      <c r="GE154" s="59">
        <f ca="1">AVERAGE(OFFSET($GD$3,0,0,'Données projet'!$E$17+1,1))-AVERAGE(OFFSET($H$3,0,0,'Données projet'!$E$17+1,1))</f>
        <v>460.46300302025099</v>
      </c>
      <c r="GF154" s="59">
        <f t="shared" si="158"/>
        <v>340.22534554615879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140.08957063583216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140.08957063583216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68.451767809883862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1.1368683772161603E-13</v>
      </c>
      <c r="GV154" s="17">
        <f>GU154*VLOOKUP('Données projet'!$B$18,Paramètres!$A$1:$I$89,3,0)*VLOOKUP('Données projet'!$B$18,Paramètres!$A$1:$I$89,5,0)</f>
        <v>6.7984728957526396E-14</v>
      </c>
      <c r="GW154" s="13">
        <f t="shared" ref="GW154:GW203" si="188">EXP(-1.0587+0.8836*LN(GV154)+0.284)</f>
        <v>1.0682447123141398E-12</v>
      </c>
      <c r="GX154" s="20">
        <f t="shared" ref="GX154:GX203" si="189">(GV154+GW154)*0.475*44/12</f>
        <v>1.978932943548152E-12</v>
      </c>
      <c r="GY154" s="59">
        <f t="shared" si="137"/>
        <v>287.65648196957613</v>
      </c>
      <c r="GZ154" s="59">
        <f ca="1">AVERAGE(OFFSET($GY$3,0,0,'Données projet'!$E$18+1,1))-AVERAGE(OFFSET($H$3,0,0,'Données projet'!$E$18+1,1))</f>
        <v>-15.950000000000017</v>
      </c>
      <c r="HA154" s="59">
        <f t="shared" si="160"/>
        <v>-15.950000000000017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25.410235760257507</v>
      </c>
      <c r="HH154" s="21">
        <f>EXP(-LN(2)/25)*HH153+(1-EXP(-LN(2)/25))/(LN(2)/25)*Calculateur!HC154*Calculateur!HE154*VLOOKUP('Données projet'!$B$18,Paramètres!$A$1:$I$89,3,0)*0.475*44/12</f>
        <v>8.1901961682578772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33.600431928515384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4.3499999999999996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15.949999999999998</v>
      </c>
      <c r="H155" s="67">
        <f t="shared" si="110"/>
        <v>192.86666666666667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-9.9316821433603781E-14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433.46721010558042</v>
      </c>
      <c r="T155" s="59">
        <f t="shared" si="142"/>
        <v>306.18862295347509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35.952964141242504</v>
      </c>
      <c r="AA155" s="21">
        <f>EXP(-LN(2)/25)*AA154+(1-EXP(-LN(2)/25))/(LN(2)/25)*Calculateur!V155*Calculateur!X155*VLOOKUP('Données projet'!$B$9,Paramètres!$A$1:$I$89,3,0)*0.475*44/12</f>
        <v>9.8045836015109167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45.757547742753417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287.75496264919906</v>
      </c>
      <c r="AN155" s="59">
        <f ca="1">AVERAGE(OFFSET($AM$3,0,0,'Données projet'!$E$10+1,1))-AVERAGE(OFFSET($H$3,0,0,'Données projet'!$E$10+1,1))</f>
        <v>400.1942260113168</v>
      </c>
      <c r="AO155" s="59">
        <f t="shared" si="144"/>
        <v>497.04866930593926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24.911956535712299</v>
      </c>
      <c r="AV155" s="21">
        <f>EXP(-LN(2)/25)*AV154+(1-EXP(-LN(2)/25))/(LN(2)/25)*Calculateur!AQ155*Calculateur!AS155*VLOOKUP('Données projet'!$B$10,Paramètres!$A$1:$I$89,3,0)*0.475*44/12</f>
        <v>7.9662348233331679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32.878191359045466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284.78505691662588</v>
      </c>
      <c r="BJ155" s="59">
        <f t="shared" si="146"/>
        <v>664.42623058686308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380.64318988568527</v>
      </c>
      <c r="CE155" s="59">
        <f t="shared" si="148"/>
        <v>885.24651320439159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14.214619056920997</v>
      </c>
      <c r="CL155" s="21">
        <f>EXP(-LN(2)/25)*CL154+(1-EXP(-LN(2)/25))/(LN(2)/25)*Calculateur!CG155*Calculateur!CI155*VLOOKUP('Données projet'!$B$12,Paramètres!$A$1:$I$89,3,0)*0.475*44/12</f>
        <v>1.3915775242672994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15.606196581188296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-6.3550942286383367E-14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404.10467005188889</v>
      </c>
      <c r="CZ155" s="59">
        <f t="shared" si="150"/>
        <v>372.70490129557845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46.544801697782887</v>
      </c>
      <c r="DG155" s="21">
        <f>EXP(-LN(2)/25)*DG154+(1-EXP(-LN(2)/25))/(LN(2)/25)*Calculateur!DB155*Calculateur!DD155*VLOOKUP('Données projet'!$B$13,Paramètres!$A$1:$I$89,3,0)*0.475*44/12</f>
        <v>13.411681464386396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59.956483162169285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6.6125000000000016</v>
      </c>
      <c r="DO155" s="12">
        <f>IF('Données projet'!$A$166&gt;35,DO154+DN155-DW154,IF(A155&lt;'Données projet'!$A$166,$DL$205^A155,IF(A155='Données projet'!$A$166,'Données projet'!$B$166,DO154+DN155-DW154)))</f>
        <v>337.21000000000026</v>
      </c>
      <c r="DP155" s="17">
        <f>DO155*VLOOKUP('Données projet'!$B$14,Paramètres!$A$1:$I$89,3,0)*VLOOKUP('Données projet'!$B$14,Paramètres!$A$1:$I$89,5,0)</f>
        <v>305.1076080000002</v>
      </c>
      <c r="DQ155" s="13">
        <f t="shared" si="176"/>
        <v>72.246159978780582</v>
      </c>
      <c r="DR155" s="20">
        <f t="shared" si="177"/>
        <v>657.2244792297098</v>
      </c>
      <c r="DS155" s="59">
        <f t="shared" si="125"/>
        <v>944.97944187890687</v>
      </c>
      <c r="DT155" s="59">
        <f ca="1">AVERAGE(OFFSET($DS$3,0,0,'Données projet'!$E$14+1,1))-AVERAGE(OFFSET($H$3,0,0,'Données projet'!$E$14+1,1))</f>
        <v>479.53113328461268</v>
      </c>
      <c r="DU155" s="59">
        <f t="shared" si="152"/>
        <v>244.6360664588118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46.189402533827476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46.189402533827476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2.2737367544323206E-13</v>
      </c>
      <c r="EK155" s="17">
        <f>EJ155*VLOOKUP('Données projet'!$B$15,Paramètres!$A$1:$I$89,3,0)*VLOOKUP('Données projet'!$B$15,Paramètres!$A$1:$I$89,5,0)</f>
        <v>1.0049916454590858E-13</v>
      </c>
      <c r="EL155" s="13">
        <f t="shared" si="179"/>
        <v>1.5089081593838289E-12</v>
      </c>
      <c r="EM155" s="20">
        <f t="shared" si="180"/>
        <v>2.8030510891776262E-12</v>
      </c>
      <c r="EN155" s="59">
        <f t="shared" si="128"/>
        <v>287.75496264919985</v>
      </c>
      <c r="EO155" s="59">
        <f ca="1">AVERAGE(OFFSET($EN$3,0,0,'Données projet'!$E$15+1,1))-AVERAGE(OFFSET($H$3,0,0,'Données projet'!$E$15+1,1))</f>
        <v>339.23049610652492</v>
      </c>
      <c r="EP155" s="59">
        <f t="shared" si="154"/>
        <v>448.85057640789785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26.689938692855357</v>
      </c>
      <c r="EW155" s="21">
        <f>EXP(-LN(2)/25)*EW154+(1-EXP(-LN(2)/25))/(LN(2)/25)*Calculateur!ER155*Calculateur!ET155*VLOOKUP('Données projet'!$B$15,Paramètres!$A$1:$I$89,3,0)*0.475*44/12</f>
        <v>9.1599164339001966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35.849855126755557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6.2527760746888816E-13</v>
      </c>
      <c r="FF155" s="17">
        <f>FE155*VLOOKUP('Données projet'!$B$16,Paramètres!$A$1:$I$89,3,0)*VLOOKUP('Données projet'!$B$16,Paramètres!$A$1:$I$89,5,0)</f>
        <v>2.9262992029543964E-13</v>
      </c>
      <c r="FG155" s="13">
        <f t="shared" si="182"/>
        <v>3.8796387982050903E-12</v>
      </c>
      <c r="FH155" s="20">
        <f t="shared" si="183"/>
        <v>7.2667013513884219E-12</v>
      </c>
      <c r="FI155" s="59">
        <f t="shared" si="131"/>
        <v>287.75496264920434</v>
      </c>
      <c r="FJ155" s="59">
        <f ca="1">AVERAGE(OFFSET($FI$3,0,0,'Données projet'!$E$16+1,1))-AVERAGE(OFFSET($H$3,0,0,'Données projet'!$E$16+1,1))</f>
        <v>365.63278362856033</v>
      </c>
      <c r="FK155" s="59">
        <f t="shared" si="156"/>
        <v>290.68267842697452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113.68462830376782</v>
      </c>
      <c r="FR155" s="21">
        <f>EXP(-LN(2)/25)*FR154+(1-EXP(-LN(2)/25))/(LN(2)/25)*Calculateur!FM155*Calculateur!FO155*VLOOKUP('Données projet'!$B$16,Paramètres!$A$1:$I$89,3,0)*0.475*44/12</f>
        <v>36.2185680983875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149.90319640215532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2.2737367544323206E-13</v>
      </c>
      <c r="GA155" s="17">
        <f>FZ155*VLOOKUP('Données projet'!$B$17,Paramètres!$A$1:$I$89,3,0)*VLOOKUP('Données projet'!$B$17,Paramètres!$A$1:$I$89,5,0)</f>
        <v>1.9508661353029313E-13</v>
      </c>
      <c r="GB155" s="13">
        <f t="shared" si="185"/>
        <v>2.711421636700695E-12</v>
      </c>
      <c r="GC155" s="20">
        <f t="shared" si="186"/>
        <v>5.0621685358189711E-12</v>
      </c>
      <c r="GD155" s="59">
        <f t="shared" si="134"/>
        <v>287.75496264920213</v>
      </c>
      <c r="GE155" s="59">
        <f ca="1">AVERAGE(OFFSET($GD$3,0,0,'Données projet'!$E$17+1,1))-AVERAGE(OFFSET($H$3,0,0,'Données projet'!$E$17+1,1))</f>
        <v>460.46300302025099</v>
      </c>
      <c r="GF155" s="59">
        <f t="shared" si="158"/>
        <v>340.22534554615879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137.34249960186446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137.34249960186446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68.478626177053741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1.1368683772161603E-13</v>
      </c>
      <c r="GV155" s="17">
        <f>GU155*VLOOKUP('Données projet'!$B$18,Paramètres!$A$1:$I$89,3,0)*VLOOKUP('Données projet'!$B$18,Paramètres!$A$1:$I$89,5,0)</f>
        <v>6.7984728957526396E-14</v>
      </c>
      <c r="GW155" s="13">
        <f t="shared" si="188"/>
        <v>1.0682447123141398E-12</v>
      </c>
      <c r="GX155" s="20">
        <f t="shared" si="189"/>
        <v>1.978932943548152E-12</v>
      </c>
      <c r="GY155" s="59">
        <f t="shared" si="137"/>
        <v>287.75496264919906</v>
      </c>
      <c r="GZ155" s="59">
        <f ca="1">AVERAGE(OFFSET($GY$3,0,0,'Données projet'!$E$18+1,1))-AVERAGE(OFFSET($H$3,0,0,'Données projet'!$E$18+1,1))</f>
        <v>-15.950000000000017</v>
      </c>
      <c r="HA155" s="59">
        <f t="shared" si="160"/>
        <v>-15.950000000000017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24.911956535712299</v>
      </c>
      <c r="HH155" s="21">
        <f>EXP(-LN(2)/25)*HH154+(1-EXP(-LN(2)/25))/(LN(2)/25)*Calculateur!HC155*Calculateur!HE155*VLOOKUP('Données projet'!$B$18,Paramètres!$A$1:$I$89,3,0)*0.475*44/12</f>
        <v>7.9662348233331679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32.878191359045466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4.3499999999999996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15.949999999999998</v>
      </c>
      <c r="H156" s="67">
        <f t="shared" si="110"/>
        <v>192.86666666666667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-9.9316821433603781E-14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433.46721010558042</v>
      </c>
      <c r="T156" s="59">
        <f t="shared" si="142"/>
        <v>306.18862295347509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35.247948443575538</v>
      </c>
      <c r="AA156" s="21">
        <f>EXP(-LN(2)/25)*AA155+(1-EXP(-LN(2)/25))/(LN(2)/25)*Calculateur!V156*Calculateur!X156*VLOOKUP('Données projet'!$B$9,Paramètres!$A$1:$I$89,3,0)*0.475*44/12</f>
        <v>9.536476747326958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44.784425190902496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287.85173490920033</v>
      </c>
      <c r="AN156" s="59">
        <f ca="1">AVERAGE(OFFSET($AM$3,0,0,'Données projet'!$E$10+1,1))-AVERAGE(OFFSET($H$3,0,0,'Données projet'!$E$10+1,1))</f>
        <v>400.1942260113168</v>
      </c>
      <c r="AO156" s="59">
        <f t="shared" si="144"/>
        <v>497.04866930593926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24.423448262840108</v>
      </c>
      <c r="AV156" s="21">
        <f>EXP(-LN(2)/25)*AV155+(1-EXP(-LN(2)/25))/(LN(2)/25)*Calculateur!AQ156*Calculateur!AS156*VLOOKUP('Données projet'!$B$10,Paramètres!$A$1:$I$89,3,0)*0.475*44/12</f>
        <v>7.7483977131630404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32.171845976003148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284.78505691662588</v>
      </c>
      <c r="BJ156" s="59">
        <f t="shared" si="146"/>
        <v>664.42623058686308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380.64318988568527</v>
      </c>
      <c r="CE156" s="59">
        <f t="shared" si="148"/>
        <v>885.24651320439159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13.935879047276304</v>
      </c>
      <c r="CL156" s="21">
        <f>EXP(-LN(2)/25)*CL155+(1-EXP(-LN(2)/25))/(LN(2)/25)*Calculateur!CG156*Calculateur!CI156*VLOOKUP('Données projet'!$B$12,Paramètres!$A$1:$I$89,3,0)*0.475*44/12</f>
        <v>1.3535247636863286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15.289403810962632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-6.3550942286383367E-14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404.10467005188889</v>
      </c>
      <c r="CZ156" s="59">
        <f t="shared" si="150"/>
        <v>372.70490129557845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45.632086526015165</v>
      </c>
      <c r="DG156" s="21">
        <f>EXP(-LN(2)/25)*DG155+(1-EXP(-LN(2)/25))/(LN(2)/25)*Calculateur!DB156*Calculateur!DD156*VLOOKUP('Données projet'!$B$13,Paramètres!$A$1:$I$89,3,0)*0.475*44/12</f>
        <v>13.044938329453075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58.67702485546824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6.6125000000000016</v>
      </c>
      <c r="DO156" s="12">
        <f>IF('Données projet'!$A$166&gt;35,DO155+DN156-DW155,IF(A156&lt;'Données projet'!$A$166,$DL$205^A156,IF(A156='Données projet'!$A$166,'Données projet'!$B$166,DO155+DN156-DW155)))</f>
        <v>343.82250000000028</v>
      </c>
      <c r="DP156" s="17">
        <f>DO156*VLOOKUP('Données projet'!$B$14,Paramètres!$A$1:$I$89,3,0)*VLOOKUP('Données projet'!$B$14,Paramètres!$A$1:$I$89,5,0)</f>
        <v>311.09059800000028</v>
      </c>
      <c r="DQ156" s="13">
        <f t="shared" si="176"/>
        <v>73.496543867977763</v>
      </c>
      <c r="DR156" s="20">
        <f t="shared" si="177"/>
        <v>669.82260542006179</v>
      </c>
      <c r="DS156" s="59">
        <f t="shared" si="125"/>
        <v>957.67434032926008</v>
      </c>
      <c r="DT156" s="59">
        <f ca="1">AVERAGE(OFFSET($DS$3,0,0,'Données projet'!$E$14+1,1))-AVERAGE(OFFSET($H$3,0,0,'Données projet'!$E$14+1,1))</f>
        <v>479.53113328461268</v>
      </c>
      <c r="DU156" s="59">
        <f t="shared" si="152"/>
        <v>244.6360664588118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45.283656522892834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45.283656522892834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2.2737367544323206E-13</v>
      </c>
      <c r="EK156" s="17">
        <f>EJ156*VLOOKUP('Données projet'!$B$15,Paramètres!$A$1:$I$89,3,0)*VLOOKUP('Données projet'!$B$15,Paramètres!$A$1:$I$89,5,0)</f>
        <v>1.0049916454590858E-13</v>
      </c>
      <c r="EL156" s="13">
        <f t="shared" si="179"/>
        <v>1.5089081593838289E-12</v>
      </c>
      <c r="EM156" s="20">
        <f t="shared" si="180"/>
        <v>2.8030510891776262E-12</v>
      </c>
      <c r="EN156" s="59">
        <f t="shared" si="128"/>
        <v>287.85173490920113</v>
      </c>
      <c r="EO156" s="59">
        <f ca="1">AVERAGE(OFFSET($EN$3,0,0,'Données projet'!$E$15+1,1))-AVERAGE(OFFSET($H$3,0,0,'Données projet'!$E$15+1,1))</f>
        <v>339.23049610652492</v>
      </c>
      <c r="EP156" s="59">
        <f t="shared" si="154"/>
        <v>448.85057640789785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26.166565274343622</v>
      </c>
      <c r="EW156" s="21">
        <f>EXP(-LN(2)/25)*EW155+(1-EXP(-LN(2)/25))/(LN(2)/25)*Calculateur!ER156*Calculateur!ET156*VLOOKUP('Données projet'!$B$15,Paramètres!$A$1:$I$89,3,0)*0.475*44/12</f>
        <v>8.909438037316125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35.076003311659747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6.2527760746888816E-13</v>
      </c>
      <c r="FF156" s="17">
        <f>FE156*VLOOKUP('Données projet'!$B$16,Paramètres!$A$1:$I$89,3,0)*VLOOKUP('Données projet'!$B$16,Paramètres!$A$1:$I$89,5,0)</f>
        <v>2.9262992029543964E-13</v>
      </c>
      <c r="FG156" s="13">
        <f t="shared" si="182"/>
        <v>3.8796387982050903E-12</v>
      </c>
      <c r="FH156" s="20">
        <f t="shared" si="183"/>
        <v>7.2667013513884219E-12</v>
      </c>
      <c r="FI156" s="59">
        <f t="shared" si="131"/>
        <v>287.85173490920562</v>
      </c>
      <c r="FJ156" s="59">
        <f ca="1">AVERAGE(OFFSET($FI$3,0,0,'Données projet'!$E$16+1,1))-AVERAGE(OFFSET($H$3,0,0,'Données projet'!$E$16+1,1))</f>
        <v>365.63278362856033</v>
      </c>
      <c r="FK156" s="59">
        <f t="shared" si="156"/>
        <v>290.68267842697452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111.45534208350738</v>
      </c>
      <c r="FR156" s="21">
        <f>EXP(-LN(2)/25)*FR155+(1-EXP(-LN(2)/25))/(LN(2)/25)*Calculateur!FM156*Calculateur!FO156*VLOOKUP('Données projet'!$B$16,Paramètres!$A$1:$I$89,3,0)*0.475*44/12</f>
        <v>35.228169449085378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146.68351153259275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2.2737367544323206E-13</v>
      </c>
      <c r="GA156" s="17">
        <f>FZ156*VLOOKUP('Données projet'!$B$17,Paramètres!$A$1:$I$89,3,0)*VLOOKUP('Données projet'!$B$17,Paramètres!$A$1:$I$89,5,0)</f>
        <v>1.9508661353029313E-13</v>
      </c>
      <c r="GB156" s="13">
        <f t="shared" si="185"/>
        <v>2.711421636700695E-12</v>
      </c>
      <c r="GC156" s="20">
        <f t="shared" si="186"/>
        <v>5.0621685358189711E-12</v>
      </c>
      <c r="GD156" s="59">
        <f t="shared" si="134"/>
        <v>287.8517349092034</v>
      </c>
      <c r="GE156" s="59">
        <f ca="1">AVERAGE(OFFSET($GD$3,0,0,'Données projet'!$E$17+1,1))-AVERAGE(OFFSET($H$3,0,0,'Données projet'!$E$17+1,1))</f>
        <v>460.46300302025099</v>
      </c>
      <c r="GF156" s="59">
        <f t="shared" si="158"/>
        <v>340.22534554615879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134.64929695532498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134.64929695532498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68.505018611599553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1.1368683772161603E-13</v>
      </c>
      <c r="GV156" s="17">
        <f>GU156*VLOOKUP('Données projet'!$B$18,Paramètres!$A$1:$I$89,3,0)*VLOOKUP('Données projet'!$B$18,Paramètres!$A$1:$I$89,5,0)</f>
        <v>6.7984728957526396E-14</v>
      </c>
      <c r="GW156" s="13">
        <f t="shared" si="188"/>
        <v>1.0682447123141398E-12</v>
      </c>
      <c r="GX156" s="20">
        <f t="shared" si="189"/>
        <v>1.978932943548152E-12</v>
      </c>
      <c r="GY156" s="59">
        <f t="shared" si="137"/>
        <v>287.85173490920033</v>
      </c>
      <c r="GZ156" s="59">
        <f ca="1">AVERAGE(OFFSET($GY$3,0,0,'Données projet'!$E$18+1,1))-AVERAGE(OFFSET($H$3,0,0,'Données projet'!$E$18+1,1))</f>
        <v>-15.950000000000017</v>
      </c>
      <c r="HA156" s="59">
        <f t="shared" si="160"/>
        <v>-15.950000000000017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24.423448262840108</v>
      </c>
      <c r="HH156" s="21">
        <f>EXP(-LN(2)/25)*HH155+(1-EXP(-LN(2)/25))/(LN(2)/25)*Calculateur!HC156*Calculateur!HE156*VLOOKUP('Données projet'!$B$18,Paramètres!$A$1:$I$89,3,0)*0.475*44/12</f>
        <v>7.7483977131630404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32.171845976003148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4.3499999999999996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15.949999999999998</v>
      </c>
      <c r="H157" s="67">
        <f t="shared" si="110"/>
        <v>192.86666666666667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-9.9316821433603781E-14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433.46721010558042</v>
      </c>
      <c r="T157" s="59">
        <f t="shared" si="142"/>
        <v>306.18862295347509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34.556757673722707</v>
      </c>
      <c r="AA157" s="21">
        <f>EXP(-LN(2)/25)*AA156+(1-EXP(-LN(2)/25))/(LN(2)/25)*Calculateur!V157*Calculateur!X157*VLOOKUP('Données projet'!$B$9,Paramètres!$A$1:$I$89,3,0)*0.475*44/12</f>
        <v>9.2757012891697865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43.832458962892495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287.94682838684093</v>
      </c>
      <c r="AN157" s="59">
        <f ca="1">AVERAGE(OFFSET($AM$3,0,0,'Données projet'!$E$10+1,1))-AVERAGE(OFFSET($H$3,0,0,'Données projet'!$E$10+1,1))</f>
        <v>400.1942260113168</v>
      </c>
      <c r="AO157" s="59">
        <f t="shared" si="144"/>
        <v>497.04866930593926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23.944519339238312</v>
      </c>
      <c r="AV157" s="21">
        <f>EXP(-LN(2)/25)*AV156+(1-EXP(-LN(2)/25))/(LN(2)/25)*Calculateur!AQ157*Calculateur!AS157*VLOOKUP('Données projet'!$B$10,Paramètres!$A$1:$I$89,3,0)*0.475*44/12</f>
        <v>7.5365173702260702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31.481036709464384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284.78505691662588</v>
      </c>
      <c r="BJ157" s="59">
        <f t="shared" si="146"/>
        <v>664.42623058686308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380.64318988568527</v>
      </c>
      <c r="CE157" s="59">
        <f t="shared" si="148"/>
        <v>885.24651320439159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13.662604959206124</v>
      </c>
      <c r="CL157" s="21">
        <f>EXP(-LN(2)/25)*CL156+(1-EXP(-LN(2)/25))/(LN(2)/25)*Calculateur!CG157*Calculateur!CI157*VLOOKUP('Données projet'!$B$12,Paramètres!$A$1:$I$89,3,0)*0.475*44/12</f>
        <v>1.316512557844552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14.979117517050677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-6.3550942286383367E-14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404.10467005188889</v>
      </c>
      <c r="CZ157" s="59">
        <f t="shared" si="150"/>
        <v>372.70490129557845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44.737269142064527</v>
      </c>
      <c r="DG157" s="21">
        <f>EXP(-LN(2)/25)*DG156+(1-EXP(-LN(2)/25))/(LN(2)/25)*Calculateur!DB157*Calculateur!DD157*VLOOKUP('Données projet'!$B$13,Paramètres!$A$1:$I$89,3,0)*0.475*44/12</f>
        <v>12.688223804830688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57.425492946895218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6.6125000000000016</v>
      </c>
      <c r="DO157" s="12">
        <f>IF('Données projet'!$A$166&gt;35,DO156+DN157-DW156,IF(A157&lt;'Données projet'!$A$166,$DL$205^A157,IF(A157='Données projet'!$A$166,'Données projet'!$B$166,DO156+DN157-DW156)))</f>
        <v>350.43500000000029</v>
      </c>
      <c r="DP157" s="17">
        <f>DO157*VLOOKUP('Données projet'!$B$14,Paramètres!$A$1:$I$89,3,0)*VLOOKUP('Données projet'!$B$14,Paramètres!$A$1:$I$89,5,0)</f>
        <v>317.07358800000026</v>
      </c>
      <c r="DQ157" s="13">
        <f t="shared" si="176"/>
        <v>74.744131545660466</v>
      </c>
      <c r="DR157" s="20">
        <f t="shared" si="177"/>
        <v>682.41586154202571</v>
      </c>
      <c r="DS157" s="59">
        <f t="shared" si="125"/>
        <v>970.36268992886471</v>
      </c>
      <c r="DT157" s="59">
        <f ca="1">AVERAGE(OFFSET($DS$3,0,0,'Données projet'!$E$14+1,1))-AVERAGE(OFFSET($H$3,0,0,'Données projet'!$E$14+1,1))</f>
        <v>479.53113328461268</v>
      </c>
      <c r="DU157" s="59">
        <f t="shared" si="152"/>
        <v>244.6360664588118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44.395671638782105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44.395671638782105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2.2737367544323206E-13</v>
      </c>
      <c r="EK157" s="17">
        <f>EJ157*VLOOKUP('Données projet'!$B$15,Paramètres!$A$1:$I$89,3,0)*VLOOKUP('Données projet'!$B$15,Paramètres!$A$1:$I$89,5,0)</f>
        <v>1.0049916454590858E-13</v>
      </c>
      <c r="EL157" s="13">
        <f t="shared" si="179"/>
        <v>1.5089081593838289E-12</v>
      </c>
      <c r="EM157" s="20">
        <f t="shared" si="180"/>
        <v>2.8030510891776262E-12</v>
      </c>
      <c r="EN157" s="59">
        <f t="shared" si="128"/>
        <v>287.94682838684173</v>
      </c>
      <c r="EO157" s="59">
        <f ca="1">AVERAGE(OFFSET($EN$3,0,0,'Données projet'!$E$15+1,1))-AVERAGE(OFFSET($H$3,0,0,'Données projet'!$E$15+1,1))</f>
        <v>339.23049610652492</v>
      </c>
      <c r="EP157" s="59">
        <f t="shared" si="154"/>
        <v>448.85057640789785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25.65345488934264</v>
      </c>
      <c r="EW157" s="21">
        <f>EXP(-LN(2)/25)*EW156+(1-EXP(-LN(2)/25))/(LN(2)/25)*Calculateur!ER157*Calculateur!ET157*VLOOKUP('Données projet'!$B$15,Paramètres!$A$1:$I$89,3,0)*0.475*44/12</f>
        <v>8.6658089856587317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34.319263875001369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6.2527760746888816E-13</v>
      </c>
      <c r="FF157" s="17">
        <f>FE157*VLOOKUP('Données projet'!$B$16,Paramètres!$A$1:$I$89,3,0)*VLOOKUP('Données projet'!$B$16,Paramètres!$A$1:$I$89,5,0)</f>
        <v>2.9262992029543964E-13</v>
      </c>
      <c r="FG157" s="13">
        <f t="shared" si="182"/>
        <v>3.8796387982050903E-12</v>
      </c>
      <c r="FH157" s="20">
        <f t="shared" si="183"/>
        <v>7.2667013513884219E-12</v>
      </c>
      <c r="FI157" s="59">
        <f t="shared" si="131"/>
        <v>287.94682838684622</v>
      </c>
      <c r="FJ157" s="59">
        <f ca="1">AVERAGE(OFFSET($FI$3,0,0,'Données projet'!$E$16+1,1))-AVERAGE(OFFSET($H$3,0,0,'Données projet'!$E$16+1,1))</f>
        <v>365.63278362856033</v>
      </c>
      <c r="FK157" s="59">
        <f t="shared" si="156"/>
        <v>290.68267842697452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109.2697708062959</v>
      </c>
      <c r="FR157" s="21">
        <f>EXP(-LN(2)/25)*FR156+(1-EXP(-LN(2)/25))/(LN(2)/25)*Calculateur!FM157*Calculateur!FO157*VLOOKUP('Données projet'!$B$16,Paramètres!$A$1:$I$89,3,0)*0.475*44/12</f>
        <v>34.264853302931222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143.53462410922711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2.2737367544323206E-13</v>
      </c>
      <c r="GA157" s="17">
        <f>FZ157*VLOOKUP('Données projet'!$B$17,Paramètres!$A$1:$I$89,3,0)*VLOOKUP('Données projet'!$B$17,Paramètres!$A$1:$I$89,5,0)</f>
        <v>1.9508661353029313E-13</v>
      </c>
      <c r="GB157" s="13">
        <f t="shared" si="185"/>
        <v>2.711421636700695E-12</v>
      </c>
      <c r="GC157" s="20">
        <f t="shared" si="186"/>
        <v>5.0621685358189711E-12</v>
      </c>
      <c r="GD157" s="59">
        <f t="shared" si="134"/>
        <v>287.946828386844</v>
      </c>
      <c r="GE157" s="59">
        <f ca="1">AVERAGE(OFFSET($GD$3,0,0,'Données projet'!$E$17+1,1))-AVERAGE(OFFSET($H$3,0,0,'Données projet'!$E$17+1,1))</f>
        <v>460.46300302025099</v>
      </c>
      <c r="GF157" s="59">
        <f t="shared" si="158"/>
        <v>340.22534554615879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132.00890636999273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132.00890636999273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68.530953196410621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1.1368683772161603E-13</v>
      </c>
      <c r="GV157" s="17">
        <f>GU157*VLOOKUP('Données projet'!$B$18,Paramètres!$A$1:$I$89,3,0)*VLOOKUP('Données projet'!$B$18,Paramètres!$A$1:$I$89,5,0)</f>
        <v>6.7984728957526396E-14</v>
      </c>
      <c r="GW157" s="13">
        <f t="shared" si="188"/>
        <v>1.0682447123141398E-12</v>
      </c>
      <c r="GX157" s="20">
        <f t="shared" si="189"/>
        <v>1.978932943548152E-12</v>
      </c>
      <c r="GY157" s="59">
        <f t="shared" si="137"/>
        <v>287.94682838684093</v>
      </c>
      <c r="GZ157" s="59">
        <f ca="1">AVERAGE(OFFSET($GY$3,0,0,'Données projet'!$E$18+1,1))-AVERAGE(OFFSET($H$3,0,0,'Données projet'!$E$18+1,1))</f>
        <v>-15.950000000000017</v>
      </c>
      <c r="HA157" s="59">
        <f t="shared" si="160"/>
        <v>-15.950000000000017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23.944519339238312</v>
      </c>
      <c r="HH157" s="21">
        <f>EXP(-LN(2)/25)*HH156+(1-EXP(-LN(2)/25))/(LN(2)/25)*Calculateur!HC157*Calculateur!HE157*VLOOKUP('Données projet'!$B$18,Paramètres!$A$1:$I$89,3,0)*0.475*44/12</f>
        <v>7.5365173702260702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31.481036709464384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4.3499999999999996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15.949999999999998</v>
      </c>
      <c r="H158" s="67">
        <f t="shared" si="110"/>
        <v>192.86666666666667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-9.9316821433603781E-14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433.46721010558042</v>
      </c>
      <c r="T158" s="59">
        <f t="shared" si="142"/>
        <v>306.18862295347509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33.879120733281951</v>
      </c>
      <c r="AA158" s="21">
        <f>EXP(-LN(2)/25)*AA157+(1-EXP(-LN(2)/25))/(LN(2)/25)*Calculateur!V158*Calculateur!X158*VLOOKUP('Données projet'!$B$9,Paramètres!$A$1:$I$89,3,0)*0.475*44/12</f>
        <v>9.0220567496295079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42.901177482911457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288.04027220524159</v>
      </c>
      <c r="AN158" s="59">
        <f ca="1">AVERAGE(OFFSET($AM$3,0,0,'Données projet'!$E$10+1,1))-AVERAGE(OFFSET($H$3,0,0,'Données projet'!$E$10+1,1))</f>
        <v>400.1942260113168</v>
      </c>
      <c r="AO158" s="59">
        <f t="shared" si="144"/>
        <v>497.04866930593926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23.474981919710551</v>
      </c>
      <c r="AV158" s="21">
        <f>EXP(-LN(2)/25)*AV157+(1-EXP(-LN(2)/25))/(LN(2)/25)*Calculateur!AQ158*Calculateur!AS158*VLOOKUP('Données projet'!$B$10,Paramètres!$A$1:$I$89,3,0)*0.475*44/12</f>
        <v>7.3304309064090143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30.805412826119564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284.78505691662588</v>
      </c>
      <c r="BJ158" s="59">
        <f t="shared" si="146"/>
        <v>664.42623058686308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380.64318988568527</v>
      </c>
      <c r="CE158" s="59">
        <f t="shared" si="148"/>
        <v>885.24651320439159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13.394689609322265</v>
      </c>
      <c r="CL158" s="21">
        <f>EXP(-LN(2)/25)*CL157+(1-EXP(-LN(2)/25))/(LN(2)/25)*Calculateur!CG158*Calculateur!CI158*VLOOKUP('Données projet'!$B$12,Paramètres!$A$1:$I$89,3,0)*0.475*44/12</f>
        <v>1.2805124527179061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14.675202062040171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-6.3550942286383367E-14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404.10467005188889</v>
      </c>
      <c r="CZ158" s="59">
        <f t="shared" si="150"/>
        <v>372.70490129557845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43.859998581228446</v>
      </c>
      <c r="DG158" s="21">
        <f>EXP(-LN(2)/25)*DG157+(1-EXP(-LN(2)/25))/(LN(2)/25)*Calculateur!DB158*Calculateur!DD158*VLOOKUP('Données projet'!$B$13,Paramètres!$A$1:$I$89,3,0)*0.475*44/12</f>
        <v>12.341263657642902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56.201262238871351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6.6125000000000016</v>
      </c>
      <c r="DO158" s="12">
        <f>IF('Données projet'!$A$166&gt;35,DO157+DN158-DW157,IF(A158&lt;'Données projet'!$A$166,$DL$205^A158,IF(A158='Données projet'!$A$166,'Données projet'!$B$166,DO157+DN158-DW157)))</f>
        <v>357.0475000000003</v>
      </c>
      <c r="DP158" s="17">
        <f>DO158*VLOOKUP('Données projet'!$B$14,Paramètres!$A$1:$I$89,3,0)*VLOOKUP('Données projet'!$B$14,Paramètres!$A$1:$I$89,5,0)</f>
        <v>323.05657800000029</v>
      </c>
      <c r="DQ158" s="13">
        <f t="shared" si="176"/>
        <v>75.988981858674919</v>
      </c>
      <c r="DR158" s="20">
        <f t="shared" si="177"/>
        <v>695.00435008719262</v>
      </c>
      <c r="DS158" s="59">
        <f t="shared" si="125"/>
        <v>983.04462229243222</v>
      </c>
      <c r="DT158" s="59">
        <f ca="1">AVERAGE(OFFSET($DS$3,0,0,'Données projet'!$E$14+1,1))-AVERAGE(OFFSET($H$3,0,0,'Données projet'!$E$14+1,1))</f>
        <v>479.53113328461268</v>
      </c>
      <c r="DU158" s="59">
        <f t="shared" si="152"/>
        <v>244.6360664588118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43.525099596631492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43.525099596631492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2.2737367544323206E-13</v>
      </c>
      <c r="EK158" s="17">
        <f>EJ158*VLOOKUP('Données projet'!$B$15,Paramètres!$A$1:$I$89,3,0)*VLOOKUP('Données projet'!$B$15,Paramètres!$A$1:$I$89,5,0)</f>
        <v>1.0049916454590858E-13</v>
      </c>
      <c r="EL158" s="13">
        <f t="shared" si="179"/>
        <v>1.5089081593838289E-12</v>
      </c>
      <c r="EM158" s="20">
        <f t="shared" si="180"/>
        <v>2.8030510891776262E-12</v>
      </c>
      <c r="EN158" s="59">
        <f t="shared" si="128"/>
        <v>288.04027220524239</v>
      </c>
      <c r="EO158" s="59">
        <f ca="1">AVERAGE(OFFSET($EN$3,0,0,'Données projet'!$E$15+1,1))-AVERAGE(OFFSET($H$3,0,0,'Données projet'!$E$15+1,1))</f>
        <v>339.23049610652492</v>
      </c>
      <c r="EP158" s="59">
        <f t="shared" si="154"/>
        <v>448.85057640789785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25.150406286025095</v>
      </c>
      <c r="EW158" s="21">
        <f>EXP(-LN(2)/25)*EW157+(1-EXP(-LN(2)/25))/(LN(2)/25)*Calculateur!ER158*Calculateur!ET158*VLOOKUP('Données projet'!$B$15,Paramètres!$A$1:$I$89,3,0)*0.475*44/12</f>
        <v>8.4288419832308055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33.579248269255899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6.2527760746888816E-13</v>
      </c>
      <c r="FF158" s="17">
        <f>FE158*VLOOKUP('Données projet'!$B$16,Paramètres!$A$1:$I$89,3,0)*VLOOKUP('Données projet'!$B$16,Paramètres!$A$1:$I$89,5,0)</f>
        <v>2.9262992029543964E-13</v>
      </c>
      <c r="FG158" s="13">
        <f t="shared" si="182"/>
        <v>3.8796387982050903E-12</v>
      </c>
      <c r="FH158" s="20">
        <f t="shared" si="183"/>
        <v>7.2667013513884219E-12</v>
      </c>
      <c r="FI158" s="59">
        <f t="shared" si="131"/>
        <v>288.04027220524688</v>
      </c>
      <c r="FJ158" s="59">
        <f ca="1">AVERAGE(OFFSET($FI$3,0,0,'Données projet'!$E$16+1,1))-AVERAGE(OFFSET($H$3,0,0,'Données projet'!$E$16+1,1))</f>
        <v>365.63278362856033</v>
      </c>
      <c r="FK158" s="59">
        <f t="shared" si="156"/>
        <v>290.68267842697452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107.12705724876368</v>
      </c>
      <c r="FR158" s="21">
        <f>EXP(-LN(2)/25)*FR157+(1-EXP(-LN(2)/25))/(LN(2)/25)*Calculateur!FM158*Calculateur!FO158*VLOOKUP('Données projet'!$B$16,Paramètres!$A$1:$I$89,3,0)*0.475*44/12</f>
        <v>33.327879087452246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140.45493633621592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2.2737367544323206E-13</v>
      </c>
      <c r="GA158" s="17">
        <f>FZ158*VLOOKUP('Données projet'!$B$17,Paramètres!$A$1:$I$89,3,0)*VLOOKUP('Données projet'!$B$17,Paramètres!$A$1:$I$89,5,0)</f>
        <v>1.9508661353029313E-13</v>
      </c>
      <c r="GB158" s="13">
        <f t="shared" si="185"/>
        <v>2.711421636700695E-12</v>
      </c>
      <c r="GC158" s="20">
        <f t="shared" si="186"/>
        <v>5.0621685358189711E-12</v>
      </c>
      <c r="GD158" s="59">
        <f t="shared" si="134"/>
        <v>288.04027220524466</v>
      </c>
      <c r="GE158" s="59">
        <f ca="1">AVERAGE(OFFSET($GD$3,0,0,'Données projet'!$E$17+1,1))-AVERAGE(OFFSET($H$3,0,0,'Données projet'!$E$17+1,1))</f>
        <v>460.46300302025099</v>
      </c>
      <c r="GF158" s="59">
        <f t="shared" si="158"/>
        <v>340.22534554615879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129.42029223355962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129.42029223355962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68.556437874156259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1.1368683772161603E-13</v>
      </c>
      <c r="GV158" s="17">
        <f>GU158*VLOOKUP('Données projet'!$B$18,Paramètres!$A$1:$I$89,3,0)*VLOOKUP('Données projet'!$B$18,Paramètres!$A$1:$I$89,5,0)</f>
        <v>6.7984728957526396E-14</v>
      </c>
      <c r="GW158" s="13">
        <f t="shared" si="188"/>
        <v>1.0682447123141398E-12</v>
      </c>
      <c r="GX158" s="20">
        <f t="shared" si="189"/>
        <v>1.978932943548152E-12</v>
      </c>
      <c r="GY158" s="59">
        <f t="shared" si="137"/>
        <v>288.04027220524159</v>
      </c>
      <c r="GZ158" s="59">
        <f ca="1">AVERAGE(OFFSET($GY$3,0,0,'Données projet'!$E$18+1,1))-AVERAGE(OFFSET($H$3,0,0,'Données projet'!$E$18+1,1))</f>
        <v>-15.950000000000017</v>
      </c>
      <c r="HA158" s="59">
        <f t="shared" si="160"/>
        <v>-15.950000000000017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23.474981919710551</v>
      </c>
      <c r="HH158" s="21">
        <f>EXP(-LN(2)/25)*HH157+(1-EXP(-LN(2)/25))/(LN(2)/25)*Calculateur!HC158*Calculateur!HE158*VLOOKUP('Données projet'!$B$18,Paramètres!$A$1:$I$89,3,0)*0.475*44/12</f>
        <v>7.3304309064090143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30.805412826119564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4.3499999999999996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15.949999999999998</v>
      </c>
      <c r="H159" s="67">
        <f t="shared" si="110"/>
        <v>192.86666666666667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-9.9316821433603781E-14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433.46721010558042</v>
      </c>
      <c r="T159" s="59">
        <f t="shared" si="142"/>
        <v>306.18862295347509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33.214771839925518</v>
      </c>
      <c r="AA159" s="21">
        <f>EXP(-LN(2)/25)*AA158+(1-EXP(-LN(2)/25))/(LN(2)/25)*Calculateur!V159*Calculateur!X159*VLOOKUP('Données projet'!$B$9,Paramètres!$A$1:$I$89,3,0)*0.475*44/12</f>
        <v>8.7753481333615451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41.990119973287065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288.13209498230219</v>
      </c>
      <c r="AN159" s="59">
        <f ca="1">AVERAGE(OFFSET($AM$3,0,0,'Données projet'!$E$10+1,1))-AVERAGE(OFFSET($H$3,0,0,'Données projet'!$E$10+1,1))</f>
        <v>400.1942260113168</v>
      </c>
      <c r="AO159" s="59">
        <f t="shared" si="144"/>
        <v>497.04866930593926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23.01465184259018</v>
      </c>
      <c r="AV159" s="21">
        <f>EXP(-LN(2)/25)*AV158+(1-EXP(-LN(2)/25))/(LN(2)/25)*Calculateur!AQ159*Calculateur!AS159*VLOOKUP('Données projet'!$B$10,Paramètres!$A$1:$I$89,3,0)*0.475*44/12</f>
        <v>7.1299798877826523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30.144631730372833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284.78505691662588</v>
      </c>
      <c r="BJ159" s="59">
        <f t="shared" si="146"/>
        <v>664.42623058686308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380.64318988568527</v>
      </c>
      <c r="CE159" s="59">
        <f t="shared" si="148"/>
        <v>885.24651320439159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13.132027916037401</v>
      </c>
      <c r="CL159" s="21">
        <f>EXP(-LN(2)/25)*CL158+(1-EXP(-LN(2)/25))/(LN(2)/25)*Calculateur!CG159*Calculateur!CI159*VLOOKUP('Données projet'!$B$12,Paramètres!$A$1:$I$89,3,0)*0.475*44/12</f>
        <v>1.2454967723591117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14.377524688396512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-6.3550942286383367E-14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404.10467005188889</v>
      </c>
      <c r="CZ159" s="59">
        <f t="shared" si="150"/>
        <v>372.70490129557845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42.999930761008152</v>
      </c>
      <c r="DG159" s="21">
        <f>EXP(-LN(2)/25)*DG158+(1-EXP(-LN(2)/25))/(LN(2)/25)*Calculateur!DB159*Calculateur!DD159*VLOOKUP('Données projet'!$B$13,Paramètres!$A$1:$I$89,3,0)*0.475*44/12</f>
        <v>12.003791153925807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55.003721914933962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>
        <f>VLOOKUP(A159,'Données projet'!$A$165:$I$185,2,0)</f>
        <v>363.66</v>
      </c>
      <c r="DM159" s="12">
        <f>VLOOKUP(A159,'Données projet'!$A$165:$I$185,9,0)</f>
        <v>6.6125000000000016</v>
      </c>
      <c r="DN159" s="12">
        <f t="array" ref="DN159">INDEX(DM:DM,MIN(IF(ISNUMBER(DM159:DM355),ROW(DM159:DM355),"")))</f>
        <v>6.6125000000000016</v>
      </c>
      <c r="DO159" s="12">
        <f>IF('Données projet'!$A$166&gt;35,DO158+DN159-DW158,IF(A159&lt;'Données projet'!$A$166,$DL$205^A159,IF(A159='Données projet'!$A$166,'Données projet'!$B$166,DO158+DN159-DW158)))</f>
        <v>363.66000000000031</v>
      </c>
      <c r="DP159" s="17">
        <f>DO159*VLOOKUP('Données projet'!$B$14,Paramètres!$A$1:$I$89,3,0)*VLOOKUP('Données projet'!$B$14,Paramètres!$A$1:$I$89,5,0)</f>
        <v>329.03956800000026</v>
      </c>
      <c r="DQ159" s="13">
        <f t="shared" si="176"/>
        <v>77.231151349419108</v>
      </c>
      <c r="DR159" s="20">
        <f t="shared" si="177"/>
        <v>707.588169533572</v>
      </c>
      <c r="DS159" s="59">
        <f t="shared" si="125"/>
        <v>995.72026451587226</v>
      </c>
      <c r="DT159" s="59">
        <f ca="1">AVERAGE(OFFSET($DS$3,0,0,'Données projet'!$E$14+1,1))-AVERAGE(OFFSET($H$3,0,0,'Données projet'!$E$14+1,1))</f>
        <v>479.53113328461268</v>
      </c>
      <c r="DU159" s="59">
        <f t="shared" si="152"/>
        <v>244.6360664588118</v>
      </c>
      <c r="DV159" s="15">
        <f>IF(ISNA(VLOOKUP(A159,'Données projet'!$A$165:$I$185,3,0)),0,VLOOKUP(A159,'Données projet'!$A$165:$I$185,3,0))</f>
        <v>11</v>
      </c>
      <c r="DW159" s="15">
        <f>IF(ISNA(VLOOKUP(A159,'Données projet'!$A$165:$I$185,4,0)),0,VLOOKUP(A159,'Données projet'!$A$165:$I$185,4,0))</f>
        <v>59.1</v>
      </c>
      <c r="DX159" s="16">
        <f>IF(ISNA(VLOOKUP(A159,'Données projet'!$A$165:$I$185,5,0)),0%,VLOOKUP(A159,'Données projet'!$A$165:$I$185,5,0)*VLOOKUP('Données projet'!$B$14,Paramètres!$A$1:$I$89,7,0))</f>
        <v>0.25800000000000001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57.922899826983802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57.922899826983802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2.2737367544323206E-13</v>
      </c>
      <c r="EK159" s="17">
        <f>EJ159*VLOOKUP('Données projet'!$B$15,Paramètres!$A$1:$I$89,3,0)*VLOOKUP('Données projet'!$B$15,Paramètres!$A$1:$I$89,5,0)</f>
        <v>1.0049916454590858E-13</v>
      </c>
      <c r="EL159" s="13">
        <f t="shared" si="179"/>
        <v>1.5089081593838289E-12</v>
      </c>
      <c r="EM159" s="20">
        <f t="shared" si="180"/>
        <v>2.8030510891776262E-12</v>
      </c>
      <c r="EN159" s="59">
        <f t="shared" si="128"/>
        <v>288.13209498230299</v>
      </c>
      <c r="EO159" s="59">
        <f ca="1">AVERAGE(OFFSET($EN$3,0,0,'Données projet'!$E$15+1,1))-AVERAGE(OFFSET($H$3,0,0,'Données projet'!$E$15+1,1))</f>
        <v>339.23049610652492</v>
      </c>
      <c r="EP159" s="59">
        <f t="shared" si="154"/>
        <v>448.85057640789785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24.657222158989256</v>
      </c>
      <c r="EW159" s="21">
        <f>EXP(-LN(2)/25)*EW158+(1-EXP(-LN(2)/25))/(LN(2)/25)*Calculateur!ER159*Calculateur!ET159*VLOOKUP('Données projet'!$B$15,Paramètres!$A$1:$I$89,3,0)*0.475*44/12</f>
        <v>8.1983548559458228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32.855577014935079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6.2527760746888816E-13</v>
      </c>
      <c r="FF159" s="17">
        <f>FE159*VLOOKUP('Données projet'!$B$16,Paramètres!$A$1:$I$89,3,0)*VLOOKUP('Données projet'!$B$16,Paramètres!$A$1:$I$89,5,0)</f>
        <v>2.9262992029543964E-13</v>
      </c>
      <c r="FG159" s="13">
        <f t="shared" si="182"/>
        <v>3.8796387982050903E-12</v>
      </c>
      <c r="FH159" s="20">
        <f t="shared" si="183"/>
        <v>7.2667013513884219E-12</v>
      </c>
      <c r="FI159" s="59">
        <f t="shared" si="131"/>
        <v>288.13209498230748</v>
      </c>
      <c r="FJ159" s="59">
        <f ca="1">AVERAGE(OFFSET($FI$3,0,0,'Données projet'!$E$16+1,1))-AVERAGE(OFFSET($H$3,0,0,'Données projet'!$E$16+1,1))</f>
        <v>365.63278362856033</v>
      </c>
      <c r="FK159" s="59">
        <f t="shared" si="156"/>
        <v>290.68267842697452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105.02636099716845</v>
      </c>
      <c r="FR159" s="21">
        <f>EXP(-LN(2)/25)*FR158+(1-EXP(-LN(2)/25))/(LN(2)/25)*Calculateur!FM159*Calculateur!FO159*VLOOKUP('Données projet'!$B$16,Paramètres!$A$1:$I$89,3,0)*0.475*44/12</f>
        <v>32.416526481168873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137.44288747833733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2.2737367544323206E-13</v>
      </c>
      <c r="GA159" s="17">
        <f>FZ159*VLOOKUP('Données projet'!$B$17,Paramètres!$A$1:$I$89,3,0)*VLOOKUP('Données projet'!$B$17,Paramètres!$A$1:$I$89,5,0)</f>
        <v>1.9508661353029313E-13</v>
      </c>
      <c r="GB159" s="13">
        <f t="shared" si="185"/>
        <v>2.711421636700695E-12</v>
      </c>
      <c r="GC159" s="20">
        <f t="shared" si="186"/>
        <v>5.0621685358189711E-12</v>
      </c>
      <c r="GD159" s="59">
        <f t="shared" si="134"/>
        <v>288.13209498230526</v>
      </c>
      <c r="GE159" s="59">
        <f ca="1">AVERAGE(OFFSET($GD$3,0,0,'Données projet'!$E$17+1,1))-AVERAGE(OFFSET($H$3,0,0,'Données projet'!$E$17+1,1))</f>
        <v>460.46300302025099</v>
      </c>
      <c r="GF159" s="59">
        <f t="shared" si="158"/>
        <v>340.22534554615879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126.88243924144324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126.88243924144324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68.581480449718228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1.1368683772161603E-13</v>
      </c>
      <c r="GV159" s="17">
        <f>GU159*VLOOKUP('Données projet'!$B$18,Paramètres!$A$1:$I$89,3,0)*VLOOKUP('Données projet'!$B$18,Paramètres!$A$1:$I$89,5,0)</f>
        <v>6.7984728957526396E-14</v>
      </c>
      <c r="GW159" s="13">
        <f t="shared" si="188"/>
        <v>1.0682447123141398E-12</v>
      </c>
      <c r="GX159" s="20">
        <f t="shared" si="189"/>
        <v>1.978932943548152E-12</v>
      </c>
      <c r="GY159" s="59">
        <f t="shared" si="137"/>
        <v>288.13209498230219</v>
      </c>
      <c r="GZ159" s="59">
        <f ca="1">AVERAGE(OFFSET($GY$3,0,0,'Données projet'!$E$18+1,1))-AVERAGE(OFFSET($H$3,0,0,'Données projet'!$E$18+1,1))</f>
        <v>-15.950000000000017</v>
      </c>
      <c r="HA159" s="59">
        <f t="shared" si="160"/>
        <v>-15.950000000000017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23.01465184259018</v>
      </c>
      <c r="HH159" s="21">
        <f>EXP(-LN(2)/25)*HH158+(1-EXP(-LN(2)/25))/(LN(2)/25)*Calculateur!HC159*Calculateur!HE159*VLOOKUP('Données projet'!$B$18,Paramètres!$A$1:$I$89,3,0)*0.475*44/12</f>
        <v>7.1299798877826523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30.144631730372833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4.3499999999999996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15.949999999999998</v>
      </c>
      <c r="H160" s="67">
        <f t="shared" si="110"/>
        <v>192.86666666666667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-9.9316821433603781E-14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433.46721010558042</v>
      </c>
      <c r="T160" s="59">
        <f t="shared" si="142"/>
        <v>306.18862295347509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32.56345042315499</v>
      </c>
      <c r="AA160" s="21">
        <f>EXP(-LN(2)/25)*AA159+(1-EXP(-LN(2)/25))/(LN(2)/25)*Calculateur!V160*Calculateur!X160*VLOOKUP('Données projet'!$B$9,Paramètres!$A$1:$I$89,3,0)*0.475*44/12</f>
        <v>8.5353857771792718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41.098836200334262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288.22232483946567</v>
      </c>
      <c r="AN160" s="59">
        <f ca="1">AVERAGE(OFFSET($AM$3,0,0,'Données projet'!$E$10+1,1))-AVERAGE(OFFSET($H$3,0,0,'Données projet'!$E$10+1,1))</f>
        <v>400.1942260113168</v>
      </c>
      <c r="AO160" s="59">
        <f t="shared" si="144"/>
        <v>497.04866930593926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22.563348557508515</v>
      </c>
      <c r="AV160" s="21">
        <f>EXP(-LN(2)/25)*AV159+(1-EXP(-LN(2)/25))/(LN(2)/25)*Calculateur!AQ160*Calculateur!AS160*VLOOKUP('Données projet'!$B$10,Paramètres!$A$1:$I$89,3,0)*0.475*44/12</f>
        <v>6.9350102128018891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29.498358770310404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284.78505691662588</v>
      </c>
      <c r="BJ160" s="59">
        <f t="shared" si="146"/>
        <v>664.42623058686308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380.64318988568527</v>
      </c>
      <c r="CE160" s="59">
        <f t="shared" si="148"/>
        <v>885.24651320439159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12.87451685835004</v>
      </c>
      <c r="CL160" s="21">
        <f>EXP(-LN(2)/25)*CL159+(1-EXP(-LN(2)/25))/(LN(2)/25)*Calculateur!CG160*Calculateur!CI160*VLOOKUP('Données projet'!$B$12,Paramètres!$A$1:$I$89,3,0)*0.475*44/12</f>
        <v>1.2114385976211233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14.085955455971163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-6.3550942286383367E-14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404.10467005188889</v>
      </c>
      <c r="CZ160" s="59">
        <f t="shared" si="150"/>
        <v>372.70490129557845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42.156728346152811</v>
      </c>
      <c r="DG160" s="21">
        <f>EXP(-LN(2)/25)*DG159+(1-EXP(-LN(2)/25))/(LN(2)/25)*Calculateur!DB160*Calculateur!DD160*VLOOKUP('Données projet'!$B$13,Paramètres!$A$1:$I$89,3,0)*0.475*44/12</f>
        <v>11.675546853569763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53.832275199722574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6.7283333333333344</v>
      </c>
      <c r="DO160" s="12">
        <f>IF('Données projet'!$A$166&gt;35,DO159+DN160-DW159,IF(A160&lt;'Données projet'!$A$166,$DL$205^A160,IF(A160='Données projet'!$A$166,'Données projet'!$B$166,DO159+DN160-DW159)))</f>
        <v>311.28833333333364</v>
      </c>
      <c r="DP160" s="17">
        <f>DO160*VLOOKUP('Données projet'!$B$14,Paramètres!$A$1:$I$89,3,0)*VLOOKUP('Données projet'!$B$14,Paramètres!$A$1:$I$89,5,0)</f>
        <v>281.65368400000028</v>
      </c>
      <c r="DQ160" s="13">
        <f t="shared" si="176"/>
        <v>67.316359987618995</v>
      </c>
      <c r="DR160" s="20">
        <f t="shared" si="177"/>
        <v>607.78949327843691</v>
      </c>
      <c r="DS160" s="59">
        <f t="shared" si="125"/>
        <v>896.01181811790059</v>
      </c>
      <c r="DT160" s="59">
        <f ca="1">AVERAGE(OFFSET($DS$3,0,0,'Données projet'!$E$14+1,1))-AVERAGE(OFFSET($H$3,0,0,'Données projet'!$E$14+1,1))</f>
        <v>479.53113328461268</v>
      </c>
      <c r="DU160" s="59">
        <f t="shared" si="152"/>
        <v>244.6360664588118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56.78706709085705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56.78706709085705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2.2737367544323206E-13</v>
      </c>
      <c r="EK160" s="17">
        <f>EJ160*VLOOKUP('Données projet'!$B$15,Paramètres!$A$1:$I$89,3,0)*VLOOKUP('Données projet'!$B$15,Paramètres!$A$1:$I$89,5,0)</f>
        <v>1.0049916454590858E-13</v>
      </c>
      <c r="EL160" s="13">
        <f t="shared" si="179"/>
        <v>1.5089081593838289E-12</v>
      </c>
      <c r="EM160" s="20">
        <f t="shared" si="180"/>
        <v>2.8030510891776262E-12</v>
      </c>
      <c r="EN160" s="59">
        <f t="shared" si="128"/>
        <v>288.22232483946647</v>
      </c>
      <c r="EO160" s="59">
        <f ca="1">AVERAGE(OFFSET($EN$3,0,0,'Données projet'!$E$15+1,1))-AVERAGE(OFFSET($H$3,0,0,'Données projet'!$E$15+1,1))</f>
        <v>339.23049610652492</v>
      </c>
      <c r="EP160" s="59">
        <f t="shared" si="154"/>
        <v>448.85057640789785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24.173709071871976</v>
      </c>
      <c r="EW160" s="21">
        <f>EXP(-LN(2)/25)*EW159+(1-EXP(-LN(2)/25))/(LN(2)/25)*Calculateur!ER160*Calculateur!ET160*VLOOKUP('Données projet'!$B$15,Paramètres!$A$1:$I$89,3,0)*0.475*44/12</f>
        <v>7.9741704112772398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32.147879483149218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6.2527760746888816E-13</v>
      </c>
      <c r="FF160" s="17">
        <f>FE160*VLOOKUP('Données projet'!$B$16,Paramètres!$A$1:$I$89,3,0)*VLOOKUP('Données projet'!$B$16,Paramètres!$A$1:$I$89,5,0)</f>
        <v>2.9262992029543964E-13</v>
      </c>
      <c r="FG160" s="13">
        <f t="shared" si="182"/>
        <v>3.8796387982050903E-12</v>
      </c>
      <c r="FH160" s="20">
        <f t="shared" si="183"/>
        <v>7.2667013513884219E-12</v>
      </c>
      <c r="FI160" s="59">
        <f t="shared" si="131"/>
        <v>288.22232483947096</v>
      </c>
      <c r="FJ160" s="59">
        <f ca="1">AVERAGE(OFFSET($FI$3,0,0,'Données projet'!$E$16+1,1))-AVERAGE(OFFSET($H$3,0,0,'Données projet'!$E$16+1,1))</f>
        <v>365.63278362856033</v>
      </c>
      <c r="FK160" s="59">
        <f t="shared" si="156"/>
        <v>290.68267842697452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102.96685811776881</v>
      </c>
      <c r="FR160" s="21">
        <f>EXP(-LN(2)/25)*FR159+(1-EXP(-LN(2)/25))/(LN(2)/25)*Calculateur!FM160*Calculateur!FO160*VLOOKUP('Données projet'!$B$16,Paramètres!$A$1:$I$89,3,0)*0.475*44/12</f>
        <v>31.530094859830271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134.49695297759908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2.2737367544323206E-13</v>
      </c>
      <c r="GA160" s="17">
        <f>FZ160*VLOOKUP('Données projet'!$B$17,Paramètres!$A$1:$I$89,3,0)*VLOOKUP('Données projet'!$B$17,Paramètres!$A$1:$I$89,5,0)</f>
        <v>1.9508661353029313E-13</v>
      </c>
      <c r="GB160" s="13">
        <f t="shared" si="185"/>
        <v>2.711421636700695E-12</v>
      </c>
      <c r="GC160" s="20">
        <f t="shared" si="186"/>
        <v>5.0621685358189711E-12</v>
      </c>
      <c r="GD160" s="59">
        <f t="shared" si="134"/>
        <v>288.22232483946874</v>
      </c>
      <c r="GE160" s="59">
        <f ca="1">AVERAGE(OFFSET($GD$3,0,0,'Données projet'!$E$17+1,1))-AVERAGE(OFFSET($H$3,0,0,'Données projet'!$E$17+1,1))</f>
        <v>460.46300302025099</v>
      </c>
      <c r="GF160" s="59">
        <f t="shared" si="158"/>
        <v>340.22534554615879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124.39435199856479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124.39435199856479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68.606088592581003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1.1368683772161603E-13</v>
      </c>
      <c r="GV160" s="17">
        <f>GU160*VLOOKUP('Données projet'!$B$18,Paramètres!$A$1:$I$89,3,0)*VLOOKUP('Données projet'!$B$18,Paramètres!$A$1:$I$89,5,0)</f>
        <v>6.7984728957526396E-14</v>
      </c>
      <c r="GW160" s="13">
        <f t="shared" si="188"/>
        <v>1.0682447123141398E-12</v>
      </c>
      <c r="GX160" s="20">
        <f t="shared" si="189"/>
        <v>1.978932943548152E-12</v>
      </c>
      <c r="GY160" s="59">
        <f t="shared" si="137"/>
        <v>288.22232483946567</v>
      </c>
      <c r="GZ160" s="59">
        <f ca="1">AVERAGE(OFFSET($GY$3,0,0,'Données projet'!$E$18+1,1))-AVERAGE(OFFSET($H$3,0,0,'Données projet'!$E$18+1,1))</f>
        <v>-15.950000000000017</v>
      </c>
      <c r="HA160" s="59">
        <f t="shared" si="160"/>
        <v>-15.950000000000017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22.563348557508515</v>
      </c>
      <c r="HH160" s="21">
        <f>EXP(-LN(2)/25)*HH159+(1-EXP(-LN(2)/25))/(LN(2)/25)*Calculateur!HC160*Calculateur!HE160*VLOOKUP('Données projet'!$B$18,Paramètres!$A$1:$I$89,3,0)*0.475*44/12</f>
        <v>6.9350102128018891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29.498358770310404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4.3499999999999996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15.949999999999998</v>
      </c>
      <c r="H161" s="67">
        <f t="shared" si="110"/>
        <v>192.86666666666667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-9.9316821433603781E-14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433.46721010558042</v>
      </c>
      <c r="T161" s="59">
        <f t="shared" si="142"/>
        <v>306.18862295347509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31.924901022100496</v>
      </c>
      <c r="AA161" s="21">
        <f>EXP(-LN(2)/25)*AA160+(1-EXP(-LN(2)/25))/(LN(2)/25)*Calculateur!V161*Calculateur!X161*VLOOKUP('Données projet'!$B$9,Paramètres!$A$1:$I$89,3,0)*0.475*44/12</f>
        <v>8.3019852042458737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40.226886226346366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288.31098941033116</v>
      </c>
      <c r="AN161" s="59">
        <f ca="1">AVERAGE(OFFSET($AM$3,0,0,'Données projet'!$E$10+1,1))-AVERAGE(OFFSET($H$3,0,0,'Données projet'!$E$10+1,1))</f>
        <v>400.1942260113168</v>
      </c>
      <c r="AO161" s="59">
        <f t="shared" si="144"/>
        <v>497.04866930593926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22.120895054579481</v>
      </c>
      <c r="AV161" s="21">
        <f>EXP(-LN(2)/25)*AV160+(1-EXP(-LN(2)/25))/(LN(2)/25)*Calculateur!AQ161*Calculateur!AS161*VLOOKUP('Données projet'!$B$10,Paramètres!$A$1:$I$89,3,0)*0.475*44/12</f>
        <v>6.7453719938364847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28.866267048415967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284.78505691662588</v>
      </c>
      <c r="BJ161" s="59">
        <f t="shared" si="146"/>
        <v>664.42623058686308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380.64318988568527</v>
      </c>
      <c r="CE161" s="59">
        <f t="shared" si="148"/>
        <v>885.24651320439159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12.622055435437691</v>
      </c>
      <c r="CL161" s="21">
        <f>EXP(-LN(2)/25)*CL160+(1-EXP(-LN(2)/25))/(LN(2)/25)*Calculateur!CG161*Calculateur!CI161*VLOOKUP('Données projet'!$B$12,Paramètres!$A$1:$I$89,3,0)*0.475*44/12</f>
        <v>1.1783117454623866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13.800367180900077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-6.3550942286383367E-14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404.10467005188889</v>
      </c>
      <c r="CZ161" s="59">
        <f t="shared" si="150"/>
        <v>372.70490129557845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41.330060616350089</v>
      </c>
      <c r="DG161" s="21">
        <f>EXP(-LN(2)/25)*DG160+(1-EXP(-LN(2)/25))/(LN(2)/25)*Calculateur!DB161*Calculateur!DD161*VLOOKUP('Données projet'!$B$13,Paramètres!$A$1:$I$89,3,0)*0.475*44/12</f>
        <v>11.356278410868574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52.686339027218665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6.7283333333333344</v>
      </c>
      <c r="DO161" s="12">
        <f>IF('Données projet'!$A$166&gt;35,DO160+DN161-DW160,IF(A161&lt;'Données projet'!$A$166,$DL$205^A161,IF(A161='Données projet'!$A$166,'Données projet'!$B$166,DO160+DN161-DW160)))</f>
        <v>318.01666666666699</v>
      </c>
      <c r="DP161" s="17">
        <f>DO161*VLOOKUP('Données projet'!$B$14,Paramètres!$A$1:$I$89,3,0)*VLOOKUP('Données projet'!$B$14,Paramètres!$A$1:$I$89,5,0)</f>
        <v>287.74148000000031</v>
      </c>
      <c r="DQ161" s="13">
        <f t="shared" si="176"/>
        <v>68.600400323196027</v>
      </c>
      <c r="DR161" s="20">
        <f t="shared" si="177"/>
        <v>620.62877489623361</v>
      </c>
      <c r="DS161" s="59">
        <f t="shared" si="125"/>
        <v>908.93976430656278</v>
      </c>
      <c r="DT161" s="59">
        <f ca="1">AVERAGE(OFFSET($DS$3,0,0,'Données projet'!$E$14+1,1))-AVERAGE(OFFSET($H$3,0,0,'Données projet'!$E$14+1,1))</f>
        <v>479.53113328461268</v>
      </c>
      <c r="DU161" s="59">
        <f t="shared" si="152"/>
        <v>244.6360664588118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55.673507341896183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55.673507341896183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2.2737367544323206E-13</v>
      </c>
      <c r="EK161" s="17">
        <f>EJ161*VLOOKUP('Données projet'!$B$15,Paramètres!$A$1:$I$89,3,0)*VLOOKUP('Données projet'!$B$15,Paramètres!$A$1:$I$89,5,0)</f>
        <v>1.0049916454590858E-13</v>
      </c>
      <c r="EL161" s="13">
        <f t="shared" si="179"/>
        <v>1.5089081593838289E-12</v>
      </c>
      <c r="EM161" s="20">
        <f t="shared" si="180"/>
        <v>2.8030510891776262E-12</v>
      </c>
      <c r="EN161" s="59">
        <f t="shared" si="128"/>
        <v>288.31098941033196</v>
      </c>
      <c r="EO161" s="59">
        <f ca="1">AVERAGE(OFFSET($EN$3,0,0,'Données projet'!$E$15+1,1))-AVERAGE(OFFSET($H$3,0,0,'Données projet'!$E$15+1,1))</f>
        <v>339.23049610652492</v>
      </c>
      <c r="EP161" s="59">
        <f t="shared" si="154"/>
        <v>448.85057640789785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23.699677381479201</v>
      </c>
      <c r="EW161" s="21">
        <f>EXP(-LN(2)/25)*EW160+(1-EXP(-LN(2)/25))/(LN(2)/25)*Calculateur!ER161*Calculateur!ET161*VLOOKUP('Données projet'!$B$15,Paramètres!$A$1:$I$89,3,0)*0.475*44/12</f>
        <v>7.7561163020374666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31.455793683516667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6.2527760746888816E-13</v>
      </c>
      <c r="FF161" s="17">
        <f>FE161*VLOOKUP('Données projet'!$B$16,Paramètres!$A$1:$I$89,3,0)*VLOOKUP('Données projet'!$B$16,Paramètres!$A$1:$I$89,5,0)</f>
        <v>2.9262992029543964E-13</v>
      </c>
      <c r="FG161" s="13">
        <f t="shared" si="182"/>
        <v>3.8796387982050903E-12</v>
      </c>
      <c r="FH161" s="20">
        <f t="shared" si="183"/>
        <v>7.2667013513884219E-12</v>
      </c>
      <c r="FI161" s="59">
        <f t="shared" si="131"/>
        <v>288.31098941033645</v>
      </c>
      <c r="FJ161" s="59">
        <f ca="1">AVERAGE(OFFSET($FI$3,0,0,'Données projet'!$E$16+1,1))-AVERAGE(OFFSET($H$3,0,0,'Données projet'!$E$16+1,1))</f>
        <v>365.63278362856033</v>
      </c>
      <c r="FK161" s="59">
        <f t="shared" si="156"/>
        <v>290.68267842697452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100.94774083366147</v>
      </c>
      <c r="FR161" s="21">
        <f>EXP(-LN(2)/25)*FR160+(1-EXP(-LN(2)/25))/(LN(2)/25)*Calculateur!FM161*Calculateur!FO161*VLOOKUP('Données projet'!$B$16,Paramètres!$A$1:$I$89,3,0)*0.475*44/12</f>
        <v>30.667902757792586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131.61564359145405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2.2737367544323206E-13</v>
      </c>
      <c r="GA161" s="17">
        <f>FZ161*VLOOKUP('Données projet'!$B$17,Paramètres!$A$1:$I$89,3,0)*VLOOKUP('Données projet'!$B$17,Paramètres!$A$1:$I$89,5,0)</f>
        <v>1.9508661353029313E-13</v>
      </c>
      <c r="GB161" s="13">
        <f t="shared" si="185"/>
        <v>2.711421636700695E-12</v>
      </c>
      <c r="GC161" s="20">
        <f t="shared" si="186"/>
        <v>5.0621685358189711E-12</v>
      </c>
      <c r="GD161" s="59">
        <f t="shared" si="134"/>
        <v>288.31098941033423</v>
      </c>
      <c r="GE161" s="59">
        <f ca="1">AVERAGE(OFFSET($GD$3,0,0,'Données projet'!$E$17+1,1))-AVERAGE(OFFSET($H$3,0,0,'Données projet'!$E$17+1,1))</f>
        <v>460.46300302025099</v>
      </c>
      <c r="GF161" s="59">
        <f t="shared" si="158"/>
        <v>340.22534554615879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121.95505462893581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121.95505462893581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68.630269839180684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1.1368683772161603E-13</v>
      </c>
      <c r="GV161" s="17">
        <f>GU161*VLOOKUP('Données projet'!$B$18,Paramètres!$A$1:$I$89,3,0)*VLOOKUP('Données projet'!$B$18,Paramètres!$A$1:$I$89,5,0)</f>
        <v>6.7984728957526396E-14</v>
      </c>
      <c r="GW161" s="13">
        <f t="shared" si="188"/>
        <v>1.0682447123141398E-12</v>
      </c>
      <c r="GX161" s="20">
        <f t="shared" si="189"/>
        <v>1.978932943548152E-12</v>
      </c>
      <c r="GY161" s="59">
        <f t="shared" si="137"/>
        <v>288.31098941033116</v>
      </c>
      <c r="GZ161" s="59">
        <f ca="1">AVERAGE(OFFSET($GY$3,0,0,'Données projet'!$E$18+1,1))-AVERAGE(OFFSET($H$3,0,0,'Données projet'!$E$18+1,1))</f>
        <v>-15.950000000000017</v>
      </c>
      <c r="HA161" s="59">
        <f t="shared" si="160"/>
        <v>-15.950000000000017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22.120895054579481</v>
      </c>
      <c r="HH161" s="21">
        <f>EXP(-LN(2)/25)*HH160+(1-EXP(-LN(2)/25))/(LN(2)/25)*Calculateur!HC161*Calculateur!HE161*VLOOKUP('Données projet'!$B$18,Paramètres!$A$1:$I$89,3,0)*0.475*44/12</f>
        <v>6.7453719938364847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28.866267048415967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4.3499999999999996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15.949999999999998</v>
      </c>
      <c r="H162" s="67">
        <f t="shared" si="110"/>
        <v>192.86666666666667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-9.9316821433603781E-14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433.46721010558042</v>
      </c>
      <c r="T162" s="59">
        <f t="shared" si="142"/>
        <v>306.18862295347509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31.298873185324002</v>
      </c>
      <c r="AA162" s="21">
        <f>EXP(-LN(2)/25)*AA161+(1-EXP(-LN(2)/25))/(LN(2)/25)*Calculateur!V162*Calculateur!X162*VLOOKUP('Données projet'!$B$9,Paramètres!$A$1:$I$89,3,0)*0.475*44/12</f>
        <v>8.0749669822533434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39.373840167577342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288.39811584911632</v>
      </c>
      <c r="AN162" s="59">
        <f ca="1">AVERAGE(OFFSET($AM$3,0,0,'Données projet'!$E$10+1,1))-AVERAGE(OFFSET($H$3,0,0,'Données projet'!$E$10+1,1))</f>
        <v>400.1942260113168</v>
      </c>
      <c r="AO162" s="59">
        <f t="shared" si="144"/>
        <v>497.04866930593926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21.687117794972895</v>
      </c>
      <c r="AV162" s="21">
        <f>EXP(-LN(2)/25)*AV161+(1-EXP(-LN(2)/25))/(LN(2)/25)*Calculateur!AQ162*Calculateur!AS162*VLOOKUP('Données projet'!$B$10,Paramètres!$A$1:$I$89,3,0)*0.475*44/12</f>
        <v>6.5609194419413299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28.248037236914225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284.78505691662588</v>
      </c>
      <c r="BJ162" s="59">
        <f t="shared" si="146"/>
        <v>664.42623058686308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380.64318988568527</v>
      </c>
      <c r="CE162" s="59">
        <f t="shared" si="148"/>
        <v>885.24651320439159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12.37454462704239</v>
      </c>
      <c r="CL162" s="21">
        <f>EXP(-LN(2)/25)*CL161+(1-EXP(-LN(2)/25))/(LN(2)/25)*Calculateur!CG162*Calculateur!CI162*VLOOKUP('Données projet'!$B$12,Paramètres!$A$1:$I$89,3,0)*0.475*44/12</f>
        <v>1.1460907488179961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13.520635375860387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-6.3550942286383367E-14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404.10467005188889</v>
      </c>
      <c r="CZ162" s="59">
        <f t="shared" si="150"/>
        <v>372.70490129557845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40.519603336511274</v>
      </c>
      <c r="DG162" s="21">
        <f>EXP(-LN(2)/25)*DG161+(1-EXP(-LN(2)/25))/(LN(2)/25)*Calculateur!DB162*Calculateur!DD162*VLOOKUP('Données projet'!$B$13,Paramètres!$A$1:$I$89,3,0)*0.475*44/12</f>
        <v>11.045740380522647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51.565343717033919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6.7283333333333344</v>
      </c>
      <c r="DO162" s="12">
        <f>IF('Données projet'!$A$166&gt;35,DO161+DN162-DW161,IF(A162&lt;'Données projet'!$A$166,$DL$205^A162,IF(A162='Données projet'!$A$166,'Données projet'!$B$166,DO161+DN162-DW161)))</f>
        <v>324.74500000000035</v>
      </c>
      <c r="DP162" s="17">
        <f>DO162*VLOOKUP('Données projet'!$B$14,Paramètres!$A$1:$I$89,3,0)*VLOOKUP('Données projet'!$B$14,Paramètres!$A$1:$I$89,5,0)</f>
        <v>293.82927600000028</v>
      </c>
      <c r="DQ162" s="13">
        <f t="shared" si="176"/>
        <v>69.881282100775707</v>
      </c>
      <c r="DR162" s="20">
        <f t="shared" si="177"/>
        <v>633.46255535885143</v>
      </c>
      <c r="DS162" s="59">
        <f t="shared" si="125"/>
        <v>921.86067120796577</v>
      </c>
      <c r="DT162" s="59">
        <f ca="1">AVERAGE(OFFSET($DS$3,0,0,'Données projet'!$E$14+1,1))-AVERAGE(OFFSET($H$3,0,0,'Données projet'!$E$14+1,1))</f>
        <v>479.53113328461268</v>
      </c>
      <c r="DU162" s="59">
        <f t="shared" si="152"/>
        <v>244.6360664588118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54.581783820408056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54.581783820408056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2.2737367544323206E-13</v>
      </c>
      <c r="EK162" s="17">
        <f>EJ162*VLOOKUP('Données projet'!$B$15,Paramètres!$A$1:$I$89,3,0)*VLOOKUP('Données projet'!$B$15,Paramètres!$A$1:$I$89,5,0)</f>
        <v>1.0049916454590858E-13</v>
      </c>
      <c r="EL162" s="13">
        <f t="shared" si="179"/>
        <v>1.5089081593838289E-12</v>
      </c>
      <c r="EM162" s="20">
        <f t="shared" si="180"/>
        <v>2.8030510891776262E-12</v>
      </c>
      <c r="EN162" s="59">
        <f t="shared" si="128"/>
        <v>288.39811584911712</v>
      </c>
      <c r="EO162" s="59">
        <f ca="1">AVERAGE(OFFSET($EN$3,0,0,'Données projet'!$E$15+1,1))-AVERAGE(OFFSET($H$3,0,0,'Données projet'!$E$15+1,1))</f>
        <v>339.23049610652492</v>
      </c>
      <c r="EP162" s="59">
        <f t="shared" si="154"/>
        <v>448.85057640789785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23.234941163404248</v>
      </c>
      <c r="EW162" s="21">
        <f>EXP(-LN(2)/25)*EW161+(1-EXP(-LN(2)/25))/(LN(2)/25)*Calculateur!ER162*Calculateur!ET162*VLOOKUP('Données projet'!$B$15,Paramètres!$A$1:$I$89,3,0)*0.475*44/12</f>
        <v>7.5440248938818222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30.77896605728607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6.2527760746888816E-13</v>
      </c>
      <c r="FF162" s="17">
        <f>FE162*VLOOKUP('Données projet'!$B$16,Paramètres!$A$1:$I$89,3,0)*VLOOKUP('Données projet'!$B$16,Paramètres!$A$1:$I$89,5,0)</f>
        <v>2.9262992029543964E-13</v>
      </c>
      <c r="FG162" s="13">
        <f t="shared" si="182"/>
        <v>3.8796387982050903E-12</v>
      </c>
      <c r="FH162" s="20">
        <f t="shared" si="183"/>
        <v>7.2667013513884219E-12</v>
      </c>
      <c r="FI162" s="59">
        <f t="shared" si="131"/>
        <v>288.39811584912161</v>
      </c>
      <c r="FJ162" s="59">
        <f ca="1">AVERAGE(OFFSET($FI$3,0,0,'Données projet'!$E$16+1,1))-AVERAGE(OFFSET($H$3,0,0,'Données projet'!$E$16+1,1))</f>
        <v>365.63278362856033</v>
      </c>
      <c r="FK162" s="59">
        <f t="shared" si="156"/>
        <v>290.68267842697452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98.968217207955547</v>
      </c>
      <c r="FR162" s="21">
        <f>EXP(-LN(2)/25)*FR161+(1-EXP(-LN(2)/25))/(LN(2)/25)*Calculateur!FM162*Calculateur!FO162*VLOOKUP('Données projet'!$B$16,Paramètres!$A$1:$I$89,3,0)*0.475*44/12</f>
        <v>29.829287344125834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128.79750455208139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2.2737367544323206E-13</v>
      </c>
      <c r="GA162" s="17">
        <f>FZ162*VLOOKUP('Données projet'!$B$17,Paramètres!$A$1:$I$89,3,0)*VLOOKUP('Données projet'!$B$17,Paramètres!$A$1:$I$89,5,0)</f>
        <v>1.9508661353029313E-13</v>
      </c>
      <c r="GB162" s="13">
        <f t="shared" si="185"/>
        <v>2.711421636700695E-12</v>
      </c>
      <c r="GC162" s="20">
        <f t="shared" si="186"/>
        <v>5.0621685358189711E-12</v>
      </c>
      <c r="GD162" s="59">
        <f t="shared" si="134"/>
        <v>288.39811584911939</v>
      </c>
      <c r="GE162" s="59">
        <f ca="1">AVERAGE(OFFSET($GD$3,0,0,'Données projet'!$E$17+1,1))-AVERAGE(OFFSET($H$3,0,0,'Données projet'!$E$17+1,1))</f>
        <v>460.46300302025099</v>
      </c>
      <c r="GF162" s="59">
        <f t="shared" si="158"/>
        <v>340.22534554615879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119.56359039290078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119.56359039290078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68.654031595212999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1.1368683772161603E-13</v>
      </c>
      <c r="GV162" s="17">
        <f>GU162*VLOOKUP('Données projet'!$B$18,Paramètres!$A$1:$I$89,3,0)*VLOOKUP('Données projet'!$B$18,Paramètres!$A$1:$I$89,5,0)</f>
        <v>6.7984728957526396E-14</v>
      </c>
      <c r="GW162" s="13">
        <f t="shared" si="188"/>
        <v>1.0682447123141398E-12</v>
      </c>
      <c r="GX162" s="20">
        <f t="shared" si="189"/>
        <v>1.978932943548152E-12</v>
      </c>
      <c r="GY162" s="59">
        <f t="shared" si="137"/>
        <v>288.39811584911632</v>
      </c>
      <c r="GZ162" s="59">
        <f ca="1">AVERAGE(OFFSET($GY$3,0,0,'Données projet'!$E$18+1,1))-AVERAGE(OFFSET($H$3,0,0,'Données projet'!$E$18+1,1))</f>
        <v>-15.950000000000017</v>
      </c>
      <c r="HA162" s="59">
        <f t="shared" si="160"/>
        <v>-15.950000000000017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21.687117794972895</v>
      </c>
      <c r="HH162" s="21">
        <f>EXP(-LN(2)/25)*HH161+(1-EXP(-LN(2)/25))/(LN(2)/25)*Calculateur!HC162*Calculateur!HE162*VLOOKUP('Données projet'!$B$18,Paramètres!$A$1:$I$89,3,0)*0.475*44/12</f>
        <v>6.5609194419413299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28.248037236914225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4.3499999999999996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15.949999999999998</v>
      </c>
      <c r="H163" s="67">
        <f t="shared" si="110"/>
        <v>192.86666666666667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-9.9316821433603781E-14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433.46721010558042</v>
      </c>
      <c r="T163" s="59">
        <f t="shared" si="142"/>
        <v>306.18862295347509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30.685121372587417</v>
      </c>
      <c r="AA163" s="21">
        <f>EXP(-LN(2)/25)*AA162+(1-EXP(-LN(2)/25))/(LN(2)/25)*Calculateur!V163*Calculateur!X163*VLOOKUP('Données projet'!$B$9,Paramètres!$A$1:$I$89,3,0)*0.475*44/12</f>
        <v>7.8541565854795676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38.539277958066982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288.48373083897417</v>
      </c>
      <c r="AN163" s="59">
        <f ca="1">AVERAGE(OFFSET($AM$3,0,0,'Données projet'!$E$10+1,1))-AVERAGE(OFFSET($H$3,0,0,'Données projet'!$E$10+1,1))</f>
        <v>400.1942260113168</v>
      </c>
      <c r="AO163" s="59">
        <f t="shared" si="144"/>
        <v>497.04866930593926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21.261846642849193</v>
      </c>
      <c r="AV163" s="21">
        <f>EXP(-LN(2)/25)*AV162+(1-EXP(-LN(2)/25))/(LN(2)/25)*Calculateur!AQ163*Calculateur!AS163*VLOOKUP('Données projet'!$B$10,Paramètres!$A$1:$I$89,3,0)*0.475*44/12</f>
        <v>6.3815107547776861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27.643357397626879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284.78505691662588</v>
      </c>
      <c r="BJ163" s="59">
        <f t="shared" si="146"/>
        <v>664.42623058686308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380.64318988568527</v>
      </c>
      <c r="CE163" s="59">
        <f t="shared" si="148"/>
        <v>885.24651320439159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12.131887354633035</v>
      </c>
      <c r="CL163" s="21">
        <f>EXP(-LN(2)/25)*CL162+(1-EXP(-LN(2)/25))/(LN(2)/25)*Calculateur!CG163*Calculateur!CI163*VLOOKUP('Données projet'!$B$12,Paramètres!$A$1:$I$89,3,0)*0.475*44/12</f>
        <v>1.1147508370212749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13.246638191654309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-6.3550942286383367E-14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404.10467005188889</v>
      </c>
      <c r="CZ163" s="59">
        <f t="shared" si="150"/>
        <v>372.70490129557845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39.725038629599965</v>
      </c>
      <c r="DG163" s="21">
        <f>EXP(-LN(2)/25)*DG162+(1-EXP(-LN(2)/25))/(LN(2)/25)*Calculateur!DB163*Calculateur!DD163*VLOOKUP('Données projet'!$B$13,Paramètres!$A$1:$I$89,3,0)*0.475*44/12</f>
        <v>10.743694028947013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50.468732658546976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6.7283333333333344</v>
      </c>
      <c r="DO163" s="12">
        <f>IF('Données projet'!$A$166&gt;35,DO162+DN163-DW162,IF(A163&lt;'Données projet'!$A$166,$DL$205^A163,IF(A163='Données projet'!$A$166,'Données projet'!$B$166,DO162+DN163-DW162)))</f>
        <v>331.4733333333337</v>
      </c>
      <c r="DP163" s="17">
        <f>DO163*VLOOKUP('Données projet'!$B$14,Paramètres!$A$1:$I$89,3,0)*VLOOKUP('Données projet'!$B$14,Paramètres!$A$1:$I$89,5,0)</f>
        <v>299.91707200000036</v>
      </c>
      <c r="DQ163" s="13">
        <f t="shared" si="176"/>
        <v>71.159078301871247</v>
      </c>
      <c r="DR163" s="20">
        <f t="shared" si="177"/>
        <v>646.29096177575968</v>
      </c>
      <c r="DS163" s="59">
        <f t="shared" si="125"/>
        <v>934.77469261473186</v>
      </c>
      <c r="DT163" s="59">
        <f ca="1">AVERAGE(OFFSET($DS$3,0,0,'Données projet'!$E$14+1,1))-AVERAGE(OFFSET($H$3,0,0,'Données projet'!$E$14+1,1))</f>
        <v>479.53113328461268</v>
      </c>
      <c r="DU163" s="59">
        <f t="shared" si="152"/>
        <v>244.6360664588118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53.511468331290715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53.511468331290715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2.2737367544323206E-13</v>
      </c>
      <c r="EK163" s="17">
        <f>EJ163*VLOOKUP('Données projet'!$B$15,Paramètres!$A$1:$I$89,3,0)*VLOOKUP('Données projet'!$B$15,Paramètres!$A$1:$I$89,5,0)</f>
        <v>1.0049916454590858E-13</v>
      </c>
      <c r="EL163" s="13">
        <f t="shared" si="179"/>
        <v>1.5089081593838289E-12</v>
      </c>
      <c r="EM163" s="20">
        <f t="shared" si="180"/>
        <v>2.8030510891776262E-12</v>
      </c>
      <c r="EN163" s="59">
        <f t="shared" si="128"/>
        <v>288.48373083897496</v>
      </c>
      <c r="EO163" s="59">
        <f ca="1">AVERAGE(OFFSET($EN$3,0,0,'Données projet'!$E$15+1,1))-AVERAGE(OFFSET($H$3,0,0,'Données projet'!$E$15+1,1))</f>
        <v>339.23049610652492</v>
      </c>
      <c r="EP163" s="59">
        <f t="shared" si="154"/>
        <v>448.85057640789785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22.779318139104639</v>
      </c>
      <c r="EW163" s="21">
        <f>EXP(-LN(2)/25)*EW162+(1-EXP(-LN(2)/25))/(LN(2)/25)*Calculateur!ER163*Calculateur!ET163*VLOOKUP('Données projet'!$B$15,Paramètres!$A$1:$I$89,3,0)*0.475*44/12</f>
        <v>7.3377331364355971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30.117051275540234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6.2527760746888816E-13</v>
      </c>
      <c r="FF163" s="17">
        <f>FE163*VLOOKUP('Données projet'!$B$16,Paramètres!$A$1:$I$89,3,0)*VLOOKUP('Données projet'!$B$16,Paramètres!$A$1:$I$89,5,0)</f>
        <v>2.9262992029543964E-13</v>
      </c>
      <c r="FG163" s="13">
        <f t="shared" si="182"/>
        <v>3.8796387982050903E-12</v>
      </c>
      <c r="FH163" s="20">
        <f t="shared" si="183"/>
        <v>7.2667013513884219E-12</v>
      </c>
      <c r="FI163" s="59">
        <f t="shared" si="131"/>
        <v>288.48373083897945</v>
      </c>
      <c r="FJ163" s="59">
        <f ca="1">AVERAGE(OFFSET($FI$3,0,0,'Données projet'!$E$16+1,1))-AVERAGE(OFFSET($H$3,0,0,'Données projet'!$E$16+1,1))</f>
        <v>365.63278362856033</v>
      </c>
      <c r="FK163" s="59">
        <f t="shared" si="156"/>
        <v>290.68267842697452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97.027510833159525</v>
      </c>
      <c r="FR163" s="21">
        <f>EXP(-LN(2)/25)*FR162+(1-EXP(-LN(2)/25))/(LN(2)/25)*Calculateur!FM163*Calculateur!FO163*VLOOKUP('Données projet'!$B$16,Paramètres!$A$1:$I$89,3,0)*0.475*44/12</f>
        <v>29.013603913046669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126.04111474620619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2.2737367544323206E-13</v>
      </c>
      <c r="GA163" s="17">
        <f>FZ163*VLOOKUP('Données projet'!$B$17,Paramètres!$A$1:$I$89,3,0)*VLOOKUP('Données projet'!$B$17,Paramètres!$A$1:$I$89,5,0)</f>
        <v>1.9508661353029313E-13</v>
      </c>
      <c r="GB163" s="13">
        <f t="shared" si="185"/>
        <v>2.711421636700695E-12</v>
      </c>
      <c r="GC163" s="20">
        <f t="shared" si="186"/>
        <v>5.0621685358189711E-12</v>
      </c>
      <c r="GD163" s="59">
        <f t="shared" si="134"/>
        <v>288.48373083897724</v>
      </c>
      <c r="GE163" s="59">
        <f ca="1">AVERAGE(OFFSET($GD$3,0,0,'Données projet'!$E$17+1,1))-AVERAGE(OFFSET($H$3,0,0,'Données projet'!$E$17+1,1))</f>
        <v>460.46300302025099</v>
      </c>
      <c r="GF163" s="59">
        <f t="shared" si="158"/>
        <v>340.22534554615879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117.21902131188523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117.21902131188523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68.677381137901506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1.1368683772161603E-13</v>
      </c>
      <c r="GV163" s="17">
        <f>GU163*VLOOKUP('Données projet'!$B$18,Paramètres!$A$1:$I$89,3,0)*VLOOKUP('Données projet'!$B$18,Paramètres!$A$1:$I$89,5,0)</f>
        <v>6.7984728957526396E-14</v>
      </c>
      <c r="GW163" s="13">
        <f t="shared" si="188"/>
        <v>1.0682447123141398E-12</v>
      </c>
      <c r="GX163" s="20">
        <f t="shared" si="189"/>
        <v>1.978932943548152E-12</v>
      </c>
      <c r="GY163" s="59">
        <f t="shared" si="137"/>
        <v>288.48373083897417</v>
      </c>
      <c r="GZ163" s="59">
        <f ca="1">AVERAGE(OFFSET($GY$3,0,0,'Données projet'!$E$18+1,1))-AVERAGE(OFFSET($H$3,0,0,'Données projet'!$E$18+1,1))</f>
        <v>-15.950000000000017</v>
      </c>
      <c r="HA163" s="59">
        <f t="shared" si="160"/>
        <v>-15.950000000000017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21.261846642849193</v>
      </c>
      <c r="HH163" s="21">
        <f>EXP(-LN(2)/25)*HH162+(1-EXP(-LN(2)/25))/(LN(2)/25)*Calculateur!HC163*Calculateur!HE163*VLOOKUP('Données projet'!$B$18,Paramètres!$A$1:$I$89,3,0)*0.475*44/12</f>
        <v>6.3815107547776861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27.643357397626879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4.3499999999999996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15.949999999999998</v>
      </c>
      <c r="H164" s="67">
        <f t="shared" si="110"/>
        <v>192.86666666666667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-9.9316821433603781E-14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433.46721010558042</v>
      </c>
      <c r="T164" s="59">
        <f t="shared" si="142"/>
        <v>306.18862295347509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30.083404858546956</v>
      </c>
      <c r="AA164" s="21">
        <f>EXP(-LN(2)/25)*AA163+(1-EXP(-LN(2)/25))/(LN(2)/25)*Calculateur!V164*Calculateur!X164*VLOOKUP('Données projet'!$B$9,Paramètres!$A$1:$I$89,3,0)*0.475*44/12</f>
        <v>7.6393842606174847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37.722789119164439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288.56786060016441</v>
      </c>
      <c r="AN164" s="59">
        <f ca="1">AVERAGE(OFFSET($AM$3,0,0,'Données projet'!$E$10+1,1))-AVERAGE(OFFSET($H$3,0,0,'Données projet'!$E$10+1,1))</f>
        <v>400.1942260113168</v>
      </c>
      <c r="AO164" s="59">
        <f t="shared" si="144"/>
        <v>497.04866930593926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20.844914798628846</v>
      </c>
      <c r="AV164" s="21">
        <f>EXP(-LN(2)/25)*AV163+(1-EXP(-LN(2)/25))/(LN(2)/25)*Calculateur!AQ164*Calculateur!AS164*VLOOKUP('Données projet'!$B$10,Paramètres!$A$1:$I$89,3,0)*0.475*44/12</f>
        <v>6.2070080075992244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27.05192280622807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284.78505691662588</v>
      </c>
      <c r="BJ164" s="59">
        <f t="shared" si="146"/>
        <v>664.42623058686308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380.64318988568527</v>
      </c>
      <c r="CE164" s="59">
        <f t="shared" si="148"/>
        <v>885.24651320439159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11.893988443329306</v>
      </c>
      <c r="CL164" s="21">
        <f>EXP(-LN(2)/25)*CL163+(1-EXP(-LN(2)/25))/(LN(2)/25)*Calculateur!CG164*Calculateur!CI164*VLOOKUP('Données projet'!$B$12,Paramètres!$A$1:$I$89,3,0)*0.475*44/12</f>
        <v>1.0842679167607294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12.978256360090036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-6.3550942286383367E-14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404.10467005188889</v>
      </c>
      <c r="CZ164" s="59">
        <f t="shared" si="150"/>
        <v>372.70490129557845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38.946054851954571</v>
      </c>
      <c r="DG164" s="21">
        <f>EXP(-LN(2)/25)*DG163+(1-EXP(-LN(2)/25))/(LN(2)/25)*Calculateur!DB164*Calculateur!DD164*VLOOKUP('Données projet'!$B$13,Paramètres!$A$1:$I$89,3,0)*0.475*44/12</f>
        <v>10.449907150739143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49.395962002693715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6.7283333333333344</v>
      </c>
      <c r="DO164" s="12">
        <f>IF('Données projet'!$A$166&gt;35,DO163+DN164-DW163,IF(A164&lt;'Données projet'!$A$166,$DL$205^A164,IF(A164='Données projet'!$A$166,'Données projet'!$B$166,DO163+DN164-DW163)))</f>
        <v>338.20166666666705</v>
      </c>
      <c r="DP164" s="17">
        <f>DO164*VLOOKUP('Données projet'!$B$14,Paramètres!$A$1:$I$89,3,0)*VLOOKUP('Données projet'!$B$14,Paramètres!$A$1:$I$89,5,0)</f>
        <v>306.00486800000033</v>
      </c>
      <c r="DQ164" s="13">
        <f t="shared" si="176"/>
        <v>72.43385877582034</v>
      </c>
      <c r="DR164" s="20">
        <f t="shared" si="177"/>
        <v>659.11411580122092</v>
      </c>
      <c r="DS164" s="59">
        <f t="shared" si="125"/>
        <v>947.68197640138328</v>
      </c>
      <c r="DT164" s="59">
        <f ca="1">AVERAGE(OFFSET($DS$3,0,0,'Données projet'!$E$14+1,1))-AVERAGE(OFFSET($H$3,0,0,'Données projet'!$E$14+1,1))</f>
        <v>479.53113328461268</v>
      </c>
      <c r="DU164" s="59">
        <f t="shared" si="152"/>
        <v>244.6360664588118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52.462141076086972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52.462141076086972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2.2737367544323206E-13</v>
      </c>
      <c r="EK164" s="17">
        <f>EJ164*VLOOKUP('Données projet'!$B$15,Paramètres!$A$1:$I$89,3,0)*VLOOKUP('Données projet'!$B$15,Paramètres!$A$1:$I$89,5,0)</f>
        <v>1.0049916454590858E-13</v>
      </c>
      <c r="EL164" s="13">
        <f t="shared" si="179"/>
        <v>1.5089081593838289E-12</v>
      </c>
      <c r="EM164" s="20">
        <f t="shared" si="180"/>
        <v>2.8030510891776262E-12</v>
      </c>
      <c r="EN164" s="59">
        <f t="shared" si="128"/>
        <v>288.5678606001652</v>
      </c>
      <c r="EO164" s="59">
        <f ca="1">AVERAGE(OFFSET($EN$3,0,0,'Données projet'!$E$15+1,1))-AVERAGE(OFFSET($H$3,0,0,'Données projet'!$E$15+1,1))</f>
        <v>339.23049610652492</v>
      </c>
      <c r="EP164" s="59">
        <f t="shared" si="154"/>
        <v>448.85057640789785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22.332629604408943</v>
      </c>
      <c r="EW164" s="21">
        <f>EXP(-LN(2)/25)*EW163+(1-EXP(-LN(2)/25))/(LN(2)/25)*Calculateur!ER164*Calculateur!ET164*VLOOKUP('Données projet'!$B$15,Paramètres!$A$1:$I$89,3,0)*0.475*44/12</f>
        <v>7.1370824379451507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29.469712042354093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6.2527760746888816E-13</v>
      </c>
      <c r="FF164" s="17">
        <f>FE164*VLOOKUP('Données projet'!$B$16,Paramètres!$A$1:$I$89,3,0)*VLOOKUP('Données projet'!$B$16,Paramètres!$A$1:$I$89,5,0)</f>
        <v>2.9262992029543964E-13</v>
      </c>
      <c r="FG164" s="13">
        <f t="shared" si="182"/>
        <v>3.8796387982050903E-12</v>
      </c>
      <c r="FH164" s="20">
        <f t="shared" si="183"/>
        <v>7.2667013513884219E-12</v>
      </c>
      <c r="FI164" s="59">
        <f t="shared" si="131"/>
        <v>288.56786060016969</v>
      </c>
      <c r="FJ164" s="59">
        <f ca="1">AVERAGE(OFFSET($FI$3,0,0,'Données projet'!$E$16+1,1))-AVERAGE(OFFSET($H$3,0,0,'Données projet'!$E$16+1,1))</f>
        <v>365.63278362856033</v>
      </c>
      <c r="FK164" s="59">
        <f t="shared" si="156"/>
        <v>290.68267842697452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95.124860526659248</v>
      </c>
      <c r="FR164" s="21">
        <f>EXP(-LN(2)/25)*FR163+(1-EXP(-LN(2)/25))/(LN(2)/25)*Calculateur!FM164*Calculateur!FO164*VLOOKUP('Données projet'!$B$16,Paramètres!$A$1:$I$89,3,0)*0.475*44/12</f>
        <v>28.220225388285289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123.34508591494453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2.2737367544323206E-13</v>
      </c>
      <c r="GA164" s="17">
        <f>FZ164*VLOOKUP('Données projet'!$B$17,Paramètres!$A$1:$I$89,3,0)*VLOOKUP('Données projet'!$B$17,Paramètres!$A$1:$I$89,5,0)</f>
        <v>1.9508661353029313E-13</v>
      </c>
      <c r="GB164" s="13">
        <f t="shared" si="185"/>
        <v>2.711421636700695E-12</v>
      </c>
      <c r="GC164" s="20">
        <f t="shared" si="186"/>
        <v>5.0621685358189711E-12</v>
      </c>
      <c r="GD164" s="59">
        <f t="shared" si="134"/>
        <v>288.56786060016748</v>
      </c>
      <c r="GE164" s="59">
        <f ca="1">AVERAGE(OFFSET($GD$3,0,0,'Données projet'!$E$17+1,1))-AVERAGE(OFFSET($H$3,0,0,'Données projet'!$E$17+1,1))</f>
        <v>460.46300302025099</v>
      </c>
      <c r="GF164" s="59">
        <f t="shared" si="158"/>
        <v>340.22534554615879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114.92042780050247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114.92042780050247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68.700325618226117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1.1368683772161603E-13</v>
      </c>
      <c r="GV164" s="17">
        <f>GU164*VLOOKUP('Données projet'!$B$18,Paramètres!$A$1:$I$89,3,0)*VLOOKUP('Données projet'!$B$18,Paramètres!$A$1:$I$89,5,0)</f>
        <v>6.7984728957526396E-14</v>
      </c>
      <c r="GW164" s="13">
        <f t="shared" si="188"/>
        <v>1.0682447123141398E-12</v>
      </c>
      <c r="GX164" s="20">
        <f t="shared" si="189"/>
        <v>1.978932943548152E-12</v>
      </c>
      <c r="GY164" s="59">
        <f t="shared" si="137"/>
        <v>288.56786060016441</v>
      </c>
      <c r="GZ164" s="59">
        <f ca="1">AVERAGE(OFFSET($GY$3,0,0,'Données projet'!$E$18+1,1))-AVERAGE(OFFSET($H$3,0,0,'Données projet'!$E$18+1,1))</f>
        <v>-15.950000000000017</v>
      </c>
      <c r="HA164" s="59">
        <f t="shared" si="160"/>
        <v>-15.950000000000017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20.844914798628846</v>
      </c>
      <c r="HH164" s="21">
        <f>EXP(-LN(2)/25)*HH163+(1-EXP(-LN(2)/25))/(LN(2)/25)*Calculateur!HC164*Calculateur!HE164*VLOOKUP('Données projet'!$B$18,Paramètres!$A$1:$I$89,3,0)*0.475*44/12</f>
        <v>6.2070080075992244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27.05192280622807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4.3499999999999996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15.949999999999998</v>
      </c>
      <c r="H165" s="67">
        <f t="shared" si="110"/>
        <v>192.86666666666667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-9.9316821433603781E-14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433.46721010558042</v>
      </c>
      <c r="T165" s="59">
        <f t="shared" si="142"/>
        <v>306.18862295347509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29.493487638335996</v>
      </c>
      <c r="AA165" s="21">
        <f>EXP(-LN(2)/25)*AA164+(1-EXP(-LN(2)/25))/(LN(2)/25)*Calculateur!V165*Calculateur!X165*VLOOKUP('Données projet'!$B$9,Paramètres!$A$1:$I$89,3,0)*0.475*44/12</f>
        <v>7.4304848962731409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36.923972534609135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288.65053089808396</v>
      </c>
      <c r="AN165" s="59">
        <f ca="1">AVERAGE(OFFSET($AM$3,0,0,'Données projet'!$E$10+1,1))-AVERAGE(OFFSET($H$3,0,0,'Données projet'!$E$10+1,1))</f>
        <v>400.1942260113168</v>
      </c>
      <c r="AO165" s="59">
        <f t="shared" si="144"/>
        <v>497.04866930593926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20.436158733570345</v>
      </c>
      <c r="AV165" s="21">
        <f>EXP(-LN(2)/25)*AV164+(1-EXP(-LN(2)/25))/(LN(2)/25)*Calculateur!AQ165*Calculateur!AS165*VLOOKUP('Données projet'!$B$10,Paramètres!$A$1:$I$89,3,0)*0.475*44/12</f>
        <v>6.0372770472190584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26.473435780789401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284.78505691662588</v>
      </c>
      <c r="BJ165" s="59">
        <f t="shared" si="146"/>
        <v>664.42623058686308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380.64318988568527</v>
      </c>
      <c r="CE165" s="59">
        <f t="shared" si="148"/>
        <v>885.24651320439159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11.660754584572235</v>
      </c>
      <c r="CL165" s="21">
        <f>EXP(-LN(2)/25)*CL164+(1-EXP(-LN(2)/25))/(LN(2)/25)*Calculateur!CG165*Calculateur!CI165*VLOOKUP('Données projet'!$B$12,Paramètres!$A$1:$I$89,3,0)*0.475*44/12</f>
        <v>1.0546185535577357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12.715373138129971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-6.3550942286383367E-14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404.10467005188889</v>
      </c>
      <c r="CZ165" s="59">
        <f t="shared" si="150"/>
        <v>372.70490129557845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38.182346471055617</v>
      </c>
      <c r="DG165" s="21">
        <f>EXP(-LN(2)/25)*DG164+(1-EXP(-LN(2)/25))/(LN(2)/25)*Calculateur!DB165*Calculateur!DD165*VLOOKUP('Données projet'!$B$13,Paramètres!$A$1:$I$89,3,0)*0.475*44/12</f>
        <v>10.164153890165448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48.346500361221061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6.7283333333333344</v>
      </c>
      <c r="DO165" s="12">
        <f>IF('Données projet'!$A$166&gt;35,DO164+DN165-DW164,IF(A165&lt;'Données projet'!$A$166,$DL$205^A165,IF(A165='Données projet'!$A$166,'Données projet'!$B$166,DO164+DN165-DW164)))</f>
        <v>344.9300000000004</v>
      </c>
      <c r="DP165" s="17">
        <f>DO165*VLOOKUP('Données projet'!$B$14,Paramètres!$A$1:$I$89,3,0)*VLOOKUP('Données projet'!$B$14,Paramètres!$A$1:$I$89,5,0)</f>
        <v>312.09266400000035</v>
      </c>
      <c r="DQ165" s="13">
        <f t="shared" si="176"/>
        <v>73.705690433803952</v>
      </c>
      <c r="DR165" s="20">
        <f t="shared" si="177"/>
        <v>671.93213397220916</v>
      </c>
      <c r="DS165" s="59">
        <f t="shared" si="125"/>
        <v>960.58266487029118</v>
      </c>
      <c r="DT165" s="59">
        <f ca="1">AVERAGE(OFFSET($DS$3,0,0,'Données projet'!$E$14+1,1))-AVERAGE(OFFSET($H$3,0,0,'Données projet'!$E$14+1,1))</f>
        <v>479.53113328461268</v>
      </c>
      <c r="DU165" s="59">
        <f t="shared" si="152"/>
        <v>244.6360664588118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51.433390488331348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51.433390488331348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2.2737367544323206E-13</v>
      </c>
      <c r="EK165" s="17">
        <f>EJ165*VLOOKUP('Données projet'!$B$15,Paramètres!$A$1:$I$89,3,0)*VLOOKUP('Données projet'!$B$15,Paramètres!$A$1:$I$89,5,0)</f>
        <v>1.0049916454590858E-13</v>
      </c>
      <c r="EL165" s="13">
        <f t="shared" si="179"/>
        <v>1.5089081593838289E-12</v>
      </c>
      <c r="EM165" s="20">
        <f t="shared" si="180"/>
        <v>2.8030510891776262E-12</v>
      </c>
      <c r="EN165" s="59">
        <f t="shared" si="128"/>
        <v>288.65053089808475</v>
      </c>
      <c r="EO165" s="59">
        <f ca="1">AVERAGE(OFFSET($EN$3,0,0,'Données projet'!$E$15+1,1))-AVERAGE(OFFSET($H$3,0,0,'Données projet'!$E$15+1,1))</f>
        <v>339.23049610652492</v>
      </c>
      <c r="EP165" s="59">
        <f t="shared" si="154"/>
        <v>448.85057640789785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21.894700359425524</v>
      </c>
      <c r="EW165" s="21">
        <f>EXP(-LN(2)/25)*EW164+(1-EXP(-LN(2)/25))/(LN(2)/25)*Calculateur!ER165*Calculateur!ET165*VLOOKUP('Données projet'!$B$15,Paramètres!$A$1:$I$89,3,0)*0.475*44/12</f>
        <v>6.941918543356687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28.836618902782213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6.2527760746888816E-13</v>
      </c>
      <c r="FF165" s="17">
        <f>FE165*VLOOKUP('Données projet'!$B$16,Paramètres!$A$1:$I$89,3,0)*VLOOKUP('Données projet'!$B$16,Paramètres!$A$1:$I$89,5,0)</f>
        <v>2.9262992029543964E-13</v>
      </c>
      <c r="FG165" s="13">
        <f t="shared" si="182"/>
        <v>3.8796387982050903E-12</v>
      </c>
      <c r="FH165" s="20">
        <f t="shared" si="183"/>
        <v>7.2667013513884219E-12</v>
      </c>
      <c r="FI165" s="59">
        <f t="shared" si="131"/>
        <v>288.65053089808924</v>
      </c>
      <c r="FJ165" s="59">
        <f ca="1">AVERAGE(OFFSET($FI$3,0,0,'Données projet'!$E$16+1,1))-AVERAGE(OFFSET($H$3,0,0,'Données projet'!$E$16+1,1))</f>
        <v>365.63278362856033</v>
      </c>
      <c r="FK165" s="59">
        <f t="shared" si="156"/>
        <v>290.68267842697452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93.259520032167345</v>
      </c>
      <c r="FR165" s="21">
        <f>EXP(-LN(2)/25)*FR164+(1-EXP(-LN(2)/25))/(LN(2)/25)*Calculateur!FM165*Calculateur!FO165*VLOOKUP('Données projet'!$B$16,Paramètres!$A$1:$I$89,3,0)*0.475*44/12</f>
        <v>27.448541841005472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120.70806187317282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2.2737367544323206E-13</v>
      </c>
      <c r="GA165" s="17">
        <f>FZ165*VLOOKUP('Données projet'!$B$17,Paramètres!$A$1:$I$89,3,0)*VLOOKUP('Données projet'!$B$17,Paramètres!$A$1:$I$89,5,0)</f>
        <v>1.9508661353029313E-13</v>
      </c>
      <c r="GB165" s="13">
        <f t="shared" si="185"/>
        <v>2.711421636700695E-12</v>
      </c>
      <c r="GC165" s="20">
        <f t="shared" si="186"/>
        <v>5.0621685358189711E-12</v>
      </c>
      <c r="GD165" s="59">
        <f t="shared" si="134"/>
        <v>288.65053089808703</v>
      </c>
      <c r="GE165" s="59">
        <f ca="1">AVERAGE(OFFSET($GD$3,0,0,'Données projet'!$E$17+1,1))-AVERAGE(OFFSET($H$3,0,0,'Données projet'!$E$17+1,1))</f>
        <v>460.46300302025099</v>
      </c>
      <c r="GF165" s="59">
        <f t="shared" si="158"/>
        <v>340.22534554615879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112.66690830587432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112.66690830587432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68.722872063113272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1.1368683772161603E-13</v>
      </c>
      <c r="GV165" s="17">
        <f>GU165*VLOOKUP('Données projet'!$B$18,Paramètres!$A$1:$I$89,3,0)*VLOOKUP('Données projet'!$B$18,Paramètres!$A$1:$I$89,5,0)</f>
        <v>6.7984728957526396E-14</v>
      </c>
      <c r="GW165" s="13">
        <f t="shared" si="188"/>
        <v>1.0682447123141398E-12</v>
      </c>
      <c r="GX165" s="20">
        <f t="shared" si="189"/>
        <v>1.978932943548152E-12</v>
      </c>
      <c r="GY165" s="59">
        <f t="shared" si="137"/>
        <v>288.65053089808396</v>
      </c>
      <c r="GZ165" s="59">
        <f ca="1">AVERAGE(OFFSET($GY$3,0,0,'Données projet'!$E$18+1,1))-AVERAGE(OFFSET($H$3,0,0,'Données projet'!$E$18+1,1))</f>
        <v>-15.950000000000017</v>
      </c>
      <c r="HA165" s="59">
        <f t="shared" si="160"/>
        <v>-15.950000000000017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20.436158733570345</v>
      </c>
      <c r="HH165" s="21">
        <f>EXP(-LN(2)/25)*HH164+(1-EXP(-LN(2)/25))/(LN(2)/25)*Calculateur!HC165*Calculateur!HE165*VLOOKUP('Données projet'!$B$18,Paramètres!$A$1:$I$89,3,0)*0.475*44/12</f>
        <v>6.0372770472190584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26.473435780789401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4.3499999999999996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15.949999999999998</v>
      </c>
      <c r="H166" s="67">
        <f t="shared" si="110"/>
        <v>192.86666666666667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-9.9316821433603781E-14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433.46721010558042</v>
      </c>
      <c r="T166" s="59">
        <f t="shared" si="142"/>
        <v>306.18862295347509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28.915138334999394</v>
      </c>
      <c r="AA166" s="21">
        <f>EXP(-LN(2)/25)*AA165+(1-EXP(-LN(2)/25))/(LN(2)/25)*Calculateur!V166*Calculateur!X166*VLOOKUP('Données projet'!$B$9,Paramètres!$A$1:$I$89,3,0)*0.475*44/12</f>
        <v>7.2272978960323337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36.142436231031731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288.73176705115782</v>
      </c>
      <c r="AN166" s="59">
        <f ca="1">AVERAGE(OFFSET($AM$3,0,0,'Données projet'!$E$10+1,1))-AVERAGE(OFFSET($H$3,0,0,'Données projet'!$E$10+1,1))</f>
        <v>400.1942260113168</v>
      </c>
      <c r="AO166" s="59">
        <f t="shared" si="144"/>
        <v>497.04866930593926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20.035418125631058</v>
      </c>
      <c r="AV166" s="21">
        <f>EXP(-LN(2)/25)*AV165+(1-EXP(-LN(2)/25))/(LN(2)/25)*Calculateur!AQ166*Calculateur!AS166*VLOOKUP('Données projet'!$B$10,Paramètres!$A$1:$I$89,3,0)*0.475*44/12</f>
        <v>5.8721873888762515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25.90760551450731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284.78505691662588</v>
      </c>
      <c r="BJ166" s="59">
        <f t="shared" si="146"/>
        <v>664.42623058686308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380.64318988568527</v>
      </c>
      <c r="CE166" s="59">
        <f t="shared" si="148"/>
        <v>885.24651320439159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11.432094299526783</v>
      </c>
      <c r="CL166" s="21">
        <f>EXP(-LN(2)/25)*CL165+(1-EXP(-LN(2)/25))/(LN(2)/25)*Calculateur!CG166*Calculateur!CI166*VLOOKUP('Données projet'!$B$12,Paramètres!$A$1:$I$89,3,0)*0.475*44/12</f>
        <v>1.02577995375072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12.457874253277502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-6.3550942286383367E-14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404.10467005188889</v>
      </c>
      <c r="CZ166" s="59">
        <f t="shared" si="150"/>
        <v>372.70490129557845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37.43361394568997</v>
      </c>
      <c r="DG166" s="21">
        <f>EXP(-LN(2)/25)*DG165+(1-EXP(-LN(2)/25))/(LN(2)/25)*Calculateur!DB166*Calculateur!DD166*VLOOKUP('Données projet'!$B$13,Paramètres!$A$1:$I$89,3,0)*0.475*44/12</f>
        <v>9.886214567529251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47.319828513219221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6.7283333333333344</v>
      </c>
      <c r="DO166" s="12">
        <f>IF('Données projet'!$A$166&gt;35,DO165+DN166-DW165,IF(A166&lt;'Données projet'!$A$166,$DL$205^A166,IF(A166='Données projet'!$A$166,'Données projet'!$B$166,DO165+DN166-DW165)))</f>
        <v>351.65833333333376</v>
      </c>
      <c r="DP166" s="17">
        <f>DO166*VLOOKUP('Données projet'!$B$14,Paramètres!$A$1:$I$89,3,0)*VLOOKUP('Données projet'!$B$14,Paramètres!$A$1:$I$89,5,0)</f>
        <v>318.18046000000038</v>
      </c>
      <c r="DQ166" s="13">
        <f t="shared" si="176"/>
        <v>74.974637427298433</v>
      </c>
      <c r="DR166" s="20">
        <f t="shared" si="177"/>
        <v>684.74512801921207</v>
      </c>
      <c r="DS166" s="59">
        <f t="shared" si="125"/>
        <v>973.47689507036785</v>
      </c>
      <c r="DT166" s="59">
        <f ca="1">AVERAGE(OFFSET($DS$3,0,0,'Données projet'!$E$14+1,1))-AVERAGE(OFFSET($H$3,0,0,'Données projet'!$E$14+1,1))</f>
        <v>479.53113328461268</v>
      </c>
      <c r="DU166" s="59">
        <f t="shared" si="152"/>
        <v>244.6360664588118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50.424813072125716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50.424813072125716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2.2737367544323206E-13</v>
      </c>
      <c r="EK166" s="17">
        <f>EJ166*VLOOKUP('Données projet'!$B$15,Paramètres!$A$1:$I$89,3,0)*VLOOKUP('Données projet'!$B$15,Paramètres!$A$1:$I$89,5,0)</f>
        <v>1.0049916454590858E-13</v>
      </c>
      <c r="EL166" s="13">
        <f t="shared" si="179"/>
        <v>1.5089081593838289E-12</v>
      </c>
      <c r="EM166" s="20">
        <f t="shared" si="180"/>
        <v>2.8030510891776262E-12</v>
      </c>
      <c r="EN166" s="59">
        <f t="shared" si="128"/>
        <v>288.73176705115861</v>
      </c>
      <c r="EO166" s="59">
        <f ca="1">AVERAGE(OFFSET($EN$3,0,0,'Données projet'!$E$15+1,1))-AVERAGE(OFFSET($H$3,0,0,'Données projet'!$E$15+1,1))</f>
        <v>339.23049610652492</v>
      </c>
      <c r="EP166" s="59">
        <f t="shared" si="154"/>
        <v>448.85057640789785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21.465358639825766</v>
      </c>
      <c r="EW166" s="21">
        <f>EXP(-LN(2)/25)*EW165+(1-EXP(-LN(2)/25))/(LN(2)/25)*Calculateur!ER166*Calculateur!ET166*VLOOKUP('Données projet'!$B$15,Paramètres!$A$1:$I$89,3,0)*0.475*44/12</f>
        <v>6.7520914157289678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28.217450055554735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6.2527760746888816E-13</v>
      </c>
      <c r="FF166" s="17">
        <f>FE166*VLOOKUP('Données projet'!$B$16,Paramètres!$A$1:$I$89,3,0)*VLOOKUP('Données projet'!$B$16,Paramètres!$A$1:$I$89,5,0)</f>
        <v>2.9262992029543964E-13</v>
      </c>
      <c r="FG166" s="13">
        <f t="shared" si="182"/>
        <v>3.8796387982050903E-12</v>
      </c>
      <c r="FH166" s="20">
        <f t="shared" si="183"/>
        <v>7.2667013513884219E-12</v>
      </c>
      <c r="FI166" s="59">
        <f t="shared" si="131"/>
        <v>288.7317670511631</v>
      </c>
      <c r="FJ166" s="59">
        <f ca="1">AVERAGE(OFFSET($FI$3,0,0,'Données projet'!$E$16+1,1))-AVERAGE(OFFSET($H$3,0,0,'Données projet'!$E$16+1,1))</f>
        <v>365.63278362856033</v>
      </c>
      <c r="FK166" s="59">
        <f t="shared" si="156"/>
        <v>290.68267842697452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91.430757727027057</v>
      </c>
      <c r="FR166" s="21">
        <f>EXP(-LN(2)/25)*FR165+(1-EXP(-LN(2)/25))/(LN(2)/25)*Calculateur!FM166*Calculateur!FO166*VLOOKUP('Données projet'!$B$16,Paramètres!$A$1:$I$89,3,0)*0.475*44/12</f>
        <v>26.697960020907097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118.12871774793416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2.2737367544323206E-13</v>
      </c>
      <c r="GA166" s="17">
        <f>FZ166*VLOOKUP('Données projet'!$B$17,Paramètres!$A$1:$I$89,3,0)*VLOOKUP('Données projet'!$B$17,Paramètres!$A$1:$I$89,5,0)</f>
        <v>1.9508661353029313E-13</v>
      </c>
      <c r="GB166" s="13">
        <f t="shared" si="185"/>
        <v>2.711421636700695E-12</v>
      </c>
      <c r="GC166" s="20">
        <f t="shared" si="186"/>
        <v>5.0621685358189711E-12</v>
      </c>
      <c r="GD166" s="59">
        <f t="shared" si="134"/>
        <v>288.73176705116089</v>
      </c>
      <c r="GE166" s="59">
        <f ca="1">AVERAGE(OFFSET($GD$3,0,0,'Données projet'!$E$17+1,1))-AVERAGE(OFFSET($H$3,0,0,'Données projet'!$E$17+1,1))</f>
        <v>460.46300302025099</v>
      </c>
      <c r="GF166" s="59">
        <f t="shared" si="158"/>
        <v>340.22534554615879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110.45757895402464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110.45757895402464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68.745027377587945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1.1368683772161603E-13</v>
      </c>
      <c r="GV166" s="17">
        <f>GU166*VLOOKUP('Données projet'!$B$18,Paramètres!$A$1:$I$89,3,0)*VLOOKUP('Données projet'!$B$18,Paramètres!$A$1:$I$89,5,0)</f>
        <v>6.7984728957526396E-14</v>
      </c>
      <c r="GW166" s="13">
        <f t="shared" si="188"/>
        <v>1.0682447123141398E-12</v>
      </c>
      <c r="GX166" s="20">
        <f t="shared" si="189"/>
        <v>1.978932943548152E-12</v>
      </c>
      <c r="GY166" s="59">
        <f t="shared" si="137"/>
        <v>288.73176705115782</v>
      </c>
      <c r="GZ166" s="59">
        <f ca="1">AVERAGE(OFFSET($GY$3,0,0,'Données projet'!$E$18+1,1))-AVERAGE(OFFSET($H$3,0,0,'Données projet'!$E$18+1,1))</f>
        <v>-15.950000000000017</v>
      </c>
      <c r="HA166" s="59">
        <f t="shared" si="160"/>
        <v>-15.950000000000017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20.035418125631058</v>
      </c>
      <c r="HH166" s="21">
        <f>EXP(-LN(2)/25)*HH165+(1-EXP(-LN(2)/25))/(LN(2)/25)*Calculateur!HC166*Calculateur!HE166*VLOOKUP('Données projet'!$B$18,Paramètres!$A$1:$I$89,3,0)*0.475*44/12</f>
        <v>5.8721873888762515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25.90760551450731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4.3499999999999996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15.949999999999998</v>
      </c>
      <c r="H167" s="67">
        <f t="shared" si="110"/>
        <v>192.86666666666667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-9.9316821433603781E-14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433.46721010558042</v>
      </c>
      <c r="T167" s="59">
        <f t="shared" si="142"/>
        <v>306.18862295347509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28.348130108742982</v>
      </c>
      <c r="AA167" s="21">
        <f>EXP(-LN(2)/25)*AA166+(1-EXP(-LN(2)/25))/(LN(2)/25)*Calculateur!V167*Calculateur!X167*VLOOKUP('Données projet'!$B$9,Paramètres!$A$1:$I$89,3,0)*0.475*44/12</f>
        <v>7.0296670549982512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35.377797163741235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288.81159393859252</v>
      </c>
      <c r="AN167" s="59">
        <f ca="1">AVERAGE(OFFSET($AM$3,0,0,'Données projet'!$E$10+1,1))-AVERAGE(OFFSET($H$3,0,0,'Données projet'!$E$10+1,1))</f>
        <v>400.1942260113168</v>
      </c>
      <c r="AO167" s="59">
        <f t="shared" si="144"/>
        <v>497.04866930593926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19.642535796585825</v>
      </c>
      <c r="AV167" s="21">
        <f>EXP(-LN(2)/25)*AV166+(1-EXP(-LN(2)/25))/(LN(2)/25)*Calculateur!AQ167*Calculateur!AS167*VLOOKUP('Données projet'!$B$10,Paramètres!$A$1:$I$89,3,0)*0.475*44/12</f>
        <v>5.7116121159225166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25.354147912508342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284.78505691662588</v>
      </c>
      <c r="BJ167" s="59">
        <f t="shared" si="146"/>
        <v>664.42623058686308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380.64318988568527</v>
      </c>
      <c r="CE167" s="59">
        <f t="shared" si="148"/>
        <v>885.24651320439159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11.20791790320207</v>
      </c>
      <c r="CL167" s="21">
        <f>EXP(-LN(2)/25)*CL166+(1-EXP(-LN(2)/25))/(LN(2)/25)*Calculateur!CG167*Calculateur!CI167*VLOOKUP('Données projet'!$B$12,Paramètres!$A$1:$I$89,3,0)*0.475*44/12</f>
        <v>0.99772994697198325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12.205647850174053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-6.3550942286383367E-14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404.10467005188889</v>
      </c>
      <c r="CZ167" s="59">
        <f t="shared" si="150"/>
        <v>372.70490129557845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36.699563608464999</v>
      </c>
      <c r="DG167" s="21">
        <f>EXP(-LN(2)/25)*DG166+(1-EXP(-LN(2)/25))/(LN(2)/25)*Calculateur!DB167*Calculateur!DD167*VLOOKUP('Données projet'!$B$13,Paramètres!$A$1:$I$89,3,0)*0.475*44/12</f>
        <v>9.6158755102867346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46.315439118751733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6.7283333333333344</v>
      </c>
      <c r="DO167" s="12">
        <f>IF('Données projet'!$A$166&gt;35,DO166+DN167-DW166,IF(A167&lt;'Données projet'!$A$166,$DL$205^A167,IF(A167='Données projet'!$A$166,'Données projet'!$B$166,DO166+DN167-DW166)))</f>
        <v>358.38666666666711</v>
      </c>
      <c r="DP167" s="17">
        <f>DO167*VLOOKUP('Données projet'!$B$14,Paramètres!$A$1:$I$89,3,0)*VLOOKUP('Données projet'!$B$14,Paramètres!$A$1:$I$89,5,0)</f>
        <v>324.26825600000041</v>
      </c>
      <c r="DQ167" s="13">
        <f t="shared" si="176"/>
        <v>76.240761312484025</v>
      </c>
      <c r="DR167" s="20">
        <f t="shared" si="177"/>
        <v>697.55320515257699</v>
      </c>
      <c r="DS167" s="59">
        <f t="shared" si="125"/>
        <v>986.36479909116747</v>
      </c>
      <c r="DT167" s="59">
        <f ca="1">AVERAGE(OFFSET($DS$3,0,0,'Données projet'!$E$14+1,1))-AVERAGE(OFFSET($H$3,0,0,'Données projet'!$E$14+1,1))</f>
        <v>479.53113328461268</v>
      </c>
      <c r="DU167" s="59">
        <f t="shared" si="152"/>
        <v>244.6360664588118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49.436013243880389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49.436013243880389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2.2737367544323206E-13</v>
      </c>
      <c r="EK167" s="17">
        <f>EJ167*VLOOKUP('Données projet'!$B$15,Paramètres!$A$1:$I$89,3,0)*VLOOKUP('Données projet'!$B$15,Paramètres!$A$1:$I$89,5,0)</f>
        <v>1.0049916454590858E-13</v>
      </c>
      <c r="EL167" s="13">
        <f t="shared" si="179"/>
        <v>1.5089081593838289E-12</v>
      </c>
      <c r="EM167" s="20">
        <f t="shared" si="180"/>
        <v>2.8030510891776262E-12</v>
      </c>
      <c r="EN167" s="59">
        <f t="shared" si="128"/>
        <v>288.81159393859332</v>
      </c>
      <c r="EO167" s="59">
        <f ca="1">AVERAGE(OFFSET($EN$3,0,0,'Données projet'!$E$15+1,1))-AVERAGE(OFFSET($H$3,0,0,'Données projet'!$E$15+1,1))</f>
        <v>339.23049610652492</v>
      </c>
      <c r="EP167" s="59">
        <f t="shared" si="154"/>
        <v>448.85057640789785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21.044436049474768</v>
      </c>
      <c r="EW167" s="21">
        <f>EXP(-LN(2)/25)*EW166+(1-EXP(-LN(2)/25))/(LN(2)/25)*Calculateur!ER167*Calculateur!ET167*VLOOKUP('Données projet'!$B$15,Paramètres!$A$1:$I$89,3,0)*0.475*44/12</f>
        <v>6.5674551208888037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27.61189117036357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6.2527760746888816E-13</v>
      </c>
      <c r="FF167" s="17">
        <f>FE167*VLOOKUP('Données projet'!$B$16,Paramètres!$A$1:$I$89,3,0)*VLOOKUP('Données projet'!$B$16,Paramètres!$A$1:$I$89,5,0)</f>
        <v>2.9262992029543964E-13</v>
      </c>
      <c r="FG167" s="13">
        <f t="shared" si="182"/>
        <v>3.8796387982050903E-12</v>
      </c>
      <c r="FH167" s="20">
        <f t="shared" si="183"/>
        <v>7.2667013513884219E-12</v>
      </c>
      <c r="FI167" s="59">
        <f t="shared" si="131"/>
        <v>288.81159393859781</v>
      </c>
      <c r="FJ167" s="59">
        <f ca="1">AVERAGE(OFFSET($FI$3,0,0,'Données projet'!$E$16+1,1))-AVERAGE(OFFSET($H$3,0,0,'Données projet'!$E$16+1,1))</f>
        <v>365.63278362856033</v>
      </c>
      <c r="FK167" s="59">
        <f t="shared" si="156"/>
        <v>290.68267842697452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89.637856335255705</v>
      </c>
      <c r="FR167" s="21">
        <f>EXP(-LN(2)/25)*FR166+(1-EXP(-LN(2)/25))/(LN(2)/25)*Calculateur!FM167*Calculateur!FO167*VLOOKUP('Données projet'!$B$16,Paramètres!$A$1:$I$89,3,0)*0.475*44/12</f>
        <v>25.967902900150694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115.6057592354064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2.2737367544323206E-13</v>
      </c>
      <c r="GA167" s="17">
        <f>FZ167*VLOOKUP('Données projet'!$B$17,Paramètres!$A$1:$I$89,3,0)*VLOOKUP('Données projet'!$B$17,Paramètres!$A$1:$I$89,5,0)</f>
        <v>1.9508661353029313E-13</v>
      </c>
      <c r="GB167" s="13">
        <f t="shared" si="185"/>
        <v>2.711421636700695E-12</v>
      </c>
      <c r="GC167" s="20">
        <f t="shared" si="186"/>
        <v>5.0621685358189711E-12</v>
      </c>
      <c r="GD167" s="59">
        <f t="shared" si="134"/>
        <v>288.81159393859559</v>
      </c>
      <c r="GE167" s="59">
        <f ca="1">AVERAGE(OFFSET($GD$3,0,0,'Données projet'!$E$17+1,1))-AVERAGE(OFFSET($H$3,0,0,'Données projet'!$E$17+1,1))</f>
        <v>460.46300302025099</v>
      </c>
      <c r="GF167" s="59">
        <f t="shared" si="158"/>
        <v>340.22534554615879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108.29157320320689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108.29157320320689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68.766798346888322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1.1368683772161603E-13</v>
      </c>
      <c r="GV167" s="17">
        <f>GU167*VLOOKUP('Données projet'!$B$18,Paramètres!$A$1:$I$89,3,0)*VLOOKUP('Données projet'!$B$18,Paramètres!$A$1:$I$89,5,0)</f>
        <v>6.7984728957526396E-14</v>
      </c>
      <c r="GW167" s="13">
        <f t="shared" si="188"/>
        <v>1.0682447123141398E-12</v>
      </c>
      <c r="GX167" s="20">
        <f t="shared" si="189"/>
        <v>1.978932943548152E-12</v>
      </c>
      <c r="GY167" s="59">
        <f t="shared" si="137"/>
        <v>288.81159393859252</v>
      </c>
      <c r="GZ167" s="59">
        <f ca="1">AVERAGE(OFFSET($GY$3,0,0,'Données projet'!$E$18+1,1))-AVERAGE(OFFSET($H$3,0,0,'Données projet'!$E$18+1,1))</f>
        <v>-15.950000000000017</v>
      </c>
      <c r="HA167" s="59">
        <f t="shared" si="160"/>
        <v>-15.950000000000017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19.642535796585825</v>
      </c>
      <c r="HH167" s="21">
        <f>EXP(-LN(2)/25)*HH166+(1-EXP(-LN(2)/25))/(LN(2)/25)*Calculateur!HC167*Calculateur!HE167*VLOOKUP('Données projet'!$B$18,Paramètres!$A$1:$I$89,3,0)*0.475*44/12</f>
        <v>5.7116121159225166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25.354147912508342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4.3499999999999996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15.949999999999998</v>
      </c>
      <c r="H168" s="67">
        <f t="shared" si="110"/>
        <v>192.86666666666667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-9.9316821433603781E-14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433.46721010558042</v>
      </c>
      <c r="T168" s="59">
        <f t="shared" si="142"/>
        <v>306.18862295347509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27.792240567962587</v>
      </c>
      <c r="AA168" s="21">
        <f>EXP(-LN(2)/25)*AA167+(1-EXP(-LN(2)/25))/(LN(2)/25)*Calculateur!V168*Calculateur!X168*VLOOKUP('Données projet'!$B$9,Paramètres!$A$1:$I$89,3,0)*0.475*44/12</f>
        <v>6.8374404397052002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34.629681007667784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288.89003600799646</v>
      </c>
      <c r="AN168" s="59">
        <f ca="1">AVERAGE(OFFSET($AM$3,0,0,'Données projet'!$E$10+1,1))-AVERAGE(OFFSET($H$3,0,0,'Données projet'!$E$10+1,1))</f>
        <v>400.1942260113168</v>
      </c>
      <c r="AO168" s="59">
        <f t="shared" si="144"/>
        <v>497.04866930593926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19.257357650378612</v>
      </c>
      <c r="AV168" s="21">
        <f>EXP(-LN(2)/25)*AV167+(1-EXP(-LN(2)/25))/(LN(2)/25)*Calculateur!AQ168*Calculateur!AS168*VLOOKUP('Données projet'!$B$10,Paramètres!$A$1:$I$89,3,0)*0.475*44/12</f>
        <v>5.5554277822519884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24.812785432630601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284.78505691662588</v>
      </c>
      <c r="BJ168" s="59">
        <f t="shared" si="146"/>
        <v>664.42623058686308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380.64318988568527</v>
      </c>
      <c r="CE168" s="59">
        <f t="shared" si="148"/>
        <v>885.24651320439159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10.988137469275184</v>
      </c>
      <c r="CL168" s="21">
        <f>EXP(-LN(2)/25)*CL167+(1-EXP(-LN(2)/25))/(LN(2)/25)*Calculateur!CG168*Calculateur!CI168*VLOOKUP('Données projet'!$B$12,Paramètres!$A$1:$I$89,3,0)*0.475*44/12</f>
        <v>0.97044696910369677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11.958584438378882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-6.3550942286383367E-14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404.10467005188889</v>
      </c>
      <c r="CZ168" s="59">
        <f t="shared" si="150"/>
        <v>372.70490129557845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35.979907550626514</v>
      </c>
      <c r="DG168" s="21">
        <f>EXP(-LN(2)/25)*DG167+(1-EXP(-LN(2)/25))/(LN(2)/25)*Calculateur!DB168*Calculateur!DD168*VLOOKUP('Données projet'!$B$13,Paramètres!$A$1:$I$89,3,0)*0.475*44/12</f>
        <v>9.3529288887810278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45.332836439407544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6.7283333333333344</v>
      </c>
      <c r="DO168" s="12">
        <f>IF('Données projet'!$A$166&gt;35,DO167+DN168-DW167,IF(A168&lt;'Données projet'!$A$166,$DL$205^A168,IF(A168='Données projet'!$A$166,'Données projet'!$B$166,DO167+DN168-DW167)))</f>
        <v>365.11500000000046</v>
      </c>
      <c r="DP168" s="17">
        <f>DO168*VLOOKUP('Données projet'!$B$14,Paramètres!$A$1:$I$89,3,0)*VLOOKUP('Données projet'!$B$14,Paramètres!$A$1:$I$89,5,0)</f>
        <v>330.35605200000037</v>
      </c>
      <c r="DQ168" s="13">
        <f t="shared" si="176"/>
        <v>77.504121201958469</v>
      </c>
      <c r="DR168" s="20">
        <f t="shared" si="177"/>
        <v>710.35646832674502</v>
      </c>
      <c r="DS168" s="59">
        <f t="shared" si="125"/>
        <v>999.24650433473948</v>
      </c>
      <c r="DT168" s="59">
        <f ca="1">AVERAGE(OFFSET($DS$3,0,0,'Données projet'!$E$14+1,1))-AVERAGE(OFFSET($H$3,0,0,'Données projet'!$E$14+1,1))</f>
        <v>479.53113328461268</v>
      </c>
      <c r="DU168" s="59">
        <f t="shared" si="152"/>
        <v>244.6360664588118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48.466603177158611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48.466603177158611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2.2737367544323206E-13</v>
      </c>
      <c r="EK168" s="17">
        <f>EJ168*VLOOKUP('Données projet'!$B$15,Paramètres!$A$1:$I$89,3,0)*VLOOKUP('Données projet'!$B$15,Paramètres!$A$1:$I$89,5,0)</f>
        <v>1.0049916454590858E-13</v>
      </c>
      <c r="EL168" s="13">
        <f t="shared" si="179"/>
        <v>1.5089081593838289E-12</v>
      </c>
      <c r="EM168" s="20">
        <f t="shared" si="180"/>
        <v>2.8030510891776262E-12</v>
      </c>
      <c r="EN168" s="59">
        <f t="shared" si="128"/>
        <v>288.89003600799725</v>
      </c>
      <c r="EO168" s="59">
        <f ca="1">AVERAGE(OFFSET($EN$3,0,0,'Données projet'!$E$15+1,1))-AVERAGE(OFFSET($H$3,0,0,'Données projet'!$E$15+1,1))</f>
        <v>339.23049610652492</v>
      </c>
      <c r="EP168" s="59">
        <f t="shared" si="154"/>
        <v>448.85057640789785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20.631767494383123</v>
      </c>
      <c r="EW168" s="21">
        <f>EXP(-LN(2)/25)*EW167+(1-EXP(-LN(2)/25))/(LN(2)/25)*Calculateur!ER168*Calculateur!ET168*VLOOKUP('Données projet'!$B$15,Paramètres!$A$1:$I$89,3,0)*0.475*44/12</f>
        <v>6.3878677152406445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27.019635209623768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6.2527760746888816E-13</v>
      </c>
      <c r="FF168" s="17">
        <f>FE168*VLOOKUP('Données projet'!$B$16,Paramètres!$A$1:$I$89,3,0)*VLOOKUP('Données projet'!$B$16,Paramètres!$A$1:$I$89,5,0)</f>
        <v>2.9262992029543964E-13</v>
      </c>
      <c r="FG168" s="13">
        <f t="shared" si="182"/>
        <v>3.8796387982050903E-12</v>
      </c>
      <c r="FH168" s="20">
        <f t="shared" si="183"/>
        <v>7.2667013513884219E-12</v>
      </c>
      <c r="FI168" s="59">
        <f t="shared" si="131"/>
        <v>288.89003600800174</v>
      </c>
      <c r="FJ168" s="59">
        <f ca="1">AVERAGE(OFFSET($FI$3,0,0,'Données projet'!$E$16+1,1))-AVERAGE(OFFSET($H$3,0,0,'Données projet'!$E$16+1,1))</f>
        <v>365.63278362856033</v>
      </c>
      <c r="FK168" s="59">
        <f t="shared" si="156"/>
        <v>290.68267842697452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87.880112646215125</v>
      </c>
      <c r="FR168" s="21">
        <f>EXP(-LN(2)/25)*FR167+(1-EXP(-LN(2)/25))/(LN(2)/25)*Calculateur!FM168*Calculateur!FO168*VLOOKUP('Données projet'!$B$16,Paramètres!$A$1:$I$89,3,0)*0.475*44/12</f>
        <v>25.257809229753409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113.13792187596853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2.2737367544323206E-13</v>
      </c>
      <c r="GA168" s="17">
        <f>FZ168*VLOOKUP('Données projet'!$B$17,Paramètres!$A$1:$I$89,3,0)*VLOOKUP('Données projet'!$B$17,Paramètres!$A$1:$I$89,5,0)</f>
        <v>1.9508661353029313E-13</v>
      </c>
      <c r="GB168" s="13">
        <f t="shared" si="185"/>
        <v>2.711421636700695E-12</v>
      </c>
      <c r="GC168" s="20">
        <f t="shared" si="186"/>
        <v>5.0621685358189711E-12</v>
      </c>
      <c r="GD168" s="59">
        <f t="shared" si="134"/>
        <v>288.89003600799953</v>
      </c>
      <c r="GE168" s="59">
        <f ca="1">AVERAGE(OFFSET($GD$3,0,0,'Données projet'!$E$17+1,1))-AVERAGE(OFFSET($H$3,0,0,'Données projet'!$E$17+1,1))</f>
        <v>460.46300302025099</v>
      </c>
      <c r="GF168" s="59">
        <f t="shared" si="158"/>
        <v>340.22534554615879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106.16804150402963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106.16804150402963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68.78819163854395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1.1368683772161603E-13</v>
      </c>
      <c r="GV168" s="17">
        <f>GU168*VLOOKUP('Données projet'!$B$18,Paramètres!$A$1:$I$89,3,0)*VLOOKUP('Données projet'!$B$18,Paramètres!$A$1:$I$89,5,0)</f>
        <v>6.7984728957526396E-14</v>
      </c>
      <c r="GW168" s="13">
        <f t="shared" si="188"/>
        <v>1.0682447123141398E-12</v>
      </c>
      <c r="GX168" s="20">
        <f t="shared" si="189"/>
        <v>1.978932943548152E-12</v>
      </c>
      <c r="GY168" s="59">
        <f t="shared" si="137"/>
        <v>288.89003600799646</v>
      </c>
      <c r="GZ168" s="59">
        <f ca="1">AVERAGE(OFFSET($GY$3,0,0,'Données projet'!$E$18+1,1))-AVERAGE(OFFSET($H$3,0,0,'Données projet'!$E$18+1,1))</f>
        <v>-15.950000000000017</v>
      </c>
      <c r="HA168" s="59">
        <f t="shared" si="160"/>
        <v>-15.950000000000017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19.257357650378612</v>
      </c>
      <c r="HH168" s="21">
        <f>EXP(-LN(2)/25)*HH167+(1-EXP(-LN(2)/25))/(LN(2)/25)*Calculateur!HC168*Calculateur!HE168*VLOOKUP('Données projet'!$B$18,Paramètres!$A$1:$I$89,3,0)*0.475*44/12</f>
        <v>5.5554277822519884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24.812785432630601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4.3499999999999996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15.949999999999998</v>
      </c>
      <c r="H169" s="67">
        <f t="shared" si="110"/>
        <v>192.86666666666667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-9.9316821433603781E-14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433.46721010558042</v>
      </c>
      <c r="T169" s="59">
        <f t="shared" si="142"/>
        <v>306.18862295347509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27.247251682017755</v>
      </c>
      <c r="AA169" s="21">
        <f>EXP(-LN(2)/25)*AA168+(1-EXP(-LN(2)/25))/(LN(2)/25)*Calculateur!V169*Calculateur!X169*VLOOKUP('Données projet'!$B$9,Paramètres!$A$1:$I$89,3,0)*0.475*44/12</f>
        <v>6.6504702713160961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33.89772195333385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288.96711728286647</v>
      </c>
      <c r="AN169" s="59">
        <f ca="1">AVERAGE(OFFSET($AM$3,0,0,'Données projet'!$E$10+1,1))-AVERAGE(OFFSET($H$3,0,0,'Données projet'!$E$10+1,1))</f>
        <v>400.1942260113168</v>
      </c>
      <c r="AO169" s="59">
        <f t="shared" si="144"/>
        <v>497.04866930593926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18.87973261268305</v>
      </c>
      <c r="AV169" s="21">
        <f>EXP(-LN(2)/25)*AV168+(1-EXP(-LN(2)/25))/(LN(2)/25)*Calculateur!AQ169*Calculateur!AS169*VLOOKUP('Données projet'!$B$10,Paramètres!$A$1:$I$89,3,0)*0.475*44/12</f>
        <v>5.4035143173990576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24.283246930082107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284.78505691662588</v>
      </c>
      <c r="BJ169" s="59">
        <f t="shared" si="146"/>
        <v>664.42623058686308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380.64318988568527</v>
      </c>
      <c r="CE169" s="59">
        <f t="shared" si="148"/>
        <v>885.24651320439159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10.772666795604776</v>
      </c>
      <c r="CL169" s="21">
        <f>EXP(-LN(2)/25)*CL168+(1-EXP(-LN(2)/25))/(LN(2)/25)*Calculateur!CG169*Calculateur!CI169*VLOOKUP('Données projet'!$B$12,Paramètres!$A$1:$I$89,3,0)*0.475*44/12</f>
        <v>0.94391004569996806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11.716576841304743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-6.3550942286383367E-14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404.10467005188889</v>
      </c>
      <c r="CZ169" s="59">
        <f t="shared" si="150"/>
        <v>372.70490129557845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35.274363509135391</v>
      </c>
      <c r="DG169" s="21">
        <f>EXP(-LN(2)/25)*DG168+(1-EXP(-LN(2)/25))/(LN(2)/25)*Calculateur!DB169*Calculateur!DD169*VLOOKUP('Données projet'!$B$13,Paramètres!$A$1:$I$89,3,0)*0.475*44/12</f>
        <v>9.0971725564681574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44.37153606560355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6.7283333333333344</v>
      </c>
      <c r="DO169" s="12">
        <f>IF('Données projet'!$A$166&gt;35,DO168+DN169-DW168,IF(A169&lt;'Données projet'!$A$166,$DL$205^A169,IF(A169='Données projet'!$A$166,'Données projet'!$B$166,DO168+DN169-DW168)))</f>
        <v>371.84333333333382</v>
      </c>
      <c r="DP169" s="17">
        <f>DO169*VLOOKUP('Données projet'!$B$14,Paramètres!$A$1:$I$89,3,0)*VLOOKUP('Données projet'!$B$14,Paramètres!$A$1:$I$89,5,0)</f>
        <v>336.44384800000046</v>
      </c>
      <c r="DQ169" s="13">
        <f t="shared" si="176"/>
        <v>78.764773904949976</v>
      </c>
      <c r="DR169" s="20">
        <f t="shared" si="177"/>
        <v>723.15501648445525</v>
      </c>
      <c r="DS169" s="59">
        <f t="shared" si="125"/>
        <v>1012.1221337673197</v>
      </c>
      <c r="DT169" s="59">
        <f ca="1">AVERAGE(OFFSET($DS$3,0,0,'Données projet'!$E$14+1,1))-AVERAGE(OFFSET($H$3,0,0,'Données projet'!$E$14+1,1))</f>
        <v>479.53113328461268</v>
      </c>
      <c r="DU169" s="59">
        <f t="shared" si="152"/>
        <v>244.6360664588118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47.516202650563493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47.516202650563493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2.2737367544323206E-13</v>
      </c>
      <c r="EK169" s="17">
        <f>EJ169*VLOOKUP('Données projet'!$B$15,Paramètres!$A$1:$I$89,3,0)*VLOOKUP('Données projet'!$B$15,Paramètres!$A$1:$I$89,5,0)</f>
        <v>1.0049916454590858E-13</v>
      </c>
      <c r="EL169" s="13">
        <f t="shared" si="179"/>
        <v>1.5089081593838289E-12</v>
      </c>
      <c r="EM169" s="20">
        <f t="shared" si="180"/>
        <v>2.8030510891776262E-12</v>
      </c>
      <c r="EN169" s="59">
        <f t="shared" si="128"/>
        <v>288.96711728286726</v>
      </c>
      <c r="EO169" s="59">
        <f ca="1">AVERAGE(OFFSET($EN$3,0,0,'Données projet'!$E$15+1,1))-AVERAGE(OFFSET($H$3,0,0,'Données projet'!$E$15+1,1))</f>
        <v>339.23049610652492</v>
      </c>
      <c r="EP169" s="59">
        <f t="shared" si="154"/>
        <v>448.85057640789785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20.227191117953861</v>
      </c>
      <c r="EW169" s="21">
        <f>EXP(-LN(2)/25)*EW168+(1-EXP(-LN(2)/25))/(LN(2)/25)*Calculateur!ER169*Calculateur!ET169*VLOOKUP('Données projet'!$B$15,Paramètres!$A$1:$I$89,3,0)*0.475*44/12</f>
        <v>6.2131911366440251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26.440382254597885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6.2527760746888816E-13</v>
      </c>
      <c r="FF169" s="17">
        <f>FE169*VLOOKUP('Données projet'!$B$16,Paramètres!$A$1:$I$89,3,0)*VLOOKUP('Données projet'!$B$16,Paramètres!$A$1:$I$89,5,0)</f>
        <v>2.9262992029543964E-13</v>
      </c>
      <c r="FG169" s="13">
        <f t="shared" si="182"/>
        <v>3.8796387982050903E-12</v>
      </c>
      <c r="FH169" s="20">
        <f t="shared" si="183"/>
        <v>7.2667013513884219E-12</v>
      </c>
      <c r="FI169" s="59">
        <f t="shared" si="131"/>
        <v>288.96711728287175</v>
      </c>
      <c r="FJ169" s="59">
        <f ca="1">AVERAGE(OFFSET($FI$3,0,0,'Données projet'!$E$16+1,1))-AVERAGE(OFFSET($H$3,0,0,'Données projet'!$E$16+1,1))</f>
        <v>365.63278362856033</v>
      </c>
      <c r="FK169" s="59">
        <f t="shared" si="156"/>
        <v>290.68267842697452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86.156837238798843</v>
      </c>
      <c r="FR169" s="21">
        <f>EXP(-LN(2)/25)*FR168+(1-EXP(-LN(2)/25))/(LN(2)/25)*Calculateur!FM169*Calculateur!FO169*VLOOKUP('Données projet'!$B$16,Paramètres!$A$1:$I$89,3,0)*0.475*44/12</f>
        <v>24.567133108115343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110.72397034691419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2.2737367544323206E-13</v>
      </c>
      <c r="GA169" s="17">
        <f>FZ169*VLOOKUP('Données projet'!$B$17,Paramètres!$A$1:$I$89,3,0)*VLOOKUP('Données projet'!$B$17,Paramètres!$A$1:$I$89,5,0)</f>
        <v>1.9508661353029313E-13</v>
      </c>
      <c r="GB169" s="13">
        <f t="shared" si="185"/>
        <v>2.711421636700695E-12</v>
      </c>
      <c r="GC169" s="20">
        <f t="shared" si="186"/>
        <v>5.0621685358189711E-12</v>
      </c>
      <c r="GD169" s="59">
        <f t="shared" si="134"/>
        <v>288.96711728286954</v>
      </c>
      <c r="GE169" s="59">
        <f ca="1">AVERAGE(OFFSET($GD$3,0,0,'Données projet'!$E$17+1,1))-AVERAGE(OFFSET($H$3,0,0,'Données projet'!$E$17+1,1))</f>
        <v>460.46300302025099</v>
      </c>
      <c r="GF169" s="59">
        <f t="shared" si="158"/>
        <v>340.22534554615879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104.08615096624679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104.08615096624679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68.809213804417581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1.1368683772161603E-13</v>
      </c>
      <c r="GV169" s="17">
        <f>GU169*VLOOKUP('Données projet'!$B$18,Paramètres!$A$1:$I$89,3,0)*VLOOKUP('Données projet'!$B$18,Paramètres!$A$1:$I$89,5,0)</f>
        <v>6.7984728957526396E-14</v>
      </c>
      <c r="GW169" s="13">
        <f t="shared" si="188"/>
        <v>1.0682447123141398E-12</v>
      </c>
      <c r="GX169" s="20">
        <f t="shared" si="189"/>
        <v>1.978932943548152E-12</v>
      </c>
      <c r="GY169" s="59">
        <f t="shared" si="137"/>
        <v>288.96711728286647</v>
      </c>
      <c r="GZ169" s="59">
        <f ca="1">AVERAGE(OFFSET($GY$3,0,0,'Données projet'!$E$18+1,1))-AVERAGE(OFFSET($H$3,0,0,'Données projet'!$E$18+1,1))</f>
        <v>-15.950000000000017</v>
      </c>
      <c r="HA169" s="59">
        <f t="shared" si="160"/>
        <v>-15.950000000000017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18.87973261268305</v>
      </c>
      <c r="HH169" s="21">
        <f>EXP(-LN(2)/25)*HH168+(1-EXP(-LN(2)/25))/(LN(2)/25)*Calculateur!HC169*Calculateur!HE169*VLOOKUP('Données projet'!$B$18,Paramètres!$A$1:$I$89,3,0)*0.475*44/12</f>
        <v>5.4035143173990576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24.283246930082107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4.3499999999999996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15.949999999999998</v>
      </c>
      <c r="H170" s="67">
        <f t="shared" si="110"/>
        <v>192.86666666666667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-9.9316821433603781E-14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433.46721010558042</v>
      </c>
      <c r="T170" s="59">
        <f t="shared" si="142"/>
        <v>306.18862295347509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26.712949695715903</v>
      </c>
      <c r="AA170" s="21">
        <f>EXP(-LN(2)/25)*AA169+(1-EXP(-LN(2)/25))/(LN(2)/25)*Calculateur!V170*Calculateur!X170*VLOOKUP('Données projet'!$B$9,Paramètres!$A$1:$I$89,3,0)*0.475*44/12</f>
        <v>6.4686128120139257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33.181562507729829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289.0428613699454</v>
      </c>
      <c r="AN170" s="59">
        <f ca="1">AVERAGE(OFFSET($AM$3,0,0,'Données projet'!$E$10+1,1))-AVERAGE(OFFSET($H$3,0,0,'Données projet'!$E$10+1,1))</f>
        <v>400.1942260113168</v>
      </c>
      <c r="AO170" s="59">
        <f t="shared" si="144"/>
        <v>497.04866930593926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18.509512571648166</v>
      </c>
      <c r="AV170" s="21">
        <f>EXP(-LN(2)/25)*AV169+(1-EXP(-LN(2)/25))/(LN(2)/25)*Calculateur!AQ170*Calculateur!AS170*VLOOKUP('Données projet'!$B$10,Paramètres!$A$1:$I$89,3,0)*0.475*44/12</f>
        <v>5.2557549342313123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23.765267505879478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284.78505691662588</v>
      </c>
      <c r="BJ170" s="59">
        <f t="shared" si="146"/>
        <v>664.42623058686308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380.64318988568527</v>
      </c>
      <c r="CE170" s="59">
        <f t="shared" si="148"/>
        <v>885.24651320439159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10.561421370420911</v>
      </c>
      <c r="CL170" s="21">
        <f>EXP(-LN(2)/25)*CL169+(1-EXP(-LN(2)/25))/(LN(2)/25)*Calculateur!CG170*Calculateur!CI170*VLOOKUP('Données projet'!$B$12,Paramètres!$A$1:$I$89,3,0)*0.475*44/12</f>
        <v>0.91809877586223043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11.479520146283141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-6.3550942286383367E-14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404.10467005188889</v>
      </c>
      <c r="CZ170" s="59">
        <f t="shared" si="150"/>
        <v>372.70490129557845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34.582654755958536</v>
      </c>
      <c r="DG170" s="21">
        <f>EXP(-LN(2)/25)*DG169+(1-EXP(-LN(2)/25))/(LN(2)/25)*Calculateur!DB170*Calculateur!DD170*VLOOKUP('Données projet'!$B$13,Paramètres!$A$1:$I$89,3,0)*0.475*44/12</f>
        <v>8.848409894512022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43.43106465047056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6.7283333333333344</v>
      </c>
      <c r="DO170" s="12">
        <f>IF('Données projet'!$A$166&gt;35,DO169+DN170-DW169,IF(A170&lt;'Données projet'!$A$166,$DL$205^A170,IF(A170='Données projet'!$A$166,'Données projet'!$B$166,DO169+DN170-DW169)))</f>
        <v>378.57166666666717</v>
      </c>
      <c r="DP170" s="17">
        <f>DO170*VLOOKUP('Données projet'!$B$14,Paramètres!$A$1:$I$89,3,0)*VLOOKUP('Données projet'!$B$14,Paramètres!$A$1:$I$89,5,0)</f>
        <v>342.53164400000043</v>
      </c>
      <c r="DQ170" s="13">
        <f t="shared" si="176"/>
        <v>80.022774057095972</v>
      </c>
      <c r="DR170" s="20">
        <f t="shared" si="177"/>
        <v>735.94894478277627</v>
      </c>
      <c r="DS170" s="59">
        <f t="shared" si="125"/>
        <v>1024.9918061527196</v>
      </c>
      <c r="DT170" s="59">
        <f ca="1">AVERAGE(OFFSET($DS$3,0,0,'Données projet'!$E$14+1,1))-AVERAGE(OFFSET($H$3,0,0,'Données projet'!$E$14+1,1))</f>
        <v>479.53113328461268</v>
      </c>
      <c r="DU170" s="59">
        <f t="shared" si="152"/>
        <v>244.6360664588118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46.584438898607821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46.584438898607821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2.2737367544323206E-13</v>
      </c>
      <c r="EK170" s="17">
        <f>EJ170*VLOOKUP('Données projet'!$B$15,Paramètres!$A$1:$I$89,3,0)*VLOOKUP('Données projet'!$B$15,Paramètres!$A$1:$I$89,5,0)</f>
        <v>1.0049916454590858E-13</v>
      </c>
      <c r="EL170" s="13">
        <f t="shared" si="179"/>
        <v>1.5089081593838289E-12</v>
      </c>
      <c r="EM170" s="20">
        <f t="shared" si="180"/>
        <v>2.8030510891776262E-12</v>
      </c>
      <c r="EN170" s="59">
        <f t="shared" si="128"/>
        <v>289.04286136994619</v>
      </c>
      <c r="EO170" s="59">
        <f ca="1">AVERAGE(OFFSET($EN$3,0,0,'Données projet'!$E$15+1,1))-AVERAGE(OFFSET($H$3,0,0,'Données projet'!$E$15+1,1))</f>
        <v>339.23049610652492</v>
      </c>
      <c r="EP170" s="59">
        <f t="shared" si="154"/>
        <v>448.85057640789785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19.830548237499155</v>
      </c>
      <c r="EW170" s="21">
        <f>EXP(-LN(2)/25)*EW169+(1-EXP(-LN(2)/25))/(LN(2)/25)*Calculateur!ER170*Calculateur!ET170*VLOOKUP('Données projet'!$B$15,Paramètres!$A$1:$I$89,3,0)*0.475*44/12</f>
        <v>6.043291098274973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25.873839335774129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6.2527760746888816E-13</v>
      </c>
      <c r="FF170" s="17">
        <f>FE170*VLOOKUP('Données projet'!$B$16,Paramètres!$A$1:$I$89,3,0)*VLOOKUP('Données projet'!$B$16,Paramètres!$A$1:$I$89,5,0)</f>
        <v>2.9262992029543964E-13</v>
      </c>
      <c r="FG170" s="13">
        <f t="shared" si="182"/>
        <v>3.8796387982050903E-12</v>
      </c>
      <c r="FH170" s="20">
        <f t="shared" si="183"/>
        <v>7.2667013513884219E-12</v>
      </c>
      <c r="FI170" s="59">
        <f t="shared" si="131"/>
        <v>289.04286136995069</v>
      </c>
      <c r="FJ170" s="59">
        <f ca="1">AVERAGE(OFFSET($FI$3,0,0,'Données projet'!$E$16+1,1))-AVERAGE(OFFSET($H$3,0,0,'Données projet'!$E$16+1,1))</f>
        <v>365.63278362856033</v>
      </c>
      <c r="FK170" s="59">
        <f t="shared" si="156"/>
        <v>290.68267842697452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84.467354211027782</v>
      </c>
      <c r="FR170" s="21">
        <f>EXP(-LN(2)/25)*FR169+(1-EXP(-LN(2)/25))/(LN(2)/25)*Calculateur!FM170*Calculateur!FO170*VLOOKUP('Données projet'!$B$16,Paramètres!$A$1:$I$89,3,0)*0.475*44/12</f>
        <v>23.895343561344546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108.36269777237233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2.2737367544323206E-13</v>
      </c>
      <c r="GA170" s="17">
        <f>FZ170*VLOOKUP('Données projet'!$B$17,Paramètres!$A$1:$I$89,3,0)*VLOOKUP('Données projet'!$B$17,Paramètres!$A$1:$I$89,5,0)</f>
        <v>1.9508661353029313E-13</v>
      </c>
      <c r="GB170" s="13">
        <f t="shared" si="185"/>
        <v>2.711421636700695E-12</v>
      </c>
      <c r="GC170" s="20">
        <f t="shared" si="186"/>
        <v>5.0621685358189711E-12</v>
      </c>
      <c r="GD170" s="59">
        <f t="shared" si="134"/>
        <v>289.04286136994847</v>
      </c>
      <c r="GE170" s="59">
        <f ca="1">AVERAGE(OFFSET($GD$3,0,0,'Données projet'!$E$17+1,1))-AVERAGE(OFFSET($H$3,0,0,'Données projet'!$E$17+1,1))</f>
        <v>460.46300302025099</v>
      </c>
      <c r="GF170" s="59">
        <f t="shared" si="158"/>
        <v>340.22534554615879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102.04508503208203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102.04508503208203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68.829871282711835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1.1368683772161603E-13</v>
      </c>
      <c r="GV170" s="17">
        <f>GU170*VLOOKUP('Données projet'!$B$18,Paramètres!$A$1:$I$89,3,0)*VLOOKUP('Données projet'!$B$18,Paramètres!$A$1:$I$89,5,0)</f>
        <v>6.7984728957526396E-14</v>
      </c>
      <c r="GW170" s="13">
        <f t="shared" si="188"/>
        <v>1.0682447123141398E-12</v>
      </c>
      <c r="GX170" s="20">
        <f t="shared" si="189"/>
        <v>1.978932943548152E-12</v>
      </c>
      <c r="GY170" s="59">
        <f t="shared" si="137"/>
        <v>289.0428613699454</v>
      </c>
      <c r="GZ170" s="59">
        <f ca="1">AVERAGE(OFFSET($GY$3,0,0,'Données projet'!$E$18+1,1))-AVERAGE(OFFSET($H$3,0,0,'Données projet'!$E$18+1,1))</f>
        <v>-15.950000000000017</v>
      </c>
      <c r="HA170" s="59">
        <f t="shared" si="160"/>
        <v>-15.950000000000017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18.509512571648166</v>
      </c>
      <c r="HH170" s="21">
        <f>EXP(-LN(2)/25)*HH169+(1-EXP(-LN(2)/25))/(LN(2)/25)*Calculateur!HC170*Calculateur!HE170*VLOOKUP('Données projet'!$B$18,Paramètres!$A$1:$I$89,3,0)*0.475*44/12</f>
        <v>5.2557549342313123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23.765267505879478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4.3499999999999996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15.949999999999998</v>
      </c>
      <c r="H171" s="67">
        <f t="shared" si="110"/>
        <v>192.86666666666667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-9.9316821433603781E-14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433.46721010558042</v>
      </c>
      <c r="T171" s="59">
        <f t="shared" si="142"/>
        <v>306.18862295347509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26.1891250454734</v>
      </c>
      <c r="AA171" s="21">
        <f>EXP(-LN(2)/25)*AA170+(1-EXP(-LN(2)/25))/(LN(2)/25)*Calculateur!V171*Calculateur!X171*VLOOKUP('Données projet'!$B$9,Paramètres!$A$1:$I$89,3,0)*0.475*44/12</f>
        <v>6.2917282544998416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32.480853299973241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289.11729146645189</v>
      </c>
      <c r="AN171" s="59">
        <f ca="1">AVERAGE(OFFSET($AM$3,0,0,'Données projet'!$E$10+1,1))-AVERAGE(OFFSET($H$3,0,0,'Données projet'!$E$10+1,1))</f>
        <v>400.1942260113168</v>
      </c>
      <c r="AO171" s="59">
        <f t="shared" si="144"/>
        <v>497.04866930593926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18.146552319806052</v>
      </c>
      <c r="AV171" s="21">
        <f>EXP(-LN(2)/25)*AV170+(1-EXP(-LN(2)/25))/(LN(2)/25)*Calculateur!AQ171*Calculateur!AS171*VLOOKUP('Données projet'!$B$10,Paramètres!$A$1:$I$89,3,0)*0.475*44/12</f>
        <v>5.1120360391666173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23.25858835897267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284.78505691662588</v>
      </c>
      <c r="BJ171" s="59">
        <f t="shared" si="146"/>
        <v>664.42623058686308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380.64318988568527</v>
      </c>
      <c r="CE171" s="59">
        <f t="shared" si="148"/>
        <v>885.24651320439159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10.354318339177915</v>
      </c>
      <c r="CL171" s="21">
        <f>EXP(-LN(2)/25)*CL170+(1-EXP(-LN(2)/25))/(LN(2)/25)*Calculateur!CG171*Calculateur!CI171*VLOOKUP('Données projet'!$B$12,Paramètres!$A$1:$I$89,3,0)*0.475*44/12</f>
        <v>0.89299331655556147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11.247311655733476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-6.3550942286383367E-14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404.10467005188889</v>
      </c>
      <c r="CZ171" s="59">
        <f t="shared" si="150"/>
        <v>372.70490129557845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33.904509989530794</v>
      </c>
      <c r="DG171" s="21">
        <f>EXP(-LN(2)/25)*DG170+(1-EXP(-LN(2)/25))/(LN(2)/25)*Calculateur!DB171*Calculateur!DD171*VLOOKUP('Données projet'!$B$13,Paramètres!$A$1:$I$89,3,0)*0.475*44/12</f>
        <v>8.6064496606289378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42.510959650159734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>
        <f>VLOOKUP(A171,'Données projet'!$A$165:$I$185,2,0)</f>
        <v>385.3</v>
      </c>
      <c r="DM171" s="12">
        <f>VLOOKUP(A171,'Données projet'!$A$165:$I$185,9,0)</f>
        <v>6.7283333333333344</v>
      </c>
      <c r="DN171" s="12">
        <f t="array" ref="DN171">INDEX(DM:DM,MIN(IF(ISNUMBER(DM171:DM367),ROW(DM171:DM367),"")))</f>
        <v>6.7283333333333344</v>
      </c>
      <c r="DO171" s="12">
        <f>IF('Données projet'!$A$166&gt;35,DO170+DN171-DW170,IF(A171&lt;'Données projet'!$A$166,$DL$205^A171,IF(A171='Données projet'!$A$166,'Données projet'!$B$166,DO170+DN171-DW170)))</f>
        <v>385.30000000000052</v>
      </c>
      <c r="DP171" s="17">
        <f>DO171*VLOOKUP('Données projet'!$B$14,Paramètres!$A$1:$I$89,3,0)*VLOOKUP('Données projet'!$B$14,Paramètres!$A$1:$I$89,5,0)</f>
        <v>348.61944000000045</v>
      </c>
      <c r="DQ171" s="13">
        <f t="shared" si="176"/>
        <v>81.278174240733833</v>
      </c>
      <c r="DR171" s="20">
        <f t="shared" si="177"/>
        <v>748.73834480261223</v>
      </c>
      <c r="DS171" s="59">
        <f t="shared" si="125"/>
        <v>1037.8556362690622</v>
      </c>
      <c r="DT171" s="59">
        <f ca="1">AVERAGE(OFFSET($DS$3,0,0,'Données projet'!$E$14+1,1))-AVERAGE(OFFSET($H$3,0,0,'Données projet'!$E$14+1,1))</f>
        <v>479.53113328461268</v>
      </c>
      <c r="DU171" s="59">
        <f t="shared" si="152"/>
        <v>244.6360664588118</v>
      </c>
      <c r="DV171" s="15">
        <f>IF(ISNA(VLOOKUP(A171,'Données projet'!$A$165:$I$185,3,0)),0,VLOOKUP(A171,'Données projet'!$A$165:$I$185,3,0))</f>
        <v>12</v>
      </c>
      <c r="DW171" s="15">
        <f>IF(ISNA(VLOOKUP(A171,'Données projet'!$A$165:$I$185,4,0)),0,VLOOKUP(A171,'Données projet'!$A$165:$I$185,4,0))</f>
        <v>63.91</v>
      </c>
      <c r="DX171" s="16">
        <f>IF(ISNA(VLOOKUP(A171,'Données projet'!$A$165:$I$185,5,0)),0%,VLOOKUP(A171,'Données projet'!$A$165:$I$185,5,0)*VLOOKUP('Données projet'!$B$14,Paramètres!$A$1:$I$89,7,0))</f>
        <v>0.25800000000000001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62.163512279526259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62.163512279526259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2.2737367544323206E-13</v>
      </c>
      <c r="EK171" s="17">
        <f>EJ171*VLOOKUP('Données projet'!$B$15,Paramètres!$A$1:$I$89,3,0)*VLOOKUP('Données projet'!$B$15,Paramètres!$A$1:$I$89,5,0)</f>
        <v>1.0049916454590858E-13</v>
      </c>
      <c r="EL171" s="13">
        <f t="shared" si="179"/>
        <v>1.5089081593838289E-12</v>
      </c>
      <c r="EM171" s="20">
        <f t="shared" si="180"/>
        <v>2.8030510891776262E-12</v>
      </c>
      <c r="EN171" s="59">
        <f t="shared" si="128"/>
        <v>289.11729146645268</v>
      </c>
      <c r="EO171" s="59">
        <f ca="1">AVERAGE(OFFSET($EN$3,0,0,'Données projet'!$E$15+1,1))-AVERAGE(OFFSET($H$3,0,0,'Données projet'!$E$15+1,1))</f>
        <v>339.23049610652492</v>
      </c>
      <c r="EP171" s="59">
        <f t="shared" si="154"/>
        <v>448.85057640789785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19.441683282001897</v>
      </c>
      <c r="EW171" s="21">
        <f>EXP(-LN(2)/25)*EW170+(1-EXP(-LN(2)/25))/(LN(2)/25)*Calculateur!ER171*Calculateur!ET171*VLOOKUP('Données projet'!$B$15,Paramètres!$A$1:$I$89,3,0)*0.475*44/12</f>
        <v>5.8780369853897776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25.319720267391673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6.2527760746888816E-13</v>
      </c>
      <c r="FF171" s="17">
        <f>FE171*VLOOKUP('Données projet'!$B$16,Paramètres!$A$1:$I$89,3,0)*VLOOKUP('Données projet'!$B$16,Paramètres!$A$1:$I$89,5,0)</f>
        <v>2.9262992029543964E-13</v>
      </c>
      <c r="FG171" s="13">
        <f t="shared" si="182"/>
        <v>3.8796387982050903E-12</v>
      </c>
      <c r="FH171" s="20">
        <f t="shared" si="183"/>
        <v>7.2667013513884219E-12</v>
      </c>
      <c r="FI171" s="59">
        <f t="shared" si="131"/>
        <v>289.11729146645717</v>
      </c>
      <c r="FJ171" s="59">
        <f ca="1">AVERAGE(OFFSET($FI$3,0,0,'Données projet'!$E$16+1,1))-AVERAGE(OFFSET($H$3,0,0,'Données projet'!$E$16+1,1))</f>
        <v>365.63278362856033</v>
      </c>
      <c r="FK171" s="59">
        <f t="shared" si="156"/>
        <v>290.68267842697452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82.811000914948423</v>
      </c>
      <c r="FR171" s="21">
        <f>EXP(-LN(2)/25)*FR170+(1-EXP(-LN(2)/25))/(LN(2)/25)*Calculateur!FM171*Calculateur!FO171*VLOOKUP('Données projet'!$B$16,Paramètres!$A$1:$I$89,3,0)*0.475*44/12</f>
        <v>23.241924135058074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106.05292505000649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2.2737367544323206E-13</v>
      </c>
      <c r="GA171" s="17">
        <f>FZ171*VLOOKUP('Données projet'!$B$17,Paramètres!$A$1:$I$89,3,0)*VLOOKUP('Données projet'!$B$17,Paramètres!$A$1:$I$89,5,0)</f>
        <v>1.9508661353029313E-13</v>
      </c>
      <c r="GB171" s="13">
        <f t="shared" si="185"/>
        <v>2.711421636700695E-12</v>
      </c>
      <c r="GC171" s="20">
        <f t="shared" si="186"/>
        <v>5.0621685358189711E-12</v>
      </c>
      <c r="GD171" s="59">
        <f t="shared" si="134"/>
        <v>289.11729146645496</v>
      </c>
      <c r="GE171" s="59">
        <f ca="1">AVERAGE(OFFSET($GD$3,0,0,'Données projet'!$E$17+1,1))-AVERAGE(OFFSET($H$3,0,0,'Données projet'!$E$17+1,1))</f>
        <v>460.46300302025099</v>
      </c>
      <c r="GF171" s="59">
        <f t="shared" si="158"/>
        <v>340.22534554615879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100.04404315595895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100.04404315595895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68.850170399940879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1.1368683772161603E-13</v>
      </c>
      <c r="GV171" s="17">
        <f>GU171*VLOOKUP('Données projet'!$B$18,Paramètres!$A$1:$I$89,3,0)*VLOOKUP('Données projet'!$B$18,Paramètres!$A$1:$I$89,5,0)</f>
        <v>6.7984728957526396E-14</v>
      </c>
      <c r="GW171" s="13">
        <f t="shared" si="188"/>
        <v>1.0682447123141398E-12</v>
      </c>
      <c r="GX171" s="20">
        <f t="shared" si="189"/>
        <v>1.978932943548152E-12</v>
      </c>
      <c r="GY171" s="59">
        <f t="shared" si="137"/>
        <v>289.11729146645189</v>
      </c>
      <c r="GZ171" s="59">
        <f ca="1">AVERAGE(OFFSET($GY$3,0,0,'Données projet'!$E$18+1,1))-AVERAGE(OFFSET($H$3,0,0,'Données projet'!$E$18+1,1))</f>
        <v>-15.950000000000017</v>
      </c>
      <c r="HA171" s="59">
        <f t="shared" si="160"/>
        <v>-15.950000000000017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18.146552319806052</v>
      </c>
      <c r="HH171" s="21">
        <f>EXP(-LN(2)/25)*HH170+(1-EXP(-LN(2)/25))/(LN(2)/25)*Calculateur!HC171*Calculateur!HE171*VLOOKUP('Données projet'!$B$18,Paramètres!$A$1:$I$89,3,0)*0.475*44/12</f>
        <v>5.1120360391666173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23.25858835897267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4.3499999999999996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15.949999999999998</v>
      </c>
      <c r="H172" s="67">
        <f t="shared" si="110"/>
        <v>192.86666666666667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-9.9316821433603781E-14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433.46721010558042</v>
      </c>
      <c r="T172" s="59">
        <f t="shared" si="142"/>
        <v>306.18862295347509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25.675572277120665</v>
      </c>
      <c r="AA172" s="21">
        <f>EXP(-LN(2)/25)*AA171+(1-EXP(-LN(2)/25))/(LN(2)/25)*Calculateur!V172*Calculateur!X172*VLOOKUP('Données projet'!$B$9,Paramètres!$A$1:$I$89,3,0)*0.475*44/12</f>
        <v>6.1196806145129345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31.795252891633599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289.19043036718483</v>
      </c>
      <c r="AN172" s="59">
        <f ca="1">AVERAGE(OFFSET($AM$3,0,0,'Données projet'!$E$10+1,1))-AVERAGE(OFFSET($H$3,0,0,'Données projet'!$E$10+1,1))</f>
        <v>400.1942260113168</v>
      </c>
      <c r="AO172" s="59">
        <f t="shared" si="144"/>
        <v>497.04866930593926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17.790709497118666</v>
      </c>
      <c r="AV172" s="21">
        <f>EXP(-LN(2)/25)*AV171+(1-EXP(-LN(2)/25))/(LN(2)/25)*Calculateur!AQ172*Calculateur!AS172*VLOOKUP('Données projet'!$B$10,Paramètres!$A$1:$I$89,3,0)*0.475*44/12</f>
        <v>4.9722471448453147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22.762956641963981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284.78505691662588</v>
      </c>
      <c r="BJ172" s="59">
        <f t="shared" si="146"/>
        <v>664.42623058686308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380.64318988568527</v>
      </c>
      <c r="CE172" s="59">
        <f t="shared" si="148"/>
        <v>885.24651320439159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10.151276472057218</v>
      </c>
      <c r="CL172" s="21">
        <f>EXP(-LN(2)/25)*CL171+(1-EXP(-LN(2)/25))/(LN(2)/25)*Calculateur!CG172*Calculateur!CI172*VLOOKUP('Données projet'!$B$12,Paramètres!$A$1:$I$89,3,0)*0.475*44/12</f>
        <v>0.86857436735387206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11.01985083941109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-6.3550942286383367E-14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404.10467005188889</v>
      </c>
      <c r="CZ172" s="59">
        <f t="shared" si="150"/>
        <v>372.70490129557845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33.239663228345236</v>
      </c>
      <c r="DG172" s="21">
        <f>EXP(-LN(2)/25)*DG171+(1-EXP(-LN(2)/25))/(LN(2)/25)*Calculateur!DB172*Calculateur!DD172*VLOOKUP('Données projet'!$B$13,Paramètres!$A$1:$I$89,3,0)*0.475*44/12</f>
        <v>8.3711058420655213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41.610769070410754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6.7000000000000028</v>
      </c>
      <c r="DO172" s="12">
        <f>IF('Données projet'!$A$166&gt;35,DO171+DN172-DW171,IF(A172&lt;'Données projet'!$A$166,$DL$205^A172,IF(A172='Données projet'!$A$166,'Données projet'!$B$166,DO171+DN172-DW171)))</f>
        <v>328.09000000000049</v>
      </c>
      <c r="DP172" s="17">
        <f>DO172*VLOOKUP('Données projet'!$B$14,Paramètres!$A$1:$I$89,3,0)*VLOOKUP('Données projet'!$B$14,Paramètres!$A$1:$I$89,5,0)</f>
        <v>296.85583200000042</v>
      </c>
      <c r="DQ172" s="13">
        <f t="shared" si="176"/>
        <v>70.516921463523971</v>
      </c>
      <c r="DR172" s="20">
        <f t="shared" si="177"/>
        <v>639.84087894897164</v>
      </c>
      <c r="DS172" s="59">
        <f t="shared" si="125"/>
        <v>929.03130931615442</v>
      </c>
      <c r="DT172" s="59">
        <f ca="1">AVERAGE(OFFSET($DS$3,0,0,'Données projet'!$E$14+1,1))-AVERAGE(OFFSET($H$3,0,0,'Données projet'!$E$14+1,1))</f>
        <v>479.53113328461268</v>
      </c>
      <c r="DU172" s="59">
        <f t="shared" si="152"/>
        <v>244.6360664588118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60.944523719723342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60.944523719723342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2.2737367544323206E-13</v>
      </c>
      <c r="EK172" s="17">
        <f>EJ172*VLOOKUP('Données projet'!$B$15,Paramètres!$A$1:$I$89,3,0)*VLOOKUP('Données projet'!$B$15,Paramètres!$A$1:$I$89,5,0)</f>
        <v>1.0049916454590858E-13</v>
      </c>
      <c r="EL172" s="13">
        <f t="shared" si="179"/>
        <v>1.5089081593838289E-12</v>
      </c>
      <c r="EM172" s="20">
        <f t="shared" si="180"/>
        <v>2.8030510891776262E-12</v>
      </c>
      <c r="EN172" s="59">
        <f t="shared" si="128"/>
        <v>289.19043036718563</v>
      </c>
      <c r="EO172" s="59">
        <f ca="1">AVERAGE(OFFSET($EN$3,0,0,'Données projet'!$E$15+1,1))-AVERAGE(OFFSET($H$3,0,0,'Données projet'!$E$15+1,1))</f>
        <v>339.23049610652492</v>
      </c>
      <c r="EP172" s="59">
        <f t="shared" si="154"/>
        <v>448.85057640789785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19.060443731097735</v>
      </c>
      <c r="EW172" s="21">
        <f>EXP(-LN(2)/25)*EW171+(1-EXP(-LN(2)/25))/(LN(2)/25)*Calculateur!ER172*Calculateur!ET172*VLOOKUP('Données projet'!$B$15,Paramètres!$A$1:$I$89,3,0)*0.475*44/12</f>
        <v>5.7173017549117633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24.777745486009497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6.2527760746888816E-13</v>
      </c>
      <c r="FF172" s="17">
        <f>FE172*VLOOKUP('Données projet'!$B$16,Paramètres!$A$1:$I$89,3,0)*VLOOKUP('Données projet'!$B$16,Paramètres!$A$1:$I$89,5,0)</f>
        <v>2.9262992029543964E-13</v>
      </c>
      <c r="FG172" s="13">
        <f t="shared" si="182"/>
        <v>3.8796387982050903E-12</v>
      </c>
      <c r="FH172" s="20">
        <f t="shared" si="183"/>
        <v>7.2667013513884219E-12</v>
      </c>
      <c r="FI172" s="59">
        <f t="shared" si="131"/>
        <v>289.19043036719012</v>
      </c>
      <c r="FJ172" s="59">
        <f ca="1">AVERAGE(OFFSET($FI$3,0,0,'Données projet'!$E$16+1,1))-AVERAGE(OFFSET($H$3,0,0,'Données projet'!$E$16+1,1))</f>
        <v>365.63278362856033</v>
      </c>
      <c r="FK172" s="59">
        <f t="shared" si="156"/>
        <v>290.68267842697452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81.187127696729419</v>
      </c>
      <c r="FR172" s="21">
        <f>EXP(-LN(2)/25)*FR171+(1-EXP(-LN(2)/25))/(LN(2)/25)*Calculateur!FM172*Calculateur!FO172*VLOOKUP('Données projet'!$B$16,Paramètres!$A$1:$I$89,3,0)*0.475*44/12</f>
        <v>22.606372497345241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103.79350019407465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2.2737367544323206E-13</v>
      </c>
      <c r="GA172" s="17">
        <f>FZ172*VLOOKUP('Données projet'!$B$17,Paramètres!$A$1:$I$89,3,0)*VLOOKUP('Données projet'!$B$17,Paramètres!$A$1:$I$89,5,0)</f>
        <v>1.9508661353029313E-13</v>
      </c>
      <c r="GB172" s="13">
        <f t="shared" si="185"/>
        <v>2.711421636700695E-12</v>
      </c>
      <c r="GC172" s="20">
        <f t="shared" si="186"/>
        <v>5.0621685358189711E-12</v>
      </c>
      <c r="GD172" s="59">
        <f t="shared" si="134"/>
        <v>289.1904303671879</v>
      </c>
      <c r="GE172" s="59">
        <f ca="1">AVERAGE(OFFSET($GD$3,0,0,'Données projet'!$E$17+1,1))-AVERAGE(OFFSET($H$3,0,0,'Données projet'!$E$17+1,1))</f>
        <v>460.46300302025099</v>
      </c>
      <c r="GF172" s="59">
        <f t="shared" si="158"/>
        <v>340.22534554615879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98.082240490511609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98.082240490511609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68.870117372868037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1.1368683772161603E-13</v>
      </c>
      <c r="GV172" s="17">
        <f>GU172*VLOOKUP('Données projet'!$B$18,Paramètres!$A$1:$I$89,3,0)*VLOOKUP('Données projet'!$B$18,Paramètres!$A$1:$I$89,5,0)</f>
        <v>6.7984728957526396E-14</v>
      </c>
      <c r="GW172" s="13">
        <f t="shared" si="188"/>
        <v>1.0682447123141398E-12</v>
      </c>
      <c r="GX172" s="20">
        <f t="shared" si="189"/>
        <v>1.978932943548152E-12</v>
      </c>
      <c r="GY172" s="59">
        <f t="shared" si="137"/>
        <v>289.19043036718483</v>
      </c>
      <c r="GZ172" s="59">
        <f ca="1">AVERAGE(OFFSET($GY$3,0,0,'Données projet'!$E$18+1,1))-AVERAGE(OFFSET($H$3,0,0,'Données projet'!$E$18+1,1))</f>
        <v>-15.950000000000017</v>
      </c>
      <c r="HA172" s="59">
        <f t="shared" si="160"/>
        <v>-15.950000000000017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17.790709497118666</v>
      </c>
      <c r="HH172" s="21">
        <f>EXP(-LN(2)/25)*HH171+(1-EXP(-LN(2)/25))/(LN(2)/25)*Calculateur!HC172*Calculateur!HE172*VLOOKUP('Données projet'!$B$18,Paramètres!$A$1:$I$89,3,0)*0.475*44/12</f>
        <v>4.9722471448453147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22.762956641963981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4.3499999999999996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15.949999999999998</v>
      </c>
      <c r="H173" s="67">
        <f t="shared" si="110"/>
        <v>192.86666666666667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-9.9316821433603781E-14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433.46721010558042</v>
      </c>
      <c r="T173" s="59">
        <f t="shared" si="142"/>
        <v>306.18862295347509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25.172089965319067</v>
      </c>
      <c r="AA173" s="21">
        <f>EXP(-LN(2)/25)*AA172+(1-EXP(-LN(2)/25))/(LN(2)/25)*Calculateur!V173*Calculateur!X173*VLOOKUP('Données projet'!$B$9,Paramètres!$A$1:$I$89,3,0)*0.475*44/12</f>
        <v>5.9523376262890615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31.124427591608129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289.26230047150403</v>
      </c>
      <c r="AN173" s="59">
        <f ca="1">AVERAGE(OFFSET($AM$3,0,0,'Données projet'!$E$10+1,1))-AVERAGE(OFFSET($H$3,0,0,'Données projet'!$E$10+1,1))</f>
        <v>400.1942260113168</v>
      </c>
      <c r="AO173" s="59">
        <f t="shared" si="144"/>
        <v>497.04866930593926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17.441844535141488</v>
      </c>
      <c r="AV173" s="21">
        <f>EXP(-LN(2)/25)*AV172+(1-EXP(-LN(2)/25))/(LN(2)/25)*Calculateur!AQ173*Calculateur!AS173*VLOOKUP('Données projet'!$B$10,Paramètres!$A$1:$I$89,3,0)*0.475*44/12</f>
        <v>4.8362807851904064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22.278125320331895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284.78505691662588</v>
      </c>
      <c r="BJ173" s="59">
        <f t="shared" si="146"/>
        <v>664.42623058686308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380.64318988568527</v>
      </c>
      <c r="CE173" s="59">
        <f t="shared" si="148"/>
        <v>885.24651320439159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9.9522161321074467</v>
      </c>
      <c r="CL173" s="21">
        <f>EXP(-LN(2)/25)*CL172+(1-EXP(-LN(2)/25))/(LN(2)/25)*Calculateur!CG173*Calculateur!CI173*VLOOKUP('Données projet'!$B$12,Paramètres!$A$1:$I$89,3,0)*0.475*44/12</f>
        <v>0.84482315560223964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10.797039287709687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-6.3550942286383367E-14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404.10467005188889</v>
      </c>
      <c r="CZ173" s="59">
        <f t="shared" si="150"/>
        <v>372.70490129557845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32.587853706630042</v>
      </c>
      <c r="DG173" s="21">
        <f>EXP(-LN(2)/25)*DG172+(1-EXP(-LN(2)/25))/(LN(2)/25)*Calculateur!DB173*Calculateur!DD173*VLOOKUP('Données projet'!$B$13,Paramètres!$A$1:$I$89,3,0)*0.475*44/12</f>
        <v>8.1421975125969155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40.730051219226958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6.7000000000000028</v>
      </c>
      <c r="DO173" s="12">
        <f>IF('Données projet'!$A$166&gt;35,DO172+DN173-DW172,IF(A173&lt;'Données projet'!$A$166,$DL$205^A173,IF(A173='Données projet'!$A$166,'Données projet'!$B$166,DO172+DN173-DW172)))</f>
        <v>334.79000000000048</v>
      </c>
      <c r="DP173" s="17">
        <f>DO173*VLOOKUP('Données projet'!$B$14,Paramètres!$A$1:$I$89,3,0)*VLOOKUP('Données projet'!$B$14,Paramètres!$A$1:$I$89,5,0)</f>
        <v>302.91799200000042</v>
      </c>
      <c r="DQ173" s="13">
        <f t="shared" si="176"/>
        <v>71.787841636558923</v>
      </c>
      <c r="DR173" s="20">
        <f t="shared" si="177"/>
        <v>652.61266025034092</v>
      </c>
      <c r="DS173" s="59">
        <f t="shared" si="125"/>
        <v>941.87496072184297</v>
      </c>
      <c r="DT173" s="59">
        <f ca="1">AVERAGE(OFFSET($DS$3,0,0,'Données projet'!$E$14+1,1))-AVERAGE(OFFSET($H$3,0,0,'Données projet'!$E$14+1,1))</f>
        <v>479.53113328461268</v>
      </c>
      <c r="DU173" s="59">
        <f t="shared" si="152"/>
        <v>244.6360664588118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59.749438782068559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59.749438782068559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2.2737367544323206E-13</v>
      </c>
      <c r="EK173" s="17">
        <f>EJ173*VLOOKUP('Données projet'!$B$15,Paramètres!$A$1:$I$89,3,0)*VLOOKUP('Données projet'!$B$15,Paramètres!$A$1:$I$89,5,0)</f>
        <v>1.0049916454590858E-13</v>
      </c>
      <c r="EL173" s="13">
        <f t="shared" si="179"/>
        <v>1.5089081593838289E-12</v>
      </c>
      <c r="EM173" s="20">
        <f t="shared" si="180"/>
        <v>2.8030510891776262E-12</v>
      </c>
      <c r="EN173" s="59">
        <f t="shared" si="128"/>
        <v>289.26230047150483</v>
      </c>
      <c r="EO173" s="59">
        <f ca="1">AVERAGE(OFFSET($EN$3,0,0,'Données projet'!$E$15+1,1))-AVERAGE(OFFSET($H$3,0,0,'Données projet'!$E$15+1,1))</f>
        <v>339.23049610652492</v>
      </c>
      <c r="EP173" s="59">
        <f t="shared" si="154"/>
        <v>448.85057640789785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18.686680055253639</v>
      </c>
      <c r="EW173" s="21">
        <f>EXP(-LN(2)/25)*EW172+(1-EXP(-LN(2)/25))/(LN(2)/25)*Calculateur!ER173*Calculateur!ET173*VLOOKUP('Données projet'!$B$15,Paramètres!$A$1:$I$89,3,0)*0.475*44/12</f>
        <v>5.5609618377638688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24.247641893017509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6.2527760746888816E-13</v>
      </c>
      <c r="FF173" s="17">
        <f>FE173*VLOOKUP('Données projet'!$B$16,Paramètres!$A$1:$I$89,3,0)*VLOOKUP('Données projet'!$B$16,Paramètres!$A$1:$I$89,5,0)</f>
        <v>2.9262992029543964E-13</v>
      </c>
      <c r="FG173" s="13">
        <f t="shared" si="182"/>
        <v>3.8796387982050903E-12</v>
      </c>
      <c r="FH173" s="20">
        <f t="shared" si="183"/>
        <v>7.2667013513884219E-12</v>
      </c>
      <c r="FI173" s="59">
        <f t="shared" si="131"/>
        <v>289.26230047150932</v>
      </c>
      <c r="FJ173" s="59">
        <f ca="1">AVERAGE(OFFSET($FI$3,0,0,'Données projet'!$E$16+1,1))-AVERAGE(OFFSET($H$3,0,0,'Données projet'!$E$16+1,1))</f>
        <v>365.63278362856033</v>
      </c>
      <c r="FK173" s="59">
        <f t="shared" si="156"/>
        <v>290.68267842697452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79.595097641854835</v>
      </c>
      <c r="FR173" s="21">
        <f>EXP(-LN(2)/25)*FR172+(1-EXP(-LN(2)/25))/(LN(2)/25)*Calculateur!FM173*Calculateur!FO173*VLOOKUP('Données projet'!$B$16,Paramètres!$A$1:$I$89,3,0)*0.475*44/12</f>
        <v>21.988200052587874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101.58329769444271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2.2737367544323206E-13</v>
      </c>
      <c r="GA173" s="17">
        <f>FZ173*VLOOKUP('Données projet'!$B$17,Paramètres!$A$1:$I$89,3,0)*VLOOKUP('Données projet'!$B$17,Paramètres!$A$1:$I$89,5,0)</f>
        <v>1.9508661353029313E-13</v>
      </c>
      <c r="GB173" s="13">
        <f t="shared" si="185"/>
        <v>2.711421636700695E-12</v>
      </c>
      <c r="GC173" s="20">
        <f t="shared" si="186"/>
        <v>5.0621685358189711E-12</v>
      </c>
      <c r="GD173" s="59">
        <f t="shared" si="134"/>
        <v>289.2623004715071</v>
      </c>
      <c r="GE173" s="59">
        <f ca="1">AVERAGE(OFFSET($GD$3,0,0,'Données projet'!$E$17+1,1))-AVERAGE(OFFSET($H$3,0,0,'Données projet'!$E$17+1,1))</f>
        <v>460.46300302025099</v>
      </c>
      <c r="GF173" s="59">
        <f t="shared" si="158"/>
        <v>340.22534554615879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96.158907578752221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96.158907578752221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68.889718310409648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1.1368683772161603E-13</v>
      </c>
      <c r="GV173" s="17">
        <f>GU173*VLOOKUP('Données projet'!$B$18,Paramètres!$A$1:$I$89,3,0)*VLOOKUP('Données projet'!$B$18,Paramètres!$A$1:$I$89,5,0)</f>
        <v>6.7984728957526396E-14</v>
      </c>
      <c r="GW173" s="13">
        <f t="shared" si="188"/>
        <v>1.0682447123141398E-12</v>
      </c>
      <c r="GX173" s="20">
        <f t="shared" si="189"/>
        <v>1.978932943548152E-12</v>
      </c>
      <c r="GY173" s="59">
        <f t="shared" si="137"/>
        <v>289.26230047150403</v>
      </c>
      <c r="GZ173" s="59">
        <f ca="1">AVERAGE(OFFSET($GY$3,0,0,'Données projet'!$E$18+1,1))-AVERAGE(OFFSET($H$3,0,0,'Données projet'!$E$18+1,1))</f>
        <v>-15.950000000000017</v>
      </c>
      <c r="HA173" s="59">
        <f t="shared" si="160"/>
        <v>-15.950000000000017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17.441844535141488</v>
      </c>
      <c r="HH173" s="21">
        <f>EXP(-LN(2)/25)*HH172+(1-EXP(-LN(2)/25))/(LN(2)/25)*Calculateur!HC173*Calculateur!HE173*VLOOKUP('Données projet'!$B$18,Paramètres!$A$1:$I$89,3,0)*0.475*44/12</f>
        <v>4.8362807851904064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22.278125320331895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4.3499999999999996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15.949999999999998</v>
      </c>
      <c r="H174" s="67">
        <f t="shared" si="110"/>
        <v>192.86666666666667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-9.9316821433603781E-14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433.46721010558042</v>
      </c>
      <c r="T174" s="59">
        <f t="shared" si="142"/>
        <v>306.18862295347509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24.67848063455801</v>
      </c>
      <c r="AA174" s="21">
        <f>EXP(-LN(2)/25)*AA173+(1-EXP(-LN(2)/25))/(LN(2)/25)*Calculateur!V174*Calculateur!X174*VLOOKUP('Données projet'!$B$9,Paramètres!$A$1:$I$89,3,0)*0.475*44/12</f>
        <v>5.7895706408783552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30.468051275436366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289.33292379019076</v>
      </c>
      <c r="AN174" s="59">
        <f ca="1">AVERAGE(OFFSET($AM$3,0,0,'Données projet'!$E$10+1,1))-AVERAGE(OFFSET($H$3,0,0,'Données projet'!$E$10+1,1))</f>
        <v>400.1942260113168</v>
      </c>
      <c r="AO174" s="59">
        <f t="shared" si="144"/>
        <v>497.04866930593926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17.099820602282069</v>
      </c>
      <c r="AV174" s="21">
        <f>EXP(-LN(2)/25)*AV173+(1-EXP(-LN(2)/25))/(LN(2)/25)*Calculateur!AQ174*Calculateur!AS174*VLOOKUP('Données projet'!$B$10,Paramètres!$A$1:$I$89,3,0)*0.475*44/12</f>
        <v>4.7040324327904219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21.803853035072493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284.78505691662588</v>
      </c>
      <c r="BJ174" s="59">
        <f t="shared" si="146"/>
        <v>664.42623058686308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380.64318988568527</v>
      </c>
      <c r="CE174" s="59">
        <f t="shared" si="148"/>
        <v>885.24651320439159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9.7570592440092732</v>
      </c>
      <c r="CL174" s="21">
        <f>EXP(-LN(2)/25)*CL173+(1-EXP(-LN(2)/25))/(LN(2)/25)*Calculateur!CG174*Calculateur!CI174*VLOOKUP('Données projet'!$B$12,Paramètres!$A$1:$I$89,3,0)*0.475*44/12</f>
        <v>0.82172142198497755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10.57878066599425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-6.3550942286383367E-14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404.10467005188889</v>
      </c>
      <c r="CZ174" s="59">
        <f t="shared" si="150"/>
        <v>372.70490129557845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31.948825772071135</v>
      </c>
      <c r="DG174" s="21">
        <f>EXP(-LN(2)/25)*DG173+(1-EXP(-LN(2)/25))/(LN(2)/25)*Calculateur!DB174*Calculateur!DD174*VLOOKUP('Données projet'!$B$13,Paramètres!$A$1:$I$89,3,0)*0.475*44/12</f>
        <v>7.9195486934353951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39.868374465506534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6.7000000000000028</v>
      </c>
      <c r="DO174" s="12">
        <f>IF('Données projet'!$A$166&gt;35,DO173+DN174-DW173,IF(A174&lt;'Données projet'!$A$166,$DL$205^A174,IF(A174='Données projet'!$A$166,'Données projet'!$B$166,DO173+DN174-DW173)))</f>
        <v>341.49000000000046</v>
      </c>
      <c r="DP174" s="17">
        <f>DO174*VLOOKUP('Données projet'!$B$14,Paramètres!$A$1:$I$89,3,0)*VLOOKUP('Données projet'!$B$14,Paramètres!$A$1:$I$89,5,0)</f>
        <v>308.98015200000043</v>
      </c>
      <c r="DQ174" s="13">
        <f t="shared" si="176"/>
        <v>73.055804488466123</v>
      </c>
      <c r="DR174" s="20">
        <f t="shared" si="177"/>
        <v>665.3792908840793</v>
      </c>
      <c r="DS174" s="59">
        <f t="shared" si="125"/>
        <v>954.71221467426813</v>
      </c>
      <c r="DT174" s="59">
        <f ca="1">AVERAGE(OFFSET($DS$3,0,0,'Données projet'!$E$14+1,1))-AVERAGE(OFFSET($H$3,0,0,'Données projet'!$E$14+1,1))</f>
        <v>479.53113328461268</v>
      </c>
      <c r="DU174" s="59">
        <f t="shared" si="152"/>
        <v>244.6360664588118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58.577788731111347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58.577788731111347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2.2737367544323206E-13</v>
      </c>
      <c r="EK174" s="17">
        <f>EJ174*VLOOKUP('Données projet'!$B$15,Paramètres!$A$1:$I$89,3,0)*VLOOKUP('Données projet'!$B$15,Paramètres!$A$1:$I$89,5,0)</f>
        <v>1.0049916454590858E-13</v>
      </c>
      <c r="EL174" s="13">
        <f t="shared" si="179"/>
        <v>1.5089081593838289E-12</v>
      </c>
      <c r="EM174" s="20">
        <f t="shared" si="180"/>
        <v>2.8030510891776262E-12</v>
      </c>
      <c r="EN174" s="59">
        <f t="shared" si="128"/>
        <v>289.33292379019156</v>
      </c>
      <c r="EO174" s="59">
        <f ca="1">AVERAGE(OFFSET($EN$3,0,0,'Données projet'!$E$15+1,1))-AVERAGE(OFFSET($H$3,0,0,'Données projet'!$E$15+1,1))</f>
        <v>339.23049610652492</v>
      </c>
      <c r="EP174" s="59">
        <f t="shared" si="154"/>
        <v>448.85057640789785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18.320245657119514</v>
      </c>
      <c r="EW174" s="21">
        <f>EXP(-LN(2)/25)*EW173+(1-EXP(-LN(2)/25))/(LN(2)/25)*Calculateur!ER174*Calculateur!ET174*VLOOKUP('Données projet'!$B$15,Paramètres!$A$1:$I$89,3,0)*0.475*44/12</f>
        <v>5.4088970438719421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23.729142700991456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6.2527760746888816E-13</v>
      </c>
      <c r="FF174" s="17">
        <f>FE174*VLOOKUP('Données projet'!$B$16,Paramètres!$A$1:$I$89,3,0)*VLOOKUP('Données projet'!$B$16,Paramètres!$A$1:$I$89,5,0)</f>
        <v>2.9262992029543964E-13</v>
      </c>
      <c r="FG174" s="13">
        <f t="shared" si="182"/>
        <v>3.8796387982050903E-12</v>
      </c>
      <c r="FH174" s="20">
        <f t="shared" si="183"/>
        <v>7.2667013513884219E-12</v>
      </c>
      <c r="FI174" s="59">
        <f t="shared" si="131"/>
        <v>289.33292379019605</v>
      </c>
      <c r="FJ174" s="59">
        <f ca="1">AVERAGE(OFFSET($FI$3,0,0,'Données projet'!$E$16+1,1))-AVERAGE(OFFSET($H$3,0,0,'Données projet'!$E$16+1,1))</f>
        <v>365.63278362856033</v>
      </c>
      <c r="FK174" s="59">
        <f t="shared" si="156"/>
        <v>290.68267842697452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78.034286325313886</v>
      </c>
      <c r="FR174" s="21">
        <f>EXP(-LN(2)/25)*FR173+(1-EXP(-LN(2)/25))/(LN(2)/25)*Calculateur!FM174*Calculateur!FO174*VLOOKUP('Données projet'!$B$16,Paramètres!$A$1:$I$89,3,0)*0.475*44/12</f>
        <v>21.386931565840673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99.421217891154555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2.2737367544323206E-13</v>
      </c>
      <c r="GA174" s="17">
        <f>FZ174*VLOOKUP('Données projet'!$B$17,Paramètres!$A$1:$I$89,3,0)*VLOOKUP('Données projet'!$B$17,Paramètres!$A$1:$I$89,5,0)</f>
        <v>1.9508661353029313E-13</v>
      </c>
      <c r="GB174" s="13">
        <f t="shared" si="185"/>
        <v>2.711421636700695E-12</v>
      </c>
      <c r="GC174" s="20">
        <f t="shared" si="186"/>
        <v>5.0621685358189711E-12</v>
      </c>
      <c r="GD174" s="59">
        <f t="shared" si="134"/>
        <v>289.33292379019383</v>
      </c>
      <c r="GE174" s="59">
        <f ca="1">AVERAGE(OFFSET($GD$3,0,0,'Données projet'!$E$17+1,1))-AVERAGE(OFFSET($H$3,0,0,'Données projet'!$E$17+1,1))</f>
        <v>460.46300302025099</v>
      </c>
      <c r="GF174" s="59">
        <f t="shared" si="158"/>
        <v>340.22534554615879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94.273290052275186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94.273290052275186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68.908979215506037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1.1368683772161603E-13</v>
      </c>
      <c r="GV174" s="17">
        <f>GU174*VLOOKUP('Données projet'!$B$18,Paramètres!$A$1:$I$89,3,0)*VLOOKUP('Données projet'!$B$18,Paramètres!$A$1:$I$89,5,0)</f>
        <v>6.7984728957526396E-14</v>
      </c>
      <c r="GW174" s="13">
        <f t="shared" si="188"/>
        <v>1.0682447123141398E-12</v>
      </c>
      <c r="GX174" s="20">
        <f t="shared" si="189"/>
        <v>1.978932943548152E-12</v>
      </c>
      <c r="GY174" s="59">
        <f t="shared" si="137"/>
        <v>289.33292379019076</v>
      </c>
      <c r="GZ174" s="59">
        <f ca="1">AVERAGE(OFFSET($GY$3,0,0,'Données projet'!$E$18+1,1))-AVERAGE(OFFSET($H$3,0,0,'Données projet'!$E$18+1,1))</f>
        <v>-15.950000000000017</v>
      </c>
      <c r="HA174" s="59">
        <f t="shared" si="160"/>
        <v>-15.950000000000017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17.099820602282069</v>
      </c>
      <c r="HH174" s="21">
        <f>EXP(-LN(2)/25)*HH173+(1-EXP(-LN(2)/25))/(LN(2)/25)*Calculateur!HC174*Calculateur!HE174*VLOOKUP('Données projet'!$B$18,Paramètres!$A$1:$I$89,3,0)*0.475*44/12</f>
        <v>4.7040324327904219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21.803853035072493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4.3499999999999996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15.949999999999998</v>
      </c>
      <c r="H175" s="67">
        <f t="shared" si="110"/>
        <v>192.86666666666667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-9.9316821433603781E-14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433.46721010558042</v>
      </c>
      <c r="T175" s="59">
        <f t="shared" si="142"/>
        <v>306.18862295347509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24.194550681701216</v>
      </c>
      <c r="AA175" s="21">
        <f>EXP(-LN(2)/25)*AA174+(1-EXP(-LN(2)/25))/(LN(2)/25)*Calculateur!V175*Calculateur!X175*VLOOKUP('Données projet'!$B$9,Paramètres!$A$1:$I$89,3,0)*0.475*44/12</f>
        <v>5.6312545272432484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29.825805208944466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289.40232195218846</v>
      </c>
      <c r="AN175" s="59">
        <f ca="1">AVERAGE(OFFSET($AM$3,0,0,'Données projet'!$E$10+1,1))-AVERAGE(OFFSET($H$3,0,0,'Données projet'!$E$10+1,1))</f>
        <v>400.1942260113168</v>
      </c>
      <c r="AO175" s="59">
        <f t="shared" si="144"/>
        <v>497.04866930593926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16.764503550132023</v>
      </c>
      <c r="AV175" s="21">
        <f>EXP(-LN(2)/25)*AV174+(1-EXP(-LN(2)/25))/(LN(2)/25)*Calculateur!AQ175*Calculateur!AS175*VLOOKUP('Données projet'!$B$10,Paramètres!$A$1:$I$89,3,0)*0.475*44/12</f>
        <v>4.5754004185414532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21.339903968673475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284.78505691662588</v>
      </c>
      <c r="BJ175" s="59">
        <f t="shared" si="146"/>
        <v>664.42623058686308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380.64318988568527</v>
      </c>
      <c r="CE175" s="59">
        <f t="shared" si="148"/>
        <v>885.24651320439159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9.5657292634527558</v>
      </c>
      <c r="CL175" s="21">
        <f>EXP(-LN(2)/25)*CL174+(1-EXP(-LN(2)/25))/(LN(2)/25)*Calculateur!CG175*Calculateur!CI175*VLOOKUP('Données projet'!$B$12,Paramètres!$A$1:$I$89,3,0)*0.475*44/12</f>
        <v>0.79925140648834681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10.364980669941103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-6.3550942286383367E-14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404.10467005188889</v>
      </c>
      <c r="CZ175" s="59">
        <f t="shared" si="150"/>
        <v>372.70490129557845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31.322328785540375</v>
      </c>
      <c r="DG175" s="21">
        <f>EXP(-LN(2)/25)*DG174+(1-EXP(-LN(2)/25))/(LN(2)/25)*Calculateur!DB175*Calculateur!DD175*VLOOKUP('Données projet'!$B$13,Paramètres!$A$1:$I$89,3,0)*0.475*44/12</f>
        <v>7.7029882179424387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39.025317003482812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6.7000000000000028</v>
      </c>
      <c r="DO175" s="12">
        <f>IF('Données projet'!$A$166&gt;35,DO174+DN175-DW174,IF(A175&lt;'Données projet'!$A$166,$DL$205^A175,IF(A175='Données projet'!$A$166,'Données projet'!$B$166,DO174+DN175-DW174)))</f>
        <v>348.19000000000045</v>
      </c>
      <c r="DP175" s="17">
        <f>DO175*VLOOKUP('Données projet'!$B$14,Paramètres!$A$1:$I$89,3,0)*VLOOKUP('Données projet'!$B$14,Paramètres!$A$1:$I$89,5,0)</f>
        <v>315.04231200000038</v>
      </c>
      <c r="DQ175" s="13">
        <f t="shared" si="176"/>
        <v>74.320874729861828</v>
      </c>
      <c r="DR175" s="20">
        <f t="shared" si="177"/>
        <v>678.14088355450997</v>
      </c>
      <c r="DS175" s="59">
        <f t="shared" si="125"/>
        <v>967.54320550669649</v>
      </c>
      <c r="DT175" s="59">
        <f ca="1">AVERAGE(OFFSET($DS$3,0,0,'Données projet'!$E$14+1,1))-AVERAGE(OFFSET($H$3,0,0,'Données projet'!$E$14+1,1))</f>
        <v>479.53113328461268</v>
      </c>
      <c r="DU175" s="59">
        <f t="shared" si="152"/>
        <v>244.6360664588118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57.429114023017441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57.429114023017441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2.2737367544323206E-13</v>
      </c>
      <c r="EK175" s="17">
        <f>EJ175*VLOOKUP('Données projet'!$B$15,Paramètres!$A$1:$I$89,3,0)*VLOOKUP('Données projet'!$B$15,Paramètres!$A$1:$I$89,5,0)</f>
        <v>1.0049916454590858E-13</v>
      </c>
      <c r="EL175" s="13">
        <f t="shared" si="179"/>
        <v>1.5089081593838289E-12</v>
      </c>
      <c r="EM175" s="20">
        <f t="shared" si="180"/>
        <v>2.8030510891776262E-12</v>
      </c>
      <c r="EN175" s="59">
        <f t="shared" si="128"/>
        <v>289.40232195218925</v>
      </c>
      <c r="EO175" s="59">
        <f ca="1">AVERAGE(OFFSET($EN$3,0,0,'Données projet'!$E$15+1,1))-AVERAGE(OFFSET($H$3,0,0,'Données projet'!$E$15+1,1))</f>
        <v>339.23049610652492</v>
      </c>
      <c r="EP175" s="59">
        <f t="shared" si="154"/>
        <v>448.85057640789785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17.960996814029887</v>
      </c>
      <c r="EW175" s="21">
        <f>EXP(-LN(2)/25)*EW174+(1-EXP(-LN(2)/25))/(LN(2)/25)*Calculateur!ER175*Calculateur!ET175*VLOOKUP('Données projet'!$B$15,Paramètres!$A$1:$I$89,3,0)*0.475*44/12</f>
        <v>5.2609904697657308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23.221987283795617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6.2527760746888816E-13</v>
      </c>
      <c r="FF175" s="17">
        <f>FE175*VLOOKUP('Données projet'!$B$16,Paramètres!$A$1:$I$89,3,0)*VLOOKUP('Données projet'!$B$16,Paramètres!$A$1:$I$89,5,0)</f>
        <v>2.9262992029543964E-13</v>
      </c>
      <c r="FG175" s="13">
        <f t="shared" si="182"/>
        <v>3.8796387982050903E-12</v>
      </c>
      <c r="FH175" s="20">
        <f t="shared" si="183"/>
        <v>7.2667013513884219E-12</v>
      </c>
      <c r="FI175" s="59">
        <f t="shared" si="131"/>
        <v>289.40232195219374</v>
      </c>
      <c r="FJ175" s="59">
        <f ca="1">AVERAGE(OFFSET($FI$3,0,0,'Données projet'!$E$16+1,1))-AVERAGE(OFFSET($H$3,0,0,'Données projet'!$E$16+1,1))</f>
        <v>365.63278362856033</v>
      </c>
      <c r="FK175" s="59">
        <f t="shared" si="156"/>
        <v>290.68267842697452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76.504081566689408</v>
      </c>
      <c r="FR175" s="21">
        <f>EXP(-LN(2)/25)*FR174+(1-EXP(-LN(2)/25))/(LN(2)/25)*Calculateur!FM175*Calculateur!FO175*VLOOKUP('Données projet'!$B$16,Paramètres!$A$1:$I$89,3,0)*0.475*44/12</f>
        <v>20.802104797482908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97.306186364172319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2.2737367544323206E-13</v>
      </c>
      <c r="GA175" s="17">
        <f>FZ175*VLOOKUP('Données projet'!$B$17,Paramètres!$A$1:$I$89,3,0)*VLOOKUP('Données projet'!$B$17,Paramètres!$A$1:$I$89,5,0)</f>
        <v>1.9508661353029313E-13</v>
      </c>
      <c r="GB175" s="13">
        <f t="shared" si="185"/>
        <v>2.711421636700695E-12</v>
      </c>
      <c r="GC175" s="20">
        <f t="shared" si="186"/>
        <v>5.0621685358189711E-12</v>
      </c>
      <c r="GD175" s="59">
        <f t="shared" si="134"/>
        <v>289.40232195219153</v>
      </c>
      <c r="GE175" s="59">
        <f ca="1">AVERAGE(OFFSET($GD$3,0,0,'Données projet'!$E$17+1,1))-AVERAGE(OFFSET($H$3,0,0,'Données projet'!$E$17+1,1))</f>
        <v>460.46300302025099</v>
      </c>
      <c r="GF175" s="59">
        <f t="shared" si="158"/>
        <v>340.22534554615879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92.424648335379246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92.424648335379246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68.927905986959942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1.1368683772161603E-13</v>
      </c>
      <c r="GV175" s="17">
        <f>GU175*VLOOKUP('Données projet'!$B$18,Paramètres!$A$1:$I$89,3,0)*VLOOKUP('Données projet'!$B$18,Paramètres!$A$1:$I$89,5,0)</f>
        <v>6.7984728957526396E-14</v>
      </c>
      <c r="GW175" s="13">
        <f t="shared" si="188"/>
        <v>1.0682447123141398E-12</v>
      </c>
      <c r="GX175" s="20">
        <f t="shared" si="189"/>
        <v>1.978932943548152E-12</v>
      </c>
      <c r="GY175" s="59">
        <f t="shared" si="137"/>
        <v>289.40232195218846</v>
      </c>
      <c r="GZ175" s="59">
        <f ca="1">AVERAGE(OFFSET($GY$3,0,0,'Données projet'!$E$18+1,1))-AVERAGE(OFFSET($H$3,0,0,'Données projet'!$E$18+1,1))</f>
        <v>-15.950000000000017</v>
      </c>
      <c r="HA175" s="59">
        <f t="shared" si="160"/>
        <v>-15.950000000000017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16.764503550132023</v>
      </c>
      <c r="HH175" s="21">
        <f>EXP(-LN(2)/25)*HH174+(1-EXP(-LN(2)/25))/(LN(2)/25)*Calculateur!HC175*Calculateur!HE175*VLOOKUP('Données projet'!$B$18,Paramètres!$A$1:$I$89,3,0)*0.475*44/12</f>
        <v>4.5754004185414532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21.339903968673475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4.3499999999999996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15.949999999999998</v>
      </c>
      <c r="H176" s="67">
        <f t="shared" si="110"/>
        <v>192.86666666666667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-9.9316821433603781E-14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433.46721010558042</v>
      </c>
      <c r="T176" s="59">
        <f t="shared" si="142"/>
        <v>306.18862295347509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23.720110300051818</v>
      </c>
      <c r="AA176" s="21">
        <f>EXP(-LN(2)/25)*AA175+(1-EXP(-LN(2)/25))/(LN(2)/25)*Calculateur!V176*Calculateur!X176*VLOOKUP('Données projet'!$B$9,Paramètres!$A$1:$I$89,3,0)*0.475*44/12</f>
        <v>5.4772675760609761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29.197377876112796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289.47051621122648</v>
      </c>
      <c r="AN176" s="59">
        <f ca="1">AVERAGE(OFFSET($AM$3,0,0,'Données projet'!$E$10+1,1))-AVERAGE(OFFSET($H$3,0,0,'Données projet'!$E$10+1,1))</f>
        <v>400.1942260113168</v>
      </c>
      <c r="AO176" s="59">
        <f t="shared" si="144"/>
        <v>497.04866930593926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16.435761860851432</v>
      </c>
      <c r="AV176" s="21">
        <f>EXP(-LN(2)/25)*AV175+(1-EXP(-LN(2)/25))/(LN(2)/25)*Calculateur!AQ176*Calculateur!AS176*VLOOKUP('Données projet'!$B$10,Paramètres!$A$1:$I$89,3,0)*0.475*44/12</f>
        <v>4.4502858534865863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20.886047714338019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284.78505691662588</v>
      </c>
      <c r="BJ176" s="59">
        <f t="shared" si="146"/>
        <v>664.42623058686308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380.64318988568527</v>
      </c>
      <c r="CE176" s="59">
        <f t="shared" si="148"/>
        <v>885.24651320439159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9.3781511471151866</v>
      </c>
      <c r="CL176" s="21">
        <f>EXP(-LN(2)/25)*CL175+(1-EXP(-LN(2)/25))/(LN(2)/25)*Calculateur!CG176*Calculateur!CI176*VLOOKUP('Données projet'!$B$12,Paramètres!$A$1:$I$89,3,0)*0.475*44/12</f>
        <v>0.77739583474711815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10.155546981862305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-6.3550942286383367E-14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404.10467005188889</v>
      </c>
      <c r="CZ176" s="59">
        <f t="shared" si="150"/>
        <v>372.70490129557845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30.708117022790052</v>
      </c>
      <c r="DG176" s="21">
        <f>EXP(-LN(2)/25)*DG175+(1-EXP(-LN(2)/25))/(LN(2)/25)*Calculateur!DB176*Calculateur!DD176*VLOOKUP('Données projet'!$B$13,Paramètres!$A$1:$I$89,3,0)*0.475*44/12</f>
        <v>7.4923496000402574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38.200466622830312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6.7000000000000028</v>
      </c>
      <c r="DO176" s="12">
        <f>IF('Données projet'!$A$166&gt;35,DO175+DN176-DW175,IF(A176&lt;'Données projet'!$A$166,$DL$205^A176,IF(A176='Données projet'!$A$166,'Données projet'!$B$166,DO175+DN176-DW175)))</f>
        <v>354.89000000000044</v>
      </c>
      <c r="DP176" s="17">
        <f>DO176*VLOOKUP('Données projet'!$B$14,Paramètres!$A$1:$I$89,3,0)*VLOOKUP('Données projet'!$B$14,Paramètres!$A$1:$I$89,5,0)</f>
        <v>321.10447200000038</v>
      </c>
      <c r="DQ176" s="13">
        <f t="shared" si="176"/>
        <v>75.583114438514073</v>
      </c>
      <c r="DR176" s="20">
        <f t="shared" si="177"/>
        <v>690.89754638041268</v>
      </c>
      <c r="DS176" s="59">
        <f t="shared" si="125"/>
        <v>980.36806259163723</v>
      </c>
      <c r="DT176" s="59">
        <f ca="1">AVERAGE(OFFSET($DS$3,0,0,'Données projet'!$E$14+1,1))-AVERAGE(OFFSET($H$3,0,0,'Données projet'!$E$14+1,1))</f>
        <v>479.53113328461268</v>
      </c>
      <c r="DU176" s="59">
        <f t="shared" si="152"/>
        <v>244.6360664588118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56.302964125326866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56.302964125326866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2.2737367544323206E-13</v>
      </c>
      <c r="EK176" s="17">
        <f>EJ176*VLOOKUP('Données projet'!$B$15,Paramètres!$A$1:$I$89,3,0)*VLOOKUP('Données projet'!$B$15,Paramètres!$A$1:$I$89,5,0)</f>
        <v>1.0049916454590858E-13</v>
      </c>
      <c r="EL176" s="13">
        <f t="shared" si="179"/>
        <v>1.5089081593838289E-12</v>
      </c>
      <c r="EM176" s="20">
        <f t="shared" si="180"/>
        <v>2.8030510891776262E-12</v>
      </c>
      <c r="EN176" s="59">
        <f t="shared" si="128"/>
        <v>289.47051621122728</v>
      </c>
      <c r="EO176" s="59">
        <f ca="1">AVERAGE(OFFSET($EN$3,0,0,'Données projet'!$E$15+1,1))-AVERAGE(OFFSET($H$3,0,0,'Données projet'!$E$15+1,1))</f>
        <v>339.23049610652492</v>
      </c>
      <c r="EP176" s="59">
        <f t="shared" si="154"/>
        <v>448.85057640789785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17.608792621633089</v>
      </c>
      <c r="EW176" s="21">
        <f>EXP(-LN(2)/25)*EW175+(1-EXP(-LN(2)/25))/(LN(2)/25)*Calculateur!ER176*Calculateur!ET176*VLOOKUP('Données projet'!$B$15,Paramètres!$A$1:$I$89,3,0)*0.475*44/12</f>
        <v>5.1171284087065221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22.725921030339613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6.2527760746888816E-13</v>
      </c>
      <c r="FF176" s="17">
        <f>FE176*VLOOKUP('Données projet'!$B$16,Paramètres!$A$1:$I$89,3,0)*VLOOKUP('Données projet'!$B$16,Paramètres!$A$1:$I$89,5,0)</f>
        <v>2.9262992029543964E-13</v>
      </c>
      <c r="FG176" s="13">
        <f t="shared" si="182"/>
        <v>3.8796387982050903E-12</v>
      </c>
      <c r="FH176" s="20">
        <f t="shared" si="183"/>
        <v>7.2667013513884219E-12</v>
      </c>
      <c r="FI176" s="59">
        <f t="shared" si="131"/>
        <v>289.47051621123177</v>
      </c>
      <c r="FJ176" s="59">
        <f ca="1">AVERAGE(OFFSET($FI$3,0,0,'Données projet'!$E$16+1,1))-AVERAGE(OFFSET($H$3,0,0,'Données projet'!$E$16+1,1))</f>
        <v>365.63278362856033</v>
      </c>
      <c r="FK176" s="59">
        <f t="shared" si="156"/>
        <v>290.68267842697452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75.003883190048811</v>
      </c>
      <c r="FR176" s="21">
        <f>EXP(-LN(2)/25)*FR175+(1-EXP(-LN(2)/25))/(LN(2)/25)*Calculateur!FM176*Calculateur!FO176*VLOOKUP('Données projet'!$B$16,Paramètres!$A$1:$I$89,3,0)*0.475*44/12</f>
        <v>20.233270147860591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95.237153337909405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2.2737367544323206E-13</v>
      </c>
      <c r="GA176" s="17">
        <f>FZ176*VLOOKUP('Données projet'!$B$17,Paramètres!$A$1:$I$89,3,0)*VLOOKUP('Données projet'!$B$17,Paramètres!$A$1:$I$89,5,0)</f>
        <v>1.9508661353029313E-13</v>
      </c>
      <c r="GB176" s="13">
        <f t="shared" si="185"/>
        <v>2.711421636700695E-12</v>
      </c>
      <c r="GC176" s="20">
        <f t="shared" si="186"/>
        <v>5.0621685358189711E-12</v>
      </c>
      <c r="GD176" s="59">
        <f t="shared" si="134"/>
        <v>289.47051621122955</v>
      </c>
      <c r="GE176" s="59">
        <f ca="1">AVERAGE(OFFSET($GD$3,0,0,'Données projet'!$E$17+1,1))-AVERAGE(OFFSET($H$3,0,0,'Données projet'!$E$17+1,1))</f>
        <v>460.46300302025099</v>
      </c>
      <c r="GF176" s="59">
        <f t="shared" si="158"/>
        <v>340.22534554615879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90.612257354991527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90.612257354991527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68.946504421243048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1.1368683772161603E-13</v>
      </c>
      <c r="GV176" s="17">
        <f>GU176*VLOOKUP('Données projet'!$B$18,Paramètres!$A$1:$I$89,3,0)*VLOOKUP('Données projet'!$B$18,Paramètres!$A$1:$I$89,5,0)</f>
        <v>6.7984728957526396E-14</v>
      </c>
      <c r="GW176" s="13">
        <f t="shared" si="188"/>
        <v>1.0682447123141398E-12</v>
      </c>
      <c r="GX176" s="20">
        <f t="shared" si="189"/>
        <v>1.978932943548152E-12</v>
      </c>
      <c r="GY176" s="59">
        <f t="shared" si="137"/>
        <v>289.47051621122648</v>
      </c>
      <c r="GZ176" s="59">
        <f ca="1">AVERAGE(OFFSET($GY$3,0,0,'Données projet'!$E$18+1,1))-AVERAGE(OFFSET($H$3,0,0,'Données projet'!$E$18+1,1))</f>
        <v>-15.950000000000017</v>
      </c>
      <c r="HA176" s="59">
        <f t="shared" si="160"/>
        <v>-15.950000000000017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16.435761860851432</v>
      </c>
      <c r="HH176" s="21">
        <f>EXP(-LN(2)/25)*HH175+(1-EXP(-LN(2)/25))/(LN(2)/25)*Calculateur!HC176*Calculateur!HE176*VLOOKUP('Données projet'!$B$18,Paramètres!$A$1:$I$89,3,0)*0.475*44/12</f>
        <v>4.4502858534865863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20.886047714338019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4.3499999999999996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15.949999999999998</v>
      </c>
      <c r="H177" s="67">
        <f t="shared" si="110"/>
        <v>192.86666666666667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-9.9316821433603781E-14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433.46721010558042</v>
      </c>
      <c r="T177" s="59">
        <f t="shared" si="142"/>
        <v>306.18862295347509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23.254973404906504</v>
      </c>
      <c r="AA177" s="21">
        <f>EXP(-LN(2)/25)*AA176+(1-EXP(-LN(2)/25))/(LN(2)/25)*Calculateur!V177*Calculateur!X177*VLOOKUP('Données projet'!$B$9,Paramètres!$A$1:$I$89,3,0)*0.475*44/12</f>
        <v>5.3274914061566054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28.582464811063112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289.53752745232975</v>
      </c>
      <c r="AN177" s="59">
        <f ca="1">AVERAGE(OFFSET($AM$3,0,0,'Données projet'!$E$10+1,1))-AVERAGE(OFFSET($H$3,0,0,'Données projet'!$E$10+1,1))</f>
        <v>400.1942260113168</v>
      </c>
      <c r="AO177" s="59">
        <f t="shared" si="144"/>
        <v>497.04866930593926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16.113466595585002</v>
      </c>
      <c r="AV177" s="21">
        <f>EXP(-LN(2)/25)*AV176+(1-EXP(-LN(2)/25))/(LN(2)/25)*Calculateur!AQ177*Calculateur!AS177*VLOOKUP('Données projet'!$B$10,Paramètres!$A$1:$I$89,3,0)*0.475*44/12</f>
        <v>4.3285925527926334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20.442059148377638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284.78505691662588</v>
      </c>
      <c r="BJ177" s="59">
        <f t="shared" si="146"/>
        <v>664.42623058686308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380.64318988568527</v>
      </c>
      <c r="CE177" s="59">
        <f t="shared" si="148"/>
        <v>885.24651320439159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9.1942513232276433</v>
      </c>
      <c r="CL177" s="21">
        <f>EXP(-LN(2)/25)*CL176+(1-EXP(-LN(2)/25))/(LN(2)/25)*Calculateur!CG177*Calculateur!CI177*VLOOKUP('Données projet'!$B$12,Paramètres!$A$1:$I$89,3,0)*0.475*44/12</f>
        <v>0.75613790476448806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9.9503892279921313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-6.3550942286383367E-14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404.10467005188889</v>
      </c>
      <c r="CZ177" s="59">
        <f t="shared" si="150"/>
        <v>372.70490129557845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30.10594957807508</v>
      </c>
      <c r="DG177" s="21">
        <f>EXP(-LN(2)/25)*DG176+(1-EXP(-LN(2)/25))/(LN(2)/25)*Calculateur!DB177*Calculateur!DD177*VLOOKUP('Données projet'!$B$13,Paramètres!$A$1:$I$89,3,0)*0.475*44/12</f>
        <v>7.287470906221615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37.393420484296698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6.7000000000000028</v>
      </c>
      <c r="DO177" s="12">
        <f>IF('Données projet'!$A$166&gt;35,DO176+DN177-DW176,IF(A177&lt;'Données projet'!$A$166,$DL$205^A177,IF(A177='Données projet'!$A$166,'Données projet'!$B$166,DO176+DN177-DW176)))</f>
        <v>361.59000000000043</v>
      </c>
      <c r="DP177" s="17">
        <f>DO177*VLOOKUP('Données projet'!$B$14,Paramètres!$A$1:$I$89,3,0)*VLOOKUP('Données projet'!$B$14,Paramètres!$A$1:$I$89,5,0)</f>
        <v>327.16663200000039</v>
      </c>
      <c r="DQ177" s="13">
        <f t="shared" si="176"/>
        <v>76.842583214112253</v>
      </c>
      <c r="DR177" s="20">
        <f t="shared" si="177"/>
        <v>703.64938316457949</v>
      </c>
      <c r="DS177" s="59">
        <f t="shared" si="125"/>
        <v>993.1869106169072</v>
      </c>
      <c r="DT177" s="59">
        <f ca="1">AVERAGE(OFFSET($DS$3,0,0,'Données projet'!$E$14+1,1))-AVERAGE(OFFSET($H$3,0,0,'Données projet'!$E$14+1,1))</f>
        <v>479.53113328461268</v>
      </c>
      <c r="DU177" s="59">
        <f t="shared" si="152"/>
        <v>244.6360664588118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55.19889734024639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55.19889734024639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2.2737367544323206E-13</v>
      </c>
      <c r="EK177" s="17">
        <f>EJ177*VLOOKUP('Données projet'!$B$15,Paramètres!$A$1:$I$89,3,0)*VLOOKUP('Données projet'!$B$15,Paramètres!$A$1:$I$89,5,0)</f>
        <v>1.0049916454590858E-13</v>
      </c>
      <c r="EL177" s="13">
        <f t="shared" si="179"/>
        <v>1.5089081593838289E-12</v>
      </c>
      <c r="EM177" s="20">
        <f t="shared" si="180"/>
        <v>2.8030510891776262E-12</v>
      </c>
      <c r="EN177" s="59">
        <f t="shared" si="128"/>
        <v>289.53752745233055</v>
      </c>
      <c r="EO177" s="59">
        <f ca="1">AVERAGE(OFFSET($EN$3,0,0,'Données projet'!$E$15+1,1))-AVERAGE(OFFSET($H$3,0,0,'Données projet'!$E$15+1,1))</f>
        <v>339.23049610652492</v>
      </c>
      <c r="EP177" s="59">
        <f t="shared" si="154"/>
        <v>448.85057640789785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17.263494938625847</v>
      </c>
      <c r="EW177" s="21">
        <f>EXP(-LN(2)/25)*EW176+(1-EXP(-LN(2)/25))/(LN(2)/25)*Calculateur!ER177*Calculateur!ET177*VLOOKUP('Données projet'!$B$15,Paramètres!$A$1:$I$89,3,0)*0.475*44/12</f>
        <v>4.9772002632723549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22.240695201898202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6.2527760746888816E-13</v>
      </c>
      <c r="FF177" s="17">
        <f>FE177*VLOOKUP('Données projet'!$B$16,Paramètres!$A$1:$I$89,3,0)*VLOOKUP('Données projet'!$B$16,Paramètres!$A$1:$I$89,5,0)</f>
        <v>2.9262992029543964E-13</v>
      </c>
      <c r="FG177" s="13">
        <f t="shared" si="182"/>
        <v>3.8796387982050903E-12</v>
      </c>
      <c r="FH177" s="20">
        <f t="shared" si="183"/>
        <v>7.2667013513884219E-12</v>
      </c>
      <c r="FI177" s="59">
        <f t="shared" si="131"/>
        <v>289.53752745233504</v>
      </c>
      <c r="FJ177" s="59">
        <f ca="1">AVERAGE(OFFSET($FI$3,0,0,'Données projet'!$E$16+1,1))-AVERAGE(OFFSET($H$3,0,0,'Données projet'!$E$16+1,1))</f>
        <v>365.63278362856033</v>
      </c>
      <c r="FK177" s="59">
        <f t="shared" si="156"/>
        <v>290.68267842697452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73.533102788543474</v>
      </c>
      <c r="FR177" s="21">
        <f>EXP(-LN(2)/25)*FR176+(1-EXP(-LN(2)/25))/(LN(2)/25)*Calculateur!FM177*Calculateur!FO177*VLOOKUP('Données projet'!$B$16,Paramètres!$A$1:$I$89,3,0)*0.475*44/12</f>
        <v>19.679990311645909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93.213093100189383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2.2737367544323206E-13</v>
      </c>
      <c r="GA177" s="17">
        <f>FZ177*VLOOKUP('Données projet'!$B$17,Paramètres!$A$1:$I$89,3,0)*VLOOKUP('Données projet'!$B$17,Paramètres!$A$1:$I$89,5,0)</f>
        <v>1.9508661353029313E-13</v>
      </c>
      <c r="GB177" s="13">
        <f t="shared" si="185"/>
        <v>2.711421636700695E-12</v>
      </c>
      <c r="GC177" s="20">
        <f t="shared" si="186"/>
        <v>5.0621685358189711E-12</v>
      </c>
      <c r="GD177" s="59">
        <f t="shared" si="134"/>
        <v>289.53752745233282</v>
      </c>
      <c r="GE177" s="59">
        <f ca="1">AVERAGE(OFFSET($GD$3,0,0,'Données projet'!$E$17+1,1))-AVERAGE(OFFSET($H$3,0,0,'Données projet'!$E$17+1,1))</f>
        <v>460.46300302025099</v>
      </c>
      <c r="GF177" s="59">
        <f t="shared" si="158"/>
        <v>340.22534554615879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88.835406256279867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88.835406256279867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68.964780214271215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1.1368683772161603E-13</v>
      </c>
      <c r="GV177" s="17">
        <f>GU177*VLOOKUP('Données projet'!$B$18,Paramètres!$A$1:$I$89,3,0)*VLOOKUP('Données projet'!$B$18,Paramètres!$A$1:$I$89,5,0)</f>
        <v>6.7984728957526396E-14</v>
      </c>
      <c r="GW177" s="13">
        <f t="shared" si="188"/>
        <v>1.0682447123141398E-12</v>
      </c>
      <c r="GX177" s="20">
        <f t="shared" si="189"/>
        <v>1.978932943548152E-12</v>
      </c>
      <c r="GY177" s="59">
        <f t="shared" si="137"/>
        <v>289.53752745232975</v>
      </c>
      <c r="GZ177" s="59">
        <f ca="1">AVERAGE(OFFSET($GY$3,0,0,'Données projet'!$E$18+1,1))-AVERAGE(OFFSET($H$3,0,0,'Données projet'!$E$18+1,1))</f>
        <v>-15.950000000000017</v>
      </c>
      <c r="HA177" s="59">
        <f t="shared" si="160"/>
        <v>-15.950000000000017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16.113466595585002</v>
      </c>
      <c r="HH177" s="21">
        <f>EXP(-LN(2)/25)*HH176+(1-EXP(-LN(2)/25))/(LN(2)/25)*Calculateur!HC177*Calculateur!HE177*VLOOKUP('Données projet'!$B$18,Paramètres!$A$1:$I$89,3,0)*0.475*44/12</f>
        <v>4.3285925527926334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20.442059148377638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4.3499999999999996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15.949999999999998</v>
      </c>
      <c r="H178" s="67">
        <f t="shared" si="110"/>
        <v>192.86666666666667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-9.9316821433603781E-14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433.46721010558042</v>
      </c>
      <c r="T178" s="59">
        <f t="shared" si="142"/>
        <v>306.18862295347509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22.798957560569498</v>
      </c>
      <c r="AA178" s="21">
        <f>EXP(-LN(2)/25)*AA177+(1-EXP(-LN(2)/25))/(LN(2)/25)*Calculateur!V178*Calculateur!X178*VLOOKUP('Données projet'!$B$9,Paramètres!$A$1:$I$89,3,0)*0.475*44/12</f>
        <v>5.1818108734946557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27.980768434064153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289.60337619821451</v>
      </c>
      <c r="AN178" s="59">
        <f ca="1">AVERAGE(OFFSET($AM$3,0,0,'Données projet'!$E$10+1,1))-AVERAGE(OFFSET($H$3,0,0,'Données projet'!$E$10+1,1))</f>
        <v>400.1942260113168</v>
      </c>
      <c r="AO178" s="59">
        <f t="shared" si="144"/>
        <v>497.04866930593926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15.797491343889746</v>
      </c>
      <c r="AV178" s="21">
        <f>EXP(-LN(2)/25)*AV177+(1-EXP(-LN(2)/25))/(LN(2)/25)*Calculateur!AQ178*Calculateur!AS178*VLOOKUP('Données projet'!$B$10,Paramètres!$A$1:$I$89,3,0)*0.475*44/12</f>
        <v>4.2102269618057298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20.007718305695477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284.78505691662588</v>
      </c>
      <c r="BJ178" s="59">
        <f t="shared" si="146"/>
        <v>664.42623058686308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380.64318988568527</v>
      </c>
      <c r="CE178" s="59">
        <f t="shared" si="148"/>
        <v>885.24651320439159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9.0139576627187186</v>
      </c>
      <c r="CL178" s="21">
        <f>EXP(-LN(2)/25)*CL177+(1-EXP(-LN(2)/25))/(LN(2)/25)*Calculateur!CG178*Calculateur!CI178*VLOOKUP('Données projet'!$B$12,Paramètres!$A$1:$I$89,3,0)*0.475*44/12</f>
        <v>0.73546127399513894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9.7494189367138571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-6.3550942286383367E-14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404.10467005188889</v>
      </c>
      <c r="CZ178" s="59">
        <f t="shared" si="150"/>
        <v>372.70490129557845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29.515590269665093</v>
      </c>
      <c r="DG178" s="21">
        <f>EXP(-LN(2)/25)*DG177+(1-EXP(-LN(2)/25))/(LN(2)/25)*Calculateur!DB178*Calculateur!DD178*VLOOKUP('Données projet'!$B$13,Paramètres!$A$1:$I$89,3,0)*0.475*44/12</f>
        <v>7.0881946310595456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36.603784900724641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6.7000000000000028</v>
      </c>
      <c r="DO178" s="12">
        <f>IF('Données projet'!$A$166&gt;35,DO177+DN178-DW177,IF(A178&lt;'Données projet'!$A$166,$DL$205^A178,IF(A178='Données projet'!$A$166,'Données projet'!$B$166,DO177+DN178-DW177)))</f>
        <v>368.29000000000042</v>
      </c>
      <c r="DP178" s="17">
        <f>DO178*VLOOKUP('Données projet'!$B$14,Paramètres!$A$1:$I$89,3,0)*VLOOKUP('Données projet'!$B$14,Paramètres!$A$1:$I$89,5,0)</f>
        <v>333.2287920000004</v>
      </c>
      <c r="DQ178" s="13">
        <f t="shared" si="176"/>
        <v>78.099338321241149</v>
      </c>
      <c r="DR178" s="20">
        <f t="shared" si="177"/>
        <v>716.39649364282889</v>
      </c>
      <c r="DS178" s="59">
        <f t="shared" si="125"/>
        <v>1005.9998698410413</v>
      </c>
      <c r="DT178" s="59">
        <f ca="1">AVERAGE(OFFSET($DS$3,0,0,'Données projet'!$E$14+1,1))-AVERAGE(OFFSET($H$3,0,0,'Données projet'!$E$14+1,1))</f>
        <v>479.53113328461268</v>
      </c>
      <c r="DU178" s="59">
        <f t="shared" si="152"/>
        <v>244.6360664588118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54.116480631407093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54.116480631407093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2.2737367544323206E-13</v>
      </c>
      <c r="EK178" s="17">
        <f>EJ178*VLOOKUP('Données projet'!$B$15,Paramètres!$A$1:$I$89,3,0)*VLOOKUP('Données projet'!$B$15,Paramètres!$A$1:$I$89,5,0)</f>
        <v>1.0049916454590858E-13</v>
      </c>
      <c r="EL178" s="13">
        <f t="shared" si="179"/>
        <v>1.5089081593838289E-12</v>
      </c>
      <c r="EM178" s="20">
        <f t="shared" si="180"/>
        <v>2.8030510891776262E-12</v>
      </c>
      <c r="EN178" s="59">
        <f t="shared" si="128"/>
        <v>289.6033761982153</v>
      </c>
      <c r="EO178" s="59">
        <f ca="1">AVERAGE(OFFSET($EN$3,0,0,'Données projet'!$E$15+1,1))-AVERAGE(OFFSET($H$3,0,0,'Données projet'!$E$15+1,1))</f>
        <v>339.23049610652492</v>
      </c>
      <c r="EP178" s="59">
        <f t="shared" si="154"/>
        <v>448.85057640789785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16.924968332571584</v>
      </c>
      <c r="EW178" s="21">
        <f>EXP(-LN(2)/25)*EW177+(1-EXP(-LN(2)/25))/(LN(2)/25)*Calculateur!ER178*Calculateur!ET178*VLOOKUP('Données projet'!$B$15,Paramètres!$A$1:$I$89,3,0)*0.475*44/12</f>
        <v>4.841098460333586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21.766066792905171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6.2527760746888816E-13</v>
      </c>
      <c r="FF178" s="17">
        <f>FE178*VLOOKUP('Données projet'!$B$16,Paramètres!$A$1:$I$89,3,0)*VLOOKUP('Données projet'!$B$16,Paramètres!$A$1:$I$89,5,0)</f>
        <v>2.9262992029543964E-13</v>
      </c>
      <c r="FG178" s="13">
        <f t="shared" si="182"/>
        <v>3.8796387982050903E-12</v>
      </c>
      <c r="FH178" s="20">
        <f t="shared" si="183"/>
        <v>7.2667013513884219E-12</v>
      </c>
      <c r="FI178" s="59">
        <f t="shared" si="131"/>
        <v>289.60337619821979</v>
      </c>
      <c r="FJ178" s="59">
        <f ca="1">AVERAGE(OFFSET($FI$3,0,0,'Données projet'!$E$16+1,1))-AVERAGE(OFFSET($H$3,0,0,'Données projet'!$E$16+1,1))</f>
        <v>365.63278362856033</v>
      </c>
      <c r="FK178" s="59">
        <f t="shared" si="156"/>
        <v>290.68267842697452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72.091163493624194</v>
      </c>
      <c r="FR178" s="21">
        <f>EXP(-LN(2)/25)*FR177+(1-EXP(-LN(2)/25))/(LN(2)/25)*Calculateur!FM178*Calculateur!FO178*VLOOKUP('Données projet'!$B$16,Paramètres!$A$1:$I$89,3,0)*0.475*44/12</f>
        <v>19.141839941648239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91.233003435272437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2.2737367544323206E-13</v>
      </c>
      <c r="GA178" s="17">
        <f>FZ178*VLOOKUP('Données projet'!$B$17,Paramètres!$A$1:$I$89,3,0)*VLOOKUP('Données projet'!$B$17,Paramètres!$A$1:$I$89,5,0)</f>
        <v>1.9508661353029313E-13</v>
      </c>
      <c r="GB178" s="13">
        <f t="shared" si="185"/>
        <v>2.711421636700695E-12</v>
      </c>
      <c r="GC178" s="20">
        <f t="shared" si="186"/>
        <v>5.0621685358189711E-12</v>
      </c>
      <c r="GD178" s="59">
        <f t="shared" si="134"/>
        <v>289.60337619821757</v>
      </c>
      <c r="GE178" s="59">
        <f ca="1">AVERAGE(OFFSET($GD$3,0,0,'Données projet'!$E$17+1,1))-AVERAGE(OFFSET($H$3,0,0,'Données projet'!$E$17+1,1))</f>
        <v>460.46300302025099</v>
      </c>
      <c r="GF178" s="59">
        <f t="shared" si="158"/>
        <v>340.22534554615879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87.09339812384178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87.09339812384178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68.982738963148876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1.1368683772161603E-13</v>
      </c>
      <c r="GV178" s="17">
        <f>GU178*VLOOKUP('Données projet'!$B$18,Paramètres!$A$1:$I$89,3,0)*VLOOKUP('Données projet'!$B$18,Paramètres!$A$1:$I$89,5,0)</f>
        <v>6.7984728957526396E-14</v>
      </c>
      <c r="GW178" s="13">
        <f t="shared" si="188"/>
        <v>1.0682447123141398E-12</v>
      </c>
      <c r="GX178" s="20">
        <f t="shared" si="189"/>
        <v>1.978932943548152E-12</v>
      </c>
      <c r="GY178" s="59">
        <f t="shared" si="137"/>
        <v>289.60337619821451</v>
      </c>
      <c r="GZ178" s="59">
        <f ca="1">AVERAGE(OFFSET($GY$3,0,0,'Données projet'!$E$18+1,1))-AVERAGE(OFFSET($H$3,0,0,'Données projet'!$E$18+1,1))</f>
        <v>-15.950000000000017</v>
      </c>
      <c r="HA178" s="59">
        <f t="shared" si="160"/>
        <v>-15.950000000000017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15.797491343889746</v>
      </c>
      <c r="HH178" s="21">
        <f>EXP(-LN(2)/25)*HH177+(1-EXP(-LN(2)/25))/(LN(2)/25)*Calculateur!HC178*Calculateur!HE178*VLOOKUP('Données projet'!$B$18,Paramètres!$A$1:$I$89,3,0)*0.475*44/12</f>
        <v>4.2102269618057298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20.007718305695477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4.3499999999999996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15.949999999999998</v>
      </c>
      <c r="H179" s="67">
        <f t="shared" si="110"/>
        <v>192.86666666666667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-9.9316821433603781E-14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433.46721010558042</v>
      </c>
      <c r="T179" s="59">
        <f t="shared" si="142"/>
        <v>306.18862295347509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22.351883908797738</v>
      </c>
      <c r="AA179" s="21">
        <f>EXP(-LN(2)/25)*AA178+(1-EXP(-LN(2)/25))/(LN(2)/25)*Calculateur!V179*Calculateur!X179*VLOOKUP('Données projet'!$B$9,Paramètres!$A$1:$I$89,3,0)*0.475*44/12</f>
        <v>5.0401139826593537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27.391997891457091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289.66808261557401</v>
      </c>
      <c r="AN179" s="59">
        <f ca="1">AVERAGE(OFFSET($AM$3,0,0,'Données projet'!$E$10+1,1))-AVERAGE(OFFSET($H$3,0,0,'Données projet'!$E$10+1,1))</f>
        <v>400.1942260113168</v>
      </c>
      <c r="AO179" s="59">
        <f t="shared" si="144"/>
        <v>497.04866930593926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15.487712174154359</v>
      </c>
      <c r="AV179" s="21">
        <f>EXP(-LN(2)/25)*AV178+(1-EXP(-LN(2)/25))/(LN(2)/25)*Calculateur!AQ179*Calculateur!AS179*VLOOKUP('Données projet'!$B$10,Paramètres!$A$1:$I$89,3,0)*0.475*44/12</f>
        <v>4.0950980841289386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19.582810258283295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284.78505691662588</v>
      </c>
      <c r="BJ179" s="59">
        <f t="shared" si="146"/>
        <v>664.42623058686308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380.64318988568527</v>
      </c>
      <c r="CE179" s="59">
        <f t="shared" si="148"/>
        <v>885.24651320439159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8.8371994509240999</v>
      </c>
      <c r="CL179" s="21">
        <f>EXP(-LN(2)/25)*CL178+(1-EXP(-LN(2)/25))/(LN(2)/25)*Calculateur!CG179*Calculateur!CI179*VLOOKUP('Données projet'!$B$12,Paramètres!$A$1:$I$89,3,0)*0.475*44/12</f>
        <v>0.71535004678151437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9.5525494977056145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-6.3550942286383367E-14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404.10467005188889</v>
      </c>
      <c r="CZ179" s="59">
        <f t="shared" si="150"/>
        <v>372.70490129557845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28.936807547209405</v>
      </c>
      <c r="DG179" s="21">
        <f>EXP(-LN(2)/25)*DG178+(1-EXP(-LN(2)/25))/(LN(2)/25)*Calculateur!DB179*Calculateur!DD179*VLOOKUP('Données projet'!$B$13,Paramètres!$A$1:$I$89,3,0)*0.475*44/12</f>
        <v>6.894367576121267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35.831175123330674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6.7000000000000028</v>
      </c>
      <c r="DO179" s="12">
        <f>IF('Données projet'!$A$166&gt;35,DO178+DN179-DW178,IF(A179&lt;'Données projet'!$A$166,$DL$205^A179,IF(A179='Données projet'!$A$166,'Données projet'!$B$166,DO178+DN179-DW178)))</f>
        <v>374.99000000000041</v>
      </c>
      <c r="DP179" s="17">
        <f>DO179*VLOOKUP('Données projet'!$B$14,Paramètres!$A$1:$I$89,3,0)*VLOOKUP('Données projet'!$B$14,Paramètres!$A$1:$I$89,5,0)</f>
        <v>339.2909520000004</v>
      </c>
      <c r="DQ179" s="13">
        <f t="shared" si="176"/>
        <v>79.353434821656961</v>
      </c>
      <c r="DR179" s="20">
        <f t="shared" si="177"/>
        <v>729.13897371438645</v>
      </c>
      <c r="DS179" s="59">
        <f t="shared" si="125"/>
        <v>1018.8070563299584</v>
      </c>
      <c r="DT179" s="59">
        <f ca="1">AVERAGE(OFFSET($DS$3,0,0,'Données projet'!$E$14+1,1))-AVERAGE(OFFSET($H$3,0,0,'Données projet'!$E$14+1,1))</f>
        <v>479.53113328461268</v>
      </c>
      <c r="DU179" s="59">
        <f t="shared" si="152"/>
        <v>244.6360664588118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53.055289454019139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53.055289454019139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2.2737367544323206E-13</v>
      </c>
      <c r="EK179" s="17">
        <f>EJ179*VLOOKUP('Données projet'!$B$15,Paramètres!$A$1:$I$89,3,0)*VLOOKUP('Données projet'!$B$15,Paramètres!$A$1:$I$89,5,0)</f>
        <v>1.0049916454590858E-13</v>
      </c>
      <c r="EL179" s="13">
        <f t="shared" si="179"/>
        <v>1.5089081593838289E-12</v>
      </c>
      <c r="EM179" s="20">
        <f t="shared" si="180"/>
        <v>2.8030510891776262E-12</v>
      </c>
      <c r="EN179" s="59">
        <f t="shared" si="128"/>
        <v>289.6680826155748</v>
      </c>
      <c r="EO179" s="59">
        <f ca="1">AVERAGE(OFFSET($EN$3,0,0,'Données projet'!$E$15+1,1))-AVERAGE(OFFSET($H$3,0,0,'Données projet'!$E$15+1,1))</f>
        <v>339.23049610652492</v>
      </c>
      <c r="EP179" s="59">
        <f t="shared" si="154"/>
        <v>448.85057640789785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16.593080026781205</v>
      </c>
      <c r="EW179" s="21">
        <f>EXP(-LN(2)/25)*EW178+(1-EXP(-LN(2)/25))/(LN(2)/25)*Calculateur!ER179*Calculateur!ET179*VLOOKUP('Données projet'!$B$15,Paramètres!$A$1:$I$89,3,0)*0.475*44/12</f>
        <v>4.7087183683534608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21.301798395134668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6.2527760746888816E-13</v>
      </c>
      <c r="FF179" s="17">
        <f>FE179*VLOOKUP('Données projet'!$B$16,Paramètres!$A$1:$I$89,3,0)*VLOOKUP('Données projet'!$B$16,Paramètres!$A$1:$I$89,5,0)</f>
        <v>2.9262992029543964E-13</v>
      </c>
      <c r="FG179" s="13">
        <f t="shared" si="182"/>
        <v>3.8796387982050903E-12</v>
      </c>
      <c r="FH179" s="20">
        <f t="shared" si="183"/>
        <v>7.2667013513884219E-12</v>
      </c>
      <c r="FI179" s="59">
        <f t="shared" si="131"/>
        <v>289.66808261557929</v>
      </c>
      <c r="FJ179" s="59">
        <f ca="1">AVERAGE(OFFSET($FI$3,0,0,'Données projet'!$E$16+1,1))-AVERAGE(OFFSET($H$3,0,0,'Données projet'!$E$16+1,1))</f>
        <v>365.63278362856033</v>
      </c>
      <c r="FK179" s="59">
        <f t="shared" si="156"/>
        <v>290.68267842697452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70.677499748782154</v>
      </c>
      <c r="FR179" s="21">
        <f>EXP(-LN(2)/25)*FR178+(1-EXP(-LN(2)/25))/(LN(2)/25)*Calculateur!FM179*Calculateur!FO179*VLOOKUP('Données projet'!$B$16,Paramètres!$A$1:$I$89,3,0)*0.475*44/12</f>
        <v>18.618405321818255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89.295905070600412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2.2737367544323206E-13</v>
      </c>
      <c r="GA179" s="17">
        <f>FZ179*VLOOKUP('Données projet'!$B$17,Paramètres!$A$1:$I$89,3,0)*VLOOKUP('Données projet'!$B$17,Paramètres!$A$1:$I$89,5,0)</f>
        <v>1.9508661353029313E-13</v>
      </c>
      <c r="GB179" s="13">
        <f t="shared" si="185"/>
        <v>2.711421636700695E-12</v>
      </c>
      <c r="GC179" s="20">
        <f t="shared" si="186"/>
        <v>5.0621685358189711E-12</v>
      </c>
      <c r="GD179" s="59">
        <f t="shared" si="134"/>
        <v>289.66808261557708</v>
      </c>
      <c r="GE179" s="59">
        <f ca="1">AVERAGE(OFFSET($GD$3,0,0,'Données projet'!$E$17+1,1))-AVERAGE(OFFSET($H$3,0,0,'Données projet'!$E$17+1,1))</f>
        <v>460.46300302025099</v>
      </c>
      <c r="GF179" s="59">
        <f t="shared" si="158"/>
        <v>340.22534554615879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85.38554970836077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85.38554970836077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69.000386167883278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1.1368683772161603E-13</v>
      </c>
      <c r="GV179" s="17">
        <f>GU179*VLOOKUP('Données projet'!$B$18,Paramètres!$A$1:$I$89,3,0)*VLOOKUP('Données projet'!$B$18,Paramètres!$A$1:$I$89,5,0)</f>
        <v>6.7984728957526396E-14</v>
      </c>
      <c r="GW179" s="13">
        <f t="shared" si="188"/>
        <v>1.0682447123141398E-12</v>
      </c>
      <c r="GX179" s="20">
        <f t="shared" si="189"/>
        <v>1.978932943548152E-12</v>
      </c>
      <c r="GY179" s="59">
        <f t="shared" si="137"/>
        <v>289.66808261557401</v>
      </c>
      <c r="GZ179" s="59">
        <f ca="1">AVERAGE(OFFSET($GY$3,0,0,'Données projet'!$E$18+1,1))-AVERAGE(OFFSET($H$3,0,0,'Données projet'!$E$18+1,1))</f>
        <v>-15.950000000000017</v>
      </c>
      <c r="HA179" s="59">
        <f t="shared" si="160"/>
        <v>-15.950000000000017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15.487712174154359</v>
      </c>
      <c r="HH179" s="21">
        <f>EXP(-LN(2)/25)*HH178+(1-EXP(-LN(2)/25))/(LN(2)/25)*Calculateur!HC179*Calculateur!HE179*VLOOKUP('Données projet'!$B$18,Paramètres!$A$1:$I$89,3,0)*0.475*44/12</f>
        <v>4.0950980841289386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19.582810258283295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4.3499999999999996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15.949999999999998</v>
      </c>
      <c r="H180" s="67">
        <f t="shared" si="110"/>
        <v>192.86666666666667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-9.9316821433603781E-14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433.46721010558042</v>
      </c>
      <c r="T180" s="59">
        <f t="shared" si="142"/>
        <v>306.18862295347509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21.91357709864922</v>
      </c>
      <c r="AA180" s="21">
        <f>EXP(-LN(2)/25)*AA179+(1-EXP(-LN(2)/25))/(LN(2)/25)*Calculateur!V180*Calculateur!X180*VLOOKUP('Données projet'!$B$9,Paramètres!$A$1:$I$89,3,0)*0.475*44/12</f>
        <v>4.9022918007554583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26.815868899404677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289.73166652125417</v>
      </c>
      <c r="AN180" s="59">
        <f ca="1">AVERAGE(OFFSET($AM$3,0,0,'Données projet'!$E$10+1,1))-AVERAGE(OFFSET($H$3,0,0,'Données projet'!$E$10+1,1))</f>
        <v>400.1942260113168</v>
      </c>
      <c r="AO180" s="59">
        <f t="shared" si="144"/>
        <v>497.04866930593926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15.184007584990846</v>
      </c>
      <c r="AV180" s="21">
        <f>EXP(-LN(2)/25)*AV179+(1-EXP(-LN(2)/25))/(LN(2)/25)*Calculateur!AQ180*Calculateur!AS180*VLOOKUP('Données projet'!$B$10,Paramètres!$A$1:$I$89,3,0)*0.475*44/12</f>
        <v>3.983117411666584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19.167124996657432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284.78505691662588</v>
      </c>
      <c r="BJ180" s="59">
        <f t="shared" si="146"/>
        <v>664.42623058686308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380.64318988568527</v>
      </c>
      <c r="CE180" s="59">
        <f t="shared" si="148"/>
        <v>885.24651320439159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8.66390735985091</v>
      </c>
      <c r="CL180" s="21">
        <f>EXP(-LN(2)/25)*CL179+(1-EXP(-LN(2)/25))/(LN(2)/25)*Calculateur!CG180*Calculateur!CI180*VLOOKUP('Données projet'!$B$12,Paramètres!$A$1:$I$89,3,0)*0.475*44/12</f>
        <v>0.69578876213364982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9.3596961219845589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-6.3550942286383367E-14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404.10467005188889</v>
      </c>
      <c r="CZ180" s="59">
        <f t="shared" si="150"/>
        <v>372.70490129557845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28.369374400918467</v>
      </c>
      <c r="DG180" s="21">
        <f>EXP(-LN(2)/25)*DG179+(1-EXP(-LN(2)/25))/(LN(2)/25)*Calculateur!DB180*Calculateur!DD180*VLOOKUP('Données projet'!$B$13,Paramètres!$A$1:$I$89,3,0)*0.475*44/12</f>
        <v>6.7058407321931979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35.075215133111662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6.7000000000000028</v>
      </c>
      <c r="DO180" s="12">
        <f>IF('Données projet'!$A$166&gt;35,DO179+DN180-DW179,IF(A180&lt;'Données projet'!$A$166,$DL$205^A180,IF(A180='Données projet'!$A$166,'Données projet'!$B$166,DO179+DN180-DW179)))</f>
        <v>381.6900000000004</v>
      </c>
      <c r="DP180" s="17">
        <f>DO180*VLOOKUP('Données projet'!$B$14,Paramètres!$A$1:$I$89,3,0)*VLOOKUP('Données projet'!$B$14,Paramètres!$A$1:$I$89,5,0)</f>
        <v>345.35311200000035</v>
      </c>
      <c r="DQ180" s="13">
        <f t="shared" si="176"/>
        <v>80.604925696841605</v>
      </c>
      <c r="DR180" s="20">
        <f t="shared" si="177"/>
        <v>741.87691565533305</v>
      </c>
      <c r="DS180" s="59">
        <f t="shared" si="125"/>
        <v>1031.6085821765853</v>
      </c>
      <c r="DT180" s="59">
        <f ca="1">AVERAGE(OFFSET($DS$3,0,0,'Données projet'!$E$14+1,1))-AVERAGE(OFFSET($H$3,0,0,'Données projet'!$E$14+1,1))</f>
        <v>479.53113328461268</v>
      </c>
      <c r="DU180" s="59">
        <f t="shared" si="152"/>
        <v>244.6360664588118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52.014907588357055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52.014907588357055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2.2737367544323206E-13</v>
      </c>
      <c r="EK180" s="17">
        <f>EJ180*VLOOKUP('Données projet'!$B$15,Paramètres!$A$1:$I$89,3,0)*VLOOKUP('Données projet'!$B$15,Paramètres!$A$1:$I$89,5,0)</f>
        <v>1.0049916454590858E-13</v>
      </c>
      <c r="EL180" s="13">
        <f t="shared" si="179"/>
        <v>1.5089081593838289E-12</v>
      </c>
      <c r="EM180" s="20">
        <f t="shared" si="180"/>
        <v>2.8030510891776262E-12</v>
      </c>
      <c r="EN180" s="59">
        <f t="shared" si="128"/>
        <v>289.73166652125497</v>
      </c>
      <c r="EO180" s="59">
        <f ca="1">AVERAGE(OFFSET($EN$3,0,0,'Données projet'!$E$15+1,1))-AVERAGE(OFFSET($H$3,0,0,'Données projet'!$E$15+1,1))</f>
        <v>339.23049610652492</v>
      </c>
      <c r="EP180" s="59">
        <f t="shared" si="154"/>
        <v>448.85057640789785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16.267699848235498</v>
      </c>
      <c r="EW180" s="21">
        <f>EXP(-LN(2)/25)*EW179+(1-EXP(-LN(2)/25))/(LN(2)/25)*Calculateur!ER180*Calculateur!ET180*VLOOKUP('Données projet'!$B$15,Paramètres!$A$1:$I$89,3,0)*0.475*44/12</f>
        <v>4.5799582169500983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20.847658065185598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6.2527760746888816E-13</v>
      </c>
      <c r="FF180" s="17">
        <f>FE180*VLOOKUP('Données projet'!$B$16,Paramètres!$A$1:$I$89,3,0)*VLOOKUP('Données projet'!$B$16,Paramètres!$A$1:$I$89,5,0)</f>
        <v>2.9262992029543964E-13</v>
      </c>
      <c r="FG180" s="13">
        <f t="shared" si="182"/>
        <v>3.8796387982050903E-12</v>
      </c>
      <c r="FH180" s="20">
        <f t="shared" si="183"/>
        <v>7.2667013513884219E-12</v>
      </c>
      <c r="FI180" s="59">
        <f t="shared" si="131"/>
        <v>289.73166652125946</v>
      </c>
      <c r="FJ180" s="59">
        <f ca="1">AVERAGE(OFFSET($FI$3,0,0,'Données projet'!$E$16+1,1))-AVERAGE(OFFSET($H$3,0,0,'Données projet'!$E$16+1,1))</f>
        <v>365.63278362856033</v>
      </c>
      <c r="FK180" s="59">
        <f t="shared" si="156"/>
        <v>290.68267842697452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69.291557087726716</v>
      </c>
      <c r="FR180" s="21">
        <f>EXP(-LN(2)/25)*FR179+(1-EXP(-LN(2)/25))/(LN(2)/25)*Calculateur!FM180*Calculateur!FO180*VLOOKUP('Données projet'!$B$16,Paramètres!$A$1:$I$89,3,0)*0.475*44/12</f>
        <v>18.10928404919375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87.400841136920462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2.2737367544323206E-13</v>
      </c>
      <c r="GA180" s="17">
        <f>FZ180*VLOOKUP('Données projet'!$B$17,Paramètres!$A$1:$I$89,3,0)*VLOOKUP('Données projet'!$B$17,Paramètres!$A$1:$I$89,5,0)</f>
        <v>1.9508661353029313E-13</v>
      </c>
      <c r="GB180" s="13">
        <f t="shared" si="185"/>
        <v>2.711421636700695E-12</v>
      </c>
      <c r="GC180" s="20">
        <f t="shared" si="186"/>
        <v>5.0621685358189711E-12</v>
      </c>
      <c r="GD180" s="59">
        <f t="shared" si="134"/>
        <v>289.73166652125724</v>
      </c>
      <c r="GE180" s="59">
        <f ca="1">AVERAGE(OFFSET($GD$3,0,0,'Données projet'!$E$17+1,1))-AVERAGE(OFFSET($H$3,0,0,'Données projet'!$E$17+1,1))</f>
        <v>460.46300302025099</v>
      </c>
      <c r="GF180" s="59">
        <f t="shared" si="158"/>
        <v>340.22534554615879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83.711191158622654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83.711191158622654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69.017727233068783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1.1368683772161603E-13</v>
      </c>
      <c r="GV180" s="17">
        <f>GU180*VLOOKUP('Données projet'!$B$18,Paramètres!$A$1:$I$89,3,0)*VLOOKUP('Données projet'!$B$18,Paramètres!$A$1:$I$89,5,0)</f>
        <v>6.7984728957526396E-14</v>
      </c>
      <c r="GW180" s="13">
        <f t="shared" si="188"/>
        <v>1.0682447123141398E-12</v>
      </c>
      <c r="GX180" s="20">
        <f t="shared" si="189"/>
        <v>1.978932943548152E-12</v>
      </c>
      <c r="GY180" s="59">
        <f t="shared" si="137"/>
        <v>289.73166652125417</v>
      </c>
      <c r="GZ180" s="59">
        <f ca="1">AVERAGE(OFFSET($GY$3,0,0,'Données projet'!$E$18+1,1))-AVERAGE(OFFSET($H$3,0,0,'Données projet'!$E$18+1,1))</f>
        <v>-15.950000000000017</v>
      </c>
      <c r="HA180" s="59">
        <f t="shared" si="160"/>
        <v>-15.950000000000017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15.184007584990846</v>
      </c>
      <c r="HH180" s="21">
        <f>EXP(-LN(2)/25)*HH179+(1-EXP(-LN(2)/25))/(LN(2)/25)*Calculateur!HC180*Calculateur!HE180*VLOOKUP('Données projet'!$B$18,Paramètres!$A$1:$I$89,3,0)*0.475*44/12</f>
        <v>3.983117411666584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19.167124996657432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4.3499999999999996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15.949999999999998</v>
      </c>
      <c r="H181" s="67">
        <f t="shared" si="110"/>
        <v>192.86666666666667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-9.9316821433603781E-14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433.46721010558042</v>
      </c>
      <c r="T181" s="59">
        <f t="shared" si="142"/>
        <v>306.18862295347509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21.48386521770696</v>
      </c>
      <c r="AA181" s="21">
        <f>EXP(-LN(2)/25)*AA180+(1-EXP(-LN(2)/25))/(LN(2)/25)*Calculateur!V181*Calculateur!X181*VLOOKUP('Données projet'!$B$9,Paramètres!$A$1:$I$89,3,0)*0.475*44/12</f>
        <v>4.768238373663479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26.252103591370439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289.7941473883231</v>
      </c>
      <c r="AN181" s="59">
        <f ca="1">AVERAGE(OFFSET($AM$3,0,0,'Données projet'!$E$10+1,1))-AVERAGE(OFFSET($H$3,0,0,'Données projet'!$E$10+1,1))</f>
        <v>400.1942260113168</v>
      </c>
      <c r="AO181" s="59">
        <f t="shared" si="144"/>
        <v>497.04866930593926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14.886258457579322</v>
      </c>
      <c r="AV181" s="21">
        <f>EXP(-LN(2)/25)*AV180+(1-EXP(-LN(2)/25))/(LN(2)/25)*Calculateur!AQ181*Calculateur!AS181*VLOOKUP('Données projet'!$B$10,Paramètres!$A$1:$I$89,3,0)*0.475*44/12</f>
        <v>3.8741988565815202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18.760457314160842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284.78505691662588</v>
      </c>
      <c r="BJ181" s="59">
        <f t="shared" si="146"/>
        <v>664.42623058686308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380.64318988568527</v>
      </c>
      <c r="CE181" s="59">
        <f t="shared" si="148"/>
        <v>885.24651320439159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8.4940134209859259</v>
      </c>
      <c r="CL181" s="21">
        <f>EXP(-LN(2)/25)*CL180+(1-EXP(-LN(2)/25))/(LN(2)/25)*Calculateur!CG181*Calculateur!CI181*VLOOKUP('Données projet'!$B$12,Paramètres!$A$1:$I$89,3,0)*0.475*44/12</f>
        <v>0.6767623818431644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9.1707758028290911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-6.3550942286383367E-14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404.10467005188889</v>
      </c>
      <c r="CZ181" s="59">
        <f t="shared" si="150"/>
        <v>372.70490129557845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27.813068272526252</v>
      </c>
      <c r="DG181" s="21">
        <f>EXP(-LN(2)/25)*DG180+(1-EXP(-LN(2)/25))/(LN(2)/25)*Calculateur!DB181*Calculateur!DD181*VLOOKUP('Données projet'!$B$13,Paramètres!$A$1:$I$89,3,0)*0.475*44/12</f>
        <v>6.5224691647265374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34.335537437252789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6.7000000000000028</v>
      </c>
      <c r="DO181" s="12">
        <f>IF('Données projet'!$A$166&gt;35,DO180+DN181-DW180,IF(A181&lt;'Données projet'!$A$166,$DL$205^A181,IF(A181='Données projet'!$A$166,'Données projet'!$B$166,DO180+DN181-DW180)))</f>
        <v>388.39000000000038</v>
      </c>
      <c r="DP181" s="17">
        <f>DO181*VLOOKUP('Données projet'!$B$14,Paramètres!$A$1:$I$89,3,0)*VLOOKUP('Données projet'!$B$14,Paramètres!$A$1:$I$89,5,0)</f>
        <v>351.4152720000003</v>
      </c>
      <c r="DQ181" s="13">
        <f t="shared" si="176"/>
        <v>81.853861961708986</v>
      </c>
      <c r="DR181" s="20">
        <f t="shared" si="177"/>
        <v>754.61040831664366</v>
      </c>
      <c r="DS181" s="59">
        <f t="shared" si="125"/>
        <v>1044.4045557049649</v>
      </c>
      <c r="DT181" s="59">
        <f ca="1">AVERAGE(OFFSET($DS$3,0,0,'Données projet'!$E$14+1,1))-AVERAGE(OFFSET($H$3,0,0,'Données projet'!$E$14+1,1))</f>
        <v>479.53113328461268</v>
      </c>
      <c r="DU181" s="59">
        <f t="shared" si="152"/>
        <v>244.6360664588118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50.994926976510321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50.994926976510321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2.2737367544323206E-13</v>
      </c>
      <c r="EK181" s="17">
        <f>EJ181*VLOOKUP('Données projet'!$B$15,Paramètres!$A$1:$I$89,3,0)*VLOOKUP('Données projet'!$B$15,Paramètres!$A$1:$I$89,5,0)</f>
        <v>1.0049916454590858E-13</v>
      </c>
      <c r="EL181" s="13">
        <f t="shared" si="179"/>
        <v>1.5089081593838289E-12</v>
      </c>
      <c r="EM181" s="20">
        <f t="shared" si="180"/>
        <v>2.8030510891776262E-12</v>
      </c>
      <c r="EN181" s="59">
        <f t="shared" si="128"/>
        <v>289.79414738832389</v>
      </c>
      <c r="EO181" s="59">
        <f ca="1">AVERAGE(OFFSET($EN$3,0,0,'Données projet'!$E$15+1,1))-AVERAGE(OFFSET($H$3,0,0,'Données projet'!$E$15+1,1))</f>
        <v>339.23049610652492</v>
      </c>
      <c r="EP181" s="59">
        <f t="shared" si="154"/>
        <v>448.85057640789785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15.94870017652876</v>
      </c>
      <c r="EW181" s="21">
        <f>EXP(-LN(2)/25)*EW180+(1-EXP(-LN(2)/25))/(LN(2)/25)*Calculateur!ER181*Calculateur!ET181*VLOOKUP('Données projet'!$B$15,Paramètres!$A$1:$I$89,3,0)*0.475*44/12</f>
        <v>4.4547190186580625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20.403419195186821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6.2527760746888816E-13</v>
      </c>
      <c r="FF181" s="17">
        <f>FE181*VLOOKUP('Données projet'!$B$16,Paramètres!$A$1:$I$89,3,0)*VLOOKUP('Données projet'!$B$16,Paramètres!$A$1:$I$89,5,0)</f>
        <v>2.9262992029543964E-13</v>
      </c>
      <c r="FG181" s="13">
        <f t="shared" si="182"/>
        <v>3.8796387982050903E-12</v>
      </c>
      <c r="FH181" s="20">
        <f t="shared" si="183"/>
        <v>7.2667013513884219E-12</v>
      </c>
      <c r="FI181" s="59">
        <f t="shared" si="131"/>
        <v>289.79414738832838</v>
      </c>
      <c r="FJ181" s="59">
        <f ca="1">AVERAGE(OFFSET($FI$3,0,0,'Données projet'!$E$16+1,1))-AVERAGE(OFFSET($H$3,0,0,'Données projet'!$E$16+1,1))</f>
        <v>365.63278362856033</v>
      </c>
      <c r="FK181" s="59">
        <f t="shared" si="156"/>
        <v>290.68267842697452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67.932791916913033</v>
      </c>
      <c r="FR181" s="21">
        <f>EXP(-LN(2)/25)*FR180+(1-EXP(-LN(2)/25))/(LN(2)/25)*Calculateur!FM181*Calculateur!FO181*VLOOKUP('Données projet'!$B$16,Paramètres!$A$1:$I$89,3,0)*0.475*44/12</f>
        <v>17.614084724542689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85.546876641455725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2.2737367544323206E-13</v>
      </c>
      <c r="GA181" s="17">
        <f>FZ181*VLOOKUP('Données projet'!$B$17,Paramètres!$A$1:$I$89,3,0)*VLOOKUP('Données projet'!$B$17,Paramètres!$A$1:$I$89,5,0)</f>
        <v>1.9508661353029313E-13</v>
      </c>
      <c r="GB181" s="13">
        <f t="shared" si="185"/>
        <v>2.711421636700695E-12</v>
      </c>
      <c r="GC181" s="20">
        <f t="shared" si="186"/>
        <v>5.0621685358189711E-12</v>
      </c>
      <c r="GD181" s="59">
        <f t="shared" si="134"/>
        <v>289.79414738832617</v>
      </c>
      <c r="GE181" s="59">
        <f ca="1">AVERAGE(OFFSET($GD$3,0,0,'Données projet'!$E$17+1,1))-AVERAGE(OFFSET($H$3,0,0,'Données projet'!$E$17+1,1))</f>
        <v>460.46300302025099</v>
      </c>
      <c r="GF181" s="59">
        <f t="shared" si="158"/>
        <v>340.22534554615879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82.069665758787039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82.069665758787039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69.034767469542118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1.1368683772161603E-13</v>
      </c>
      <c r="GV181" s="17">
        <f>GU181*VLOOKUP('Données projet'!$B$18,Paramètres!$A$1:$I$89,3,0)*VLOOKUP('Données projet'!$B$18,Paramètres!$A$1:$I$89,5,0)</f>
        <v>6.7984728957526396E-14</v>
      </c>
      <c r="GW181" s="13">
        <f t="shared" si="188"/>
        <v>1.0682447123141398E-12</v>
      </c>
      <c r="GX181" s="20">
        <f t="shared" si="189"/>
        <v>1.978932943548152E-12</v>
      </c>
      <c r="GY181" s="59">
        <f t="shared" si="137"/>
        <v>289.7941473883231</v>
      </c>
      <c r="GZ181" s="59">
        <f ca="1">AVERAGE(OFFSET($GY$3,0,0,'Données projet'!$E$18+1,1))-AVERAGE(OFFSET($H$3,0,0,'Données projet'!$E$18+1,1))</f>
        <v>-15.950000000000017</v>
      </c>
      <c r="HA181" s="59">
        <f t="shared" si="160"/>
        <v>-15.950000000000017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14.886258457579322</v>
      </c>
      <c r="HH181" s="21">
        <f>EXP(-LN(2)/25)*HH180+(1-EXP(-LN(2)/25))/(LN(2)/25)*Calculateur!HC181*Calculateur!HE181*VLOOKUP('Données projet'!$B$18,Paramètres!$A$1:$I$89,3,0)*0.475*44/12</f>
        <v>3.8741988565815202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18.760457314160842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4.3499999999999996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15.949999999999998</v>
      </c>
      <c r="H182" s="67">
        <f t="shared" si="110"/>
        <v>192.86666666666667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-9.9316821433603781E-14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433.46721010558042</v>
      </c>
      <c r="T182" s="59">
        <f t="shared" si="142"/>
        <v>306.18862295347509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21.062579724651609</v>
      </c>
      <c r="AA182" s="21">
        <f>EXP(-LN(2)/25)*AA181+(1-EXP(-LN(2)/25))/(LN(2)/25)*Calculateur!V182*Calculateur!X182*VLOOKUP('Données projet'!$B$9,Paramètres!$A$1:$I$89,3,0)*0.475*44/12</f>
        <v>4.6378506445848933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25.700430369236503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289.85554435203466</v>
      </c>
      <c r="AN182" s="59">
        <f ca="1">AVERAGE(OFFSET($AM$3,0,0,'Données projet'!$E$10+1,1))-AVERAGE(OFFSET($H$3,0,0,'Données projet'!$E$10+1,1))</f>
        <v>400.1942260113168</v>
      </c>
      <c r="AO182" s="59">
        <f t="shared" si="144"/>
        <v>497.04866930593926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14.594348008947302</v>
      </c>
      <c r="AV182" s="21">
        <f>EXP(-LN(2)/25)*AV181+(1-EXP(-LN(2)/25))/(LN(2)/25)*Calculateur!AQ182*Calculateur!AS182*VLOOKUP('Données projet'!$B$10,Paramètres!$A$1:$I$89,3,0)*0.475*44/12</f>
        <v>3.7682586851130351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18.362606694060336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284.78505691662588</v>
      </c>
      <c r="BJ182" s="59">
        <f t="shared" si="146"/>
        <v>664.42623058686308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380.64318988568527</v>
      </c>
      <c r="CE182" s="59">
        <f t="shared" si="148"/>
        <v>885.24651320439159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8.3274509986370138</v>
      </c>
      <c r="CL182" s="21">
        <f>EXP(-LN(2)/25)*CL181+(1-EXP(-LN(2)/25))/(LN(2)/25)*Calculateur!CG182*Calculateur!CI182*VLOOKUP('Données projet'!$B$12,Paramètres!$A$1:$I$89,3,0)*0.475*44/12</f>
        <v>0.65825627892227612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8.985707277559289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-6.3550942286383367E-14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404.10467005188889</v>
      </c>
      <c r="CZ182" s="59">
        <f t="shared" si="150"/>
        <v>372.70490129557845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27.267670967998573</v>
      </c>
      <c r="DG182" s="21">
        <f>EXP(-LN(2)/25)*DG181+(1-EXP(-LN(2)/25))/(LN(2)/25)*Calculateur!DB182*Calculateur!DD182*VLOOKUP('Données projet'!$B$13,Paramètres!$A$1:$I$89,3,0)*0.475*44/12</f>
        <v>6.3441119024153441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33.611782870413919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6.7000000000000028</v>
      </c>
      <c r="DO182" s="12">
        <f>IF('Données projet'!$A$166&gt;35,DO181+DN182-DW181,IF(A182&lt;'Données projet'!$A$166,$DL$205^A182,IF(A182='Données projet'!$A$166,'Données projet'!$B$166,DO181+DN182-DW181)))</f>
        <v>395.09000000000037</v>
      </c>
      <c r="DP182" s="17">
        <f>DO182*VLOOKUP('Données projet'!$B$14,Paramètres!$A$1:$I$89,3,0)*VLOOKUP('Données projet'!$B$14,Paramètres!$A$1:$I$89,5,0)</f>
        <v>357.47743200000031</v>
      </c>
      <c r="DQ182" s="13">
        <f t="shared" si="176"/>
        <v>83.100292770242376</v>
      </c>
      <c r="DR182" s="20">
        <f t="shared" si="177"/>
        <v>767.33953730817268</v>
      </c>
      <c r="DS182" s="59">
        <f t="shared" si="125"/>
        <v>1057.1950816602052</v>
      </c>
      <c r="DT182" s="59">
        <f ca="1">AVERAGE(OFFSET($DS$3,0,0,'Données projet'!$E$14+1,1))-AVERAGE(OFFSET($H$3,0,0,'Données projet'!$E$14+1,1))</f>
        <v>479.53113328461268</v>
      </c>
      <c r="DU182" s="59">
        <f t="shared" si="152"/>
        <v>244.6360664588118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49.994947562335163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49.994947562335163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2.2737367544323206E-13</v>
      </c>
      <c r="EK182" s="17">
        <f>EJ182*VLOOKUP('Données projet'!$B$15,Paramètres!$A$1:$I$89,3,0)*VLOOKUP('Données projet'!$B$15,Paramètres!$A$1:$I$89,5,0)</f>
        <v>1.0049916454590858E-13</v>
      </c>
      <c r="EL182" s="13">
        <f t="shared" si="179"/>
        <v>1.5089081593838289E-12</v>
      </c>
      <c r="EM182" s="20">
        <f t="shared" si="180"/>
        <v>2.8030510891776262E-12</v>
      </c>
      <c r="EN182" s="59">
        <f t="shared" si="128"/>
        <v>289.85554435203545</v>
      </c>
      <c r="EO182" s="59">
        <f ca="1">AVERAGE(OFFSET($EN$3,0,0,'Données projet'!$E$15+1,1))-AVERAGE(OFFSET($H$3,0,0,'Données projet'!$E$15+1,1))</f>
        <v>339.23049610652492</v>
      </c>
      <c r="EP182" s="59">
        <f t="shared" si="154"/>
        <v>448.85057640789785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15.635955893813604</v>
      </c>
      <c r="EW182" s="21">
        <f>EXP(-LN(2)/25)*EW181+(1-EXP(-LN(2)/25))/(LN(2)/25)*Calculateur!ER182*Calculateur!ET182*VLOOKUP('Données projet'!$B$15,Paramètres!$A$1:$I$89,3,0)*0.475*44/12</f>
        <v>4.3329044928293659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19.968860386642969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6.2527760746888816E-13</v>
      </c>
      <c r="FF182" s="17">
        <f>FE182*VLOOKUP('Données projet'!$B$16,Paramètres!$A$1:$I$89,3,0)*VLOOKUP('Données projet'!$B$16,Paramètres!$A$1:$I$89,5,0)</f>
        <v>2.9262992029543964E-13</v>
      </c>
      <c r="FG182" s="13">
        <f t="shared" si="182"/>
        <v>3.8796387982050903E-12</v>
      </c>
      <c r="FH182" s="20">
        <f t="shared" si="183"/>
        <v>7.2667013513884219E-12</v>
      </c>
      <c r="FI182" s="59">
        <f t="shared" si="131"/>
        <v>289.85554435203994</v>
      </c>
      <c r="FJ182" s="59">
        <f ca="1">AVERAGE(OFFSET($FI$3,0,0,'Données projet'!$E$16+1,1))-AVERAGE(OFFSET($H$3,0,0,'Données projet'!$E$16+1,1))</f>
        <v>365.63278362856033</v>
      </c>
      <c r="FK182" s="59">
        <f t="shared" si="156"/>
        <v>290.68267842697452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66.600671302334078</v>
      </c>
      <c r="FR182" s="21">
        <f>EXP(-LN(2)/25)*FR181+(1-EXP(-LN(2)/25))/(LN(2)/25)*Calculateur!FM182*Calculateur!FO182*VLOOKUP('Données projet'!$B$16,Paramètres!$A$1:$I$89,3,0)*0.475*44/12</f>
        <v>17.132426651465611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83.733097953799685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2.2737367544323206E-13</v>
      </c>
      <c r="GA182" s="17">
        <f>FZ182*VLOOKUP('Données projet'!$B$17,Paramètres!$A$1:$I$89,3,0)*VLOOKUP('Données projet'!$B$17,Paramètres!$A$1:$I$89,5,0)</f>
        <v>1.9508661353029313E-13</v>
      </c>
      <c r="GB182" s="13">
        <f t="shared" si="185"/>
        <v>2.711421636700695E-12</v>
      </c>
      <c r="GC182" s="20">
        <f t="shared" si="186"/>
        <v>5.0621685358189711E-12</v>
      </c>
      <c r="GD182" s="59">
        <f t="shared" si="134"/>
        <v>289.85554435203773</v>
      </c>
      <c r="GE182" s="59">
        <f ca="1">AVERAGE(OFFSET($GD$3,0,0,'Données projet'!$E$17+1,1))-AVERAGE(OFFSET($H$3,0,0,'Données projet'!$E$17+1,1))</f>
        <v>460.46300302025099</v>
      </c>
      <c r="GF182" s="59">
        <f t="shared" si="158"/>
        <v>340.22534554615879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80.460329670810566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80.460329670810566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69.051512096008906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1.1368683772161603E-13</v>
      </c>
      <c r="GV182" s="17">
        <f>GU182*VLOOKUP('Données projet'!$B$18,Paramètres!$A$1:$I$89,3,0)*VLOOKUP('Données projet'!$B$18,Paramètres!$A$1:$I$89,5,0)</f>
        <v>6.7984728957526396E-14</v>
      </c>
      <c r="GW182" s="13">
        <f t="shared" si="188"/>
        <v>1.0682447123141398E-12</v>
      </c>
      <c r="GX182" s="20">
        <f t="shared" si="189"/>
        <v>1.978932943548152E-12</v>
      </c>
      <c r="GY182" s="59">
        <f t="shared" si="137"/>
        <v>289.85554435203466</v>
      </c>
      <c r="GZ182" s="59">
        <f ca="1">AVERAGE(OFFSET($GY$3,0,0,'Données projet'!$E$18+1,1))-AVERAGE(OFFSET($H$3,0,0,'Données projet'!$E$18+1,1))</f>
        <v>-15.950000000000017</v>
      </c>
      <c r="HA182" s="59">
        <f t="shared" si="160"/>
        <v>-15.950000000000017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14.594348008947302</v>
      </c>
      <c r="HH182" s="21">
        <f>EXP(-LN(2)/25)*HH181+(1-EXP(-LN(2)/25))/(LN(2)/25)*Calculateur!HC182*Calculateur!HE182*VLOOKUP('Données projet'!$B$18,Paramètres!$A$1:$I$89,3,0)*0.475*44/12</f>
        <v>3.7682586851130351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18.362606694060336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4.3499999999999996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15.949999999999998</v>
      </c>
      <c r="H183" s="67">
        <f t="shared" si="110"/>
        <v>192.86666666666667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-9.9316821433603781E-14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433.46721010558042</v>
      </c>
      <c r="T183" s="59">
        <f t="shared" si="142"/>
        <v>306.18862295347509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20.649555383156297</v>
      </c>
      <c r="AA183" s="21">
        <f>EXP(-LN(2)/25)*AA182+(1-EXP(-LN(2)/25))/(LN(2)/25)*Calculateur!V183*Calculateur!X183*VLOOKUP('Données projet'!$B$9,Paramètres!$A$1:$I$89,3,0)*0.475*44/12</f>
        <v>4.5110283748147539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25.16058375797105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289.91587621568885</v>
      </c>
      <c r="AN183" s="59">
        <f ca="1">AVERAGE(OFFSET($AM$3,0,0,'Données projet'!$E$10+1,1))-AVERAGE(OFFSET($H$3,0,0,'Données projet'!$E$10+1,1))</f>
        <v>400.1942260113168</v>
      </c>
      <c r="AO183" s="59">
        <f t="shared" si="144"/>
        <v>497.04866930593926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14.308161746165164</v>
      </c>
      <c r="AV183" s="21">
        <f>EXP(-LN(2)/25)*AV182+(1-EXP(-LN(2)/25))/(LN(2)/25)*Calculateur!AQ183*Calculateur!AS183*VLOOKUP('Données projet'!$B$10,Paramètres!$A$1:$I$89,3,0)*0.475*44/12</f>
        <v>3.6652154532045071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17.973377199369672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284.78505691662588</v>
      </c>
      <c r="BJ183" s="59">
        <f t="shared" si="146"/>
        <v>664.42623058686308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380.64318988568527</v>
      </c>
      <c r="CE183" s="59">
        <f t="shared" si="148"/>
        <v>885.24651320439159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8.1641547637973169</v>
      </c>
      <c r="CL183" s="21">
        <f>EXP(-LN(2)/25)*CL182+(1-EXP(-LN(2)/25))/(LN(2)/25)*Calculateur!CG183*Calculateur!CI183*VLOOKUP('Données projet'!$B$12,Paramètres!$A$1:$I$89,3,0)*0.475*44/12</f>
        <v>0.64025622635895318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8.8044109901562706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-6.3550942286383367E-14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404.10467005188889</v>
      </c>
      <c r="CZ183" s="59">
        <f t="shared" si="150"/>
        <v>372.70490129557845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26.732968571953172</v>
      </c>
      <c r="DG183" s="21">
        <f>EXP(-LN(2)/25)*DG182+(1-EXP(-LN(2)/25))/(LN(2)/25)*Calculateur!DB183*Calculateur!DD183*VLOOKUP('Données projet'!$B$13,Paramètres!$A$1:$I$89,3,0)*0.475*44/12</f>
        <v>6.1706318288214508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32.903600400774621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401.79</v>
      </c>
      <c r="DM183" s="12">
        <f>VLOOKUP(A183,'Données projet'!$A$165:$I$185,9,0)</f>
        <v>6.7000000000000028</v>
      </c>
      <c r="DN183" s="12">
        <f t="array" ref="DN183">INDEX(DM:DM,MIN(IF(ISNUMBER(DM183:DM379),ROW(DM183:DM379),"")))</f>
        <v>6.7000000000000028</v>
      </c>
      <c r="DO183" s="12">
        <f>IF('Données projet'!$A$166&gt;35,DO182+DN183-DW182,IF(A183&lt;'Données projet'!$A$166,$DL$205^A183,IF(A183='Données projet'!$A$166,'Données projet'!$B$166,DO182+DN183-DW182)))</f>
        <v>401.79000000000036</v>
      </c>
      <c r="DP183" s="17">
        <f>DO183*VLOOKUP('Données projet'!$B$14,Paramètres!$A$1:$I$89,3,0)*VLOOKUP('Données projet'!$B$14,Paramètres!$A$1:$I$89,5,0)</f>
        <v>363.53959200000031</v>
      </c>
      <c r="DQ183" s="13">
        <f t="shared" si="176"/>
        <v>84.344265513763617</v>
      </c>
      <c r="DR183" s="20">
        <f t="shared" si="177"/>
        <v>780.06438516980552</v>
      </c>
      <c r="DS183" s="59">
        <f t="shared" si="125"/>
        <v>1069.9802613854924</v>
      </c>
      <c r="DT183" s="59">
        <f ca="1">AVERAGE(OFFSET($DS$3,0,0,'Données projet'!$E$14+1,1))-AVERAGE(OFFSET($H$3,0,0,'Données projet'!$E$14+1,1))</f>
        <v>479.53113328461268</v>
      </c>
      <c r="DU183" s="59">
        <f t="shared" si="152"/>
        <v>244.6360664588118</v>
      </c>
      <c r="DV183" s="15">
        <f>IF(ISNA(VLOOKUP(A183,'Données projet'!$A$165:$I$185,3,0)),0,VLOOKUP(A183,'Données projet'!$A$165:$I$185,3,0))</f>
        <v>13</v>
      </c>
      <c r="DW183" s="15">
        <f>IF(ISNA(VLOOKUP(A183,'Données projet'!$A$165:$I$185,4,0)),0,VLOOKUP(A183,'Données projet'!$A$165:$I$185,4,0))</f>
        <v>154.91999999999999</v>
      </c>
      <c r="DX183" s="16">
        <f>IF(ISNA(VLOOKUP(A183,'Données projet'!$A$165:$I$185,5,0)),0%,VLOOKUP(A183,'Données projet'!$A$165:$I$185,5,0)*VLOOKUP('Données projet'!$B$14,Paramètres!$A$1:$I$89,7,0))</f>
        <v>0.25800000000000001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88.993114075675621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88.993114075675621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2.2737367544323206E-13</v>
      </c>
      <c r="EK183" s="17">
        <f>EJ183*VLOOKUP('Données projet'!$B$15,Paramètres!$A$1:$I$89,3,0)*VLOOKUP('Données projet'!$B$15,Paramètres!$A$1:$I$89,5,0)</f>
        <v>1.0049916454590858E-13</v>
      </c>
      <c r="EL183" s="13">
        <f t="shared" si="179"/>
        <v>1.5089081593838289E-12</v>
      </c>
      <c r="EM183" s="20">
        <f t="shared" si="180"/>
        <v>2.8030510891776262E-12</v>
      </c>
      <c r="EN183" s="59">
        <f t="shared" si="128"/>
        <v>289.91587621568965</v>
      </c>
      <c r="EO183" s="59">
        <f ca="1">AVERAGE(OFFSET($EN$3,0,0,'Données projet'!$E$15+1,1))-AVERAGE(OFFSET($H$3,0,0,'Données projet'!$E$15+1,1))</f>
        <v>339.23049610652492</v>
      </c>
      <c r="EP183" s="59">
        <f t="shared" si="154"/>
        <v>448.85057640789785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15.329344335727315</v>
      </c>
      <c r="EW183" s="21">
        <f>EXP(-LN(2)/25)*EW182+(1-EXP(-LN(2)/25))/(LN(2)/25)*Calculateur!ER183*Calculateur!ET183*VLOOKUP('Données projet'!$B$15,Paramètres!$A$1:$I$89,3,0)*0.475*44/12</f>
        <v>4.2144209916154027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19.543765327342719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6.2527760746888816E-13</v>
      </c>
      <c r="FF183" s="17">
        <f>FE183*VLOOKUP('Données projet'!$B$16,Paramètres!$A$1:$I$89,3,0)*VLOOKUP('Données projet'!$B$16,Paramètres!$A$1:$I$89,5,0)</f>
        <v>2.9262992029543964E-13</v>
      </c>
      <c r="FG183" s="13">
        <f t="shared" si="182"/>
        <v>3.8796387982050903E-12</v>
      </c>
      <c r="FH183" s="20">
        <f t="shared" si="183"/>
        <v>7.2667013513884219E-12</v>
      </c>
      <c r="FI183" s="59">
        <f t="shared" si="131"/>
        <v>289.91587621569414</v>
      </c>
      <c r="FJ183" s="59">
        <f ca="1">AVERAGE(OFFSET($FI$3,0,0,'Données projet'!$E$16+1,1))-AVERAGE(OFFSET($H$3,0,0,'Données projet'!$E$16+1,1))</f>
        <v>365.63278362856033</v>
      </c>
      <c r="FK183" s="59">
        <f t="shared" si="156"/>
        <v>290.68267842697452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65.294672760493668</v>
      </c>
      <c r="FR183" s="21">
        <f>EXP(-LN(2)/25)*FR182+(1-EXP(-LN(2)/25))/(LN(2)/25)*Calculateur!FM183*Calculateur!FO183*VLOOKUP('Données projet'!$B$16,Paramètres!$A$1:$I$89,3,0)*0.475*44/12</f>
        <v>16.663939543726123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81.958612304219798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2.2737367544323206E-13</v>
      </c>
      <c r="GA183" s="17">
        <f>FZ183*VLOOKUP('Données projet'!$B$17,Paramètres!$A$1:$I$89,3,0)*VLOOKUP('Données projet'!$B$17,Paramètres!$A$1:$I$89,5,0)</f>
        <v>1.9508661353029313E-13</v>
      </c>
      <c r="GB183" s="13">
        <f t="shared" si="185"/>
        <v>2.711421636700695E-12</v>
      </c>
      <c r="GC183" s="20">
        <f t="shared" si="186"/>
        <v>5.0621685358189711E-12</v>
      </c>
      <c r="GD183" s="59">
        <f t="shared" si="134"/>
        <v>289.91587621569192</v>
      </c>
      <c r="GE183" s="59">
        <f ca="1">AVERAGE(OFFSET($GD$3,0,0,'Données projet'!$E$17+1,1))-AVERAGE(OFFSET($H$3,0,0,'Données projet'!$E$17+1,1))</f>
        <v>460.46300302025099</v>
      </c>
      <c r="GF183" s="59">
        <f t="shared" si="158"/>
        <v>340.22534554615879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78.882551681921228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78.882551681921228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69.067966240641866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1.1368683772161603E-13</v>
      </c>
      <c r="GV183" s="17">
        <f>GU183*VLOOKUP('Données projet'!$B$18,Paramètres!$A$1:$I$89,3,0)*VLOOKUP('Données projet'!$B$18,Paramètres!$A$1:$I$89,5,0)</f>
        <v>6.7984728957526396E-14</v>
      </c>
      <c r="GW183" s="13">
        <f t="shared" si="188"/>
        <v>1.0682447123141398E-12</v>
      </c>
      <c r="GX183" s="20">
        <f t="shared" si="189"/>
        <v>1.978932943548152E-12</v>
      </c>
      <c r="GY183" s="59">
        <f t="shared" si="137"/>
        <v>289.91587621568885</v>
      </c>
      <c r="GZ183" s="59">
        <f ca="1">AVERAGE(OFFSET($GY$3,0,0,'Données projet'!$E$18+1,1))-AVERAGE(OFFSET($H$3,0,0,'Données projet'!$E$18+1,1))</f>
        <v>-15.950000000000017</v>
      </c>
      <c r="HA183" s="59">
        <f t="shared" si="160"/>
        <v>-15.950000000000017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14.308161746165164</v>
      </c>
      <c r="HH183" s="21">
        <f>EXP(-LN(2)/25)*HH182+(1-EXP(-LN(2)/25))/(LN(2)/25)*Calculateur!HC183*Calculateur!HE183*VLOOKUP('Données projet'!$B$18,Paramètres!$A$1:$I$89,3,0)*0.475*44/12</f>
        <v>3.6652154532045071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17.973377199369672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4.3499999999999996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15.949999999999998</v>
      </c>
      <c r="H184" s="67">
        <f t="shared" si="110"/>
        <v>192.86666666666667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-9.9316821433603781E-14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433.46721010558042</v>
      </c>
      <c r="T184" s="59">
        <f t="shared" si="142"/>
        <v>306.18862295347509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20.244630197077736</v>
      </c>
      <c r="AA184" s="21">
        <f>EXP(-LN(2)/25)*AA183+(1-EXP(-LN(2)/25))/(LN(2)/25)*Calculateur!V184*Calculateur!X184*VLOOKUP('Données projet'!$B$9,Paramètres!$A$1:$I$89,3,0)*0.475*44/12</f>
        <v>4.3876740666807725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24.63230426375851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289.97516145639048</v>
      </c>
      <c r="AN184" s="59">
        <f ca="1">AVERAGE(OFFSET($AM$3,0,0,'Données projet'!$E$10+1,1))-AVERAGE(OFFSET($H$3,0,0,'Données projet'!$E$10+1,1))</f>
        <v>400.1942260113168</v>
      </c>
      <c r="AO184" s="59">
        <f t="shared" si="144"/>
        <v>497.04866930593926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14.027587421439799</v>
      </c>
      <c r="AV184" s="21">
        <f>EXP(-LN(2)/25)*AV183+(1-EXP(-LN(2)/25))/(LN(2)/25)*Calculateur!AQ184*Calculateur!AS184*VLOOKUP('Données projet'!$B$10,Paramètres!$A$1:$I$89,3,0)*0.475*44/12</f>
        <v>3.5649899438913262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17.592577365331124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284.78505691662588</v>
      </c>
      <c r="BJ184" s="59">
        <f t="shared" si="146"/>
        <v>664.42623058686308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380.64318988568527</v>
      </c>
      <c r="CE184" s="59">
        <f t="shared" si="148"/>
        <v>885.24651320439159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8.0040606685219586</v>
      </c>
      <c r="CL184" s="21">
        <f>EXP(-LN(2)/25)*CL183+(1-EXP(-LN(2)/25))/(LN(2)/25)*Calculateur!CG184*Calculateur!CI184*VLOOKUP('Données projet'!$B$12,Paramètres!$A$1:$I$89,3,0)*0.475*44/12</f>
        <v>0.62274838617955597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8.6268090547015142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-6.3550942286383367E-14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404.10467005188889</v>
      </c>
      <c r="CZ184" s="59">
        <f t="shared" si="150"/>
        <v>372.70490129557845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26.208751363757965</v>
      </c>
      <c r="DG184" s="21">
        <f>EXP(-LN(2)/25)*DG183+(1-EXP(-LN(2)/25))/(LN(2)/25)*Calculateur!DB184*Calculateur!DD184*VLOOKUP('Données projet'!$B$13,Paramètres!$A$1:$I$89,3,0)*0.475*44/12</f>
        <v>6.0018955769629034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32.210646940720871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4.1049999999999969</v>
      </c>
      <c r="DO184" s="12">
        <f>IF('Données projet'!$A$166&gt;35,DO183+DN184-DW183,IF(A184&lt;'Données projet'!$A$166,$DL$205^A184,IF(A184='Données projet'!$A$166,'Données projet'!$B$166,DO183+DN184-DW183)))</f>
        <v>250.97500000000039</v>
      </c>
      <c r="DP184" s="17">
        <f>DO184*VLOOKUP('Données projet'!$B$14,Paramètres!$A$1:$I$89,3,0)*VLOOKUP('Données projet'!$B$14,Paramètres!$A$1:$I$89,5,0)</f>
        <v>227.08218000000033</v>
      </c>
      <c r="DQ184" s="13">
        <f t="shared" si="176"/>
        <v>55.651312598103139</v>
      </c>
      <c r="DR184" s="20">
        <f t="shared" si="177"/>
        <v>492.42749960836346</v>
      </c>
      <c r="DS184" s="59">
        <f t="shared" si="125"/>
        <v>782.40266106475201</v>
      </c>
      <c r="DT184" s="59">
        <f ca="1">AVERAGE(OFFSET($DS$3,0,0,'Données projet'!$E$14+1,1))-AVERAGE(OFFSET($H$3,0,0,'Données projet'!$E$14+1,1))</f>
        <v>479.53113328461268</v>
      </c>
      <c r="DU184" s="59">
        <f t="shared" si="152"/>
        <v>244.6360664588118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87.248013389091454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87.248013389091454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2.2737367544323206E-13</v>
      </c>
      <c r="EK184" s="17">
        <f>EJ184*VLOOKUP('Données projet'!$B$15,Paramètres!$A$1:$I$89,3,0)*VLOOKUP('Données projet'!$B$15,Paramètres!$A$1:$I$89,5,0)</f>
        <v>1.0049916454590858E-13</v>
      </c>
      <c r="EL184" s="13">
        <f t="shared" si="179"/>
        <v>1.5089081593838289E-12</v>
      </c>
      <c r="EM184" s="20">
        <f t="shared" si="180"/>
        <v>2.8030510891776262E-12</v>
      </c>
      <c r="EN184" s="59">
        <f t="shared" si="128"/>
        <v>289.97516145639128</v>
      </c>
      <c r="EO184" s="59">
        <f ca="1">AVERAGE(OFFSET($EN$3,0,0,'Données projet'!$E$15+1,1))-AVERAGE(OFFSET($H$3,0,0,'Données projet'!$E$15+1,1))</f>
        <v>339.23049610652492</v>
      </c>
      <c r="EP184" s="59">
        <f t="shared" si="154"/>
        <v>448.85057640789785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15.028745243280515</v>
      </c>
      <c r="EW184" s="21">
        <f>EXP(-LN(2)/25)*EW183+(1-EXP(-LN(2)/25))/(LN(2)/25)*Calculateur!ER184*Calculateur!ET184*VLOOKUP('Données projet'!$B$15,Paramètres!$A$1:$I$89,3,0)*0.475*44/12</f>
        <v>4.0991774279729114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19.127922671253426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6.2527760746888816E-13</v>
      </c>
      <c r="FF184" s="17">
        <f>FE184*VLOOKUP('Données projet'!$B$16,Paramètres!$A$1:$I$89,3,0)*VLOOKUP('Données projet'!$B$16,Paramètres!$A$1:$I$89,5,0)</f>
        <v>2.9262992029543964E-13</v>
      </c>
      <c r="FG184" s="13">
        <f t="shared" si="182"/>
        <v>3.8796387982050903E-12</v>
      </c>
      <c r="FH184" s="20">
        <f t="shared" si="183"/>
        <v>7.2667013513884219E-12</v>
      </c>
      <c r="FI184" s="59">
        <f t="shared" si="131"/>
        <v>289.97516145639577</v>
      </c>
      <c r="FJ184" s="59">
        <f ca="1">AVERAGE(OFFSET($FI$3,0,0,'Données projet'!$E$16+1,1))-AVERAGE(OFFSET($H$3,0,0,'Données projet'!$E$16+1,1))</f>
        <v>365.63278362856033</v>
      </c>
      <c r="FK184" s="59">
        <f t="shared" si="156"/>
        <v>290.68267842697452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64.014284053478292</v>
      </c>
      <c r="FR184" s="21">
        <f>EXP(-LN(2)/25)*FR183+(1-EXP(-LN(2)/25))/(LN(2)/25)*Calculateur!FM184*Calculateur!FO184*VLOOKUP('Données projet'!$B$16,Paramètres!$A$1:$I$89,3,0)*0.475*44/12</f>
        <v>16.208263240584436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80.222547294062736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2.2737367544323206E-13</v>
      </c>
      <c r="GA184" s="17">
        <f>FZ184*VLOOKUP('Données projet'!$B$17,Paramètres!$A$1:$I$89,3,0)*VLOOKUP('Données projet'!$B$17,Paramètres!$A$1:$I$89,5,0)</f>
        <v>1.9508661353029313E-13</v>
      </c>
      <c r="GB184" s="13">
        <f t="shared" si="185"/>
        <v>2.711421636700695E-12</v>
      </c>
      <c r="GC184" s="20">
        <f t="shared" si="186"/>
        <v>5.0621685358189711E-12</v>
      </c>
      <c r="GD184" s="59">
        <f t="shared" si="134"/>
        <v>289.97516145639355</v>
      </c>
      <c r="GE184" s="59">
        <f ca="1">AVERAGE(OFFSET($GD$3,0,0,'Données projet'!$E$17+1,1))-AVERAGE(OFFSET($H$3,0,0,'Données projet'!$E$17+1,1))</f>
        <v>460.46300302025099</v>
      </c>
      <c r="GF184" s="59">
        <f t="shared" si="158"/>
        <v>340.22534554615879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77.33571295704445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77.33571295704445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69.084134942651403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1.1368683772161603E-13</v>
      </c>
      <c r="GV184" s="17">
        <f>GU184*VLOOKUP('Données projet'!$B$18,Paramètres!$A$1:$I$89,3,0)*VLOOKUP('Données projet'!$B$18,Paramètres!$A$1:$I$89,5,0)</f>
        <v>6.7984728957526396E-14</v>
      </c>
      <c r="GW184" s="13">
        <f t="shared" si="188"/>
        <v>1.0682447123141398E-12</v>
      </c>
      <c r="GX184" s="20">
        <f t="shared" si="189"/>
        <v>1.978932943548152E-12</v>
      </c>
      <c r="GY184" s="59">
        <f t="shared" si="137"/>
        <v>289.97516145639048</v>
      </c>
      <c r="GZ184" s="59">
        <f ca="1">AVERAGE(OFFSET($GY$3,0,0,'Données projet'!$E$18+1,1))-AVERAGE(OFFSET($H$3,0,0,'Données projet'!$E$18+1,1))</f>
        <v>-15.950000000000017</v>
      </c>
      <c r="HA184" s="59">
        <f t="shared" si="160"/>
        <v>-15.950000000000017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14.027587421439799</v>
      </c>
      <c r="HH184" s="21">
        <f>EXP(-LN(2)/25)*HH183+(1-EXP(-LN(2)/25))/(LN(2)/25)*Calculateur!HC184*Calculateur!HE184*VLOOKUP('Données projet'!$B$18,Paramètres!$A$1:$I$89,3,0)*0.475*44/12</f>
        <v>3.5649899438913262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17.592577365331124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4.3499999999999996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15.949999999999998</v>
      </c>
      <c r="H185" s="67">
        <f t="shared" si="110"/>
        <v>192.86666666666667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-9.9316821433603781E-14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433.46721010558042</v>
      </c>
      <c r="T185" s="59">
        <f t="shared" si="142"/>
        <v>306.18862295347509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19.847645346918199</v>
      </c>
      <c r="AA185" s="21">
        <f>EXP(-LN(2)/25)*AA184+(1-EXP(-LN(2)/25))/(LN(2)/25)*Calculateur!V185*Calculateur!X185*VLOOKUP('Données projet'!$B$9,Paramètres!$A$1:$I$89,3,0)*0.475*44/12</f>
        <v>4.2676928885896359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24.115338235507835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290.03341823070798</v>
      </c>
      <c r="AN185" s="59">
        <f ca="1">AVERAGE(OFFSET($AM$3,0,0,'Données projet'!$E$10+1,1))-AVERAGE(OFFSET($H$3,0,0,'Données projet'!$E$10+1,1))</f>
        <v>400.1942260113168</v>
      </c>
      <c r="AO185" s="59">
        <f t="shared" si="144"/>
        <v>497.04866930593926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13.752514988088858</v>
      </c>
      <c r="AV185" s="21">
        <f>EXP(-LN(2)/25)*AV184+(1-EXP(-LN(2)/25))/(LN(2)/25)*Calculateur!AQ185*Calculateur!AS185*VLOOKUP('Données projet'!$B$10,Paramètres!$A$1:$I$89,3,0)*0.475*44/12</f>
        <v>3.4675051064009446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17.220020094489804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284.78505691662588</v>
      </c>
      <c r="BJ185" s="59">
        <f t="shared" si="146"/>
        <v>664.42623058686308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380.64318988568527</v>
      </c>
      <c r="CE185" s="59">
        <f t="shared" si="148"/>
        <v>885.24651320439159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7.847105920807194</v>
      </c>
      <c r="CL185" s="21">
        <f>EXP(-LN(2)/25)*CL184+(1-EXP(-LN(2)/25))/(LN(2)/25)*Calculateur!CG185*Calculateur!CI185*VLOOKUP('Données projet'!$B$12,Paramètres!$A$1:$I$89,3,0)*0.475*44/12</f>
        <v>0.60571929881056175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8.4528252196177558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-6.3550942286383367E-14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404.10467005188889</v>
      </c>
      <c r="CZ185" s="59">
        <f t="shared" si="150"/>
        <v>372.70490129557845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25.69481373527454</v>
      </c>
      <c r="DG185" s="21">
        <f>EXP(-LN(2)/25)*DG184+(1-EXP(-LN(2)/25))/(LN(2)/25)*Calculateur!DB185*Calculateur!DD185*VLOOKUP('Données projet'!$B$13,Paramètres!$A$1:$I$89,3,0)*0.475*44/12</f>
        <v>5.8377734267848815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31.532587162059421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4.1049999999999969</v>
      </c>
      <c r="DO185" s="12">
        <f>IF('Données projet'!$A$166&gt;35,DO184+DN185-DW184,IF(A185&lt;'Données projet'!$A$166,$DL$205^A185,IF(A185='Données projet'!$A$166,'Données projet'!$B$166,DO184+DN185-DW184)))</f>
        <v>255.08000000000038</v>
      </c>
      <c r="DP185" s="17">
        <f>DO185*VLOOKUP('Données projet'!$B$14,Paramètres!$A$1:$I$89,3,0)*VLOOKUP('Données projet'!$B$14,Paramètres!$A$1:$I$89,5,0)</f>
        <v>230.79638400000033</v>
      </c>
      <c r="DQ185" s="13">
        <f t="shared" si="176"/>
        <v>56.454843714964746</v>
      </c>
      <c r="DR185" s="20">
        <f t="shared" si="177"/>
        <v>500.29588827023076</v>
      </c>
      <c r="DS185" s="59">
        <f t="shared" si="125"/>
        <v>790.32930650093681</v>
      </c>
      <c r="DT185" s="59">
        <f ca="1">AVERAGE(OFFSET($DS$3,0,0,'Données projet'!$E$14+1,1))-AVERAGE(OFFSET($H$3,0,0,'Données projet'!$E$14+1,1))</f>
        <v>479.53113328461268</v>
      </c>
      <c r="DU185" s="59">
        <f t="shared" si="152"/>
        <v>244.6360664588118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85.537133062564891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85.537133062564891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2.2737367544323206E-13</v>
      </c>
      <c r="EK185" s="17">
        <f>EJ185*VLOOKUP('Données projet'!$B$15,Paramètres!$A$1:$I$89,3,0)*VLOOKUP('Données projet'!$B$15,Paramètres!$A$1:$I$89,5,0)</f>
        <v>1.0049916454590858E-13</v>
      </c>
      <c r="EL185" s="13">
        <f t="shared" si="179"/>
        <v>1.5089081593838289E-12</v>
      </c>
      <c r="EM185" s="20">
        <f t="shared" si="180"/>
        <v>2.8030510891776262E-12</v>
      </c>
      <c r="EN185" s="59">
        <f t="shared" si="128"/>
        <v>290.03341823070878</v>
      </c>
      <c r="EO185" s="59">
        <f ca="1">AVERAGE(OFFSET($EN$3,0,0,'Données projet'!$E$15+1,1))-AVERAGE(OFFSET($H$3,0,0,'Données projet'!$E$15+1,1))</f>
        <v>339.23049610652492</v>
      </c>
      <c r="EP185" s="59">
        <f t="shared" si="154"/>
        <v>448.85057640789785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14.734040715689252</v>
      </c>
      <c r="EW185" s="21">
        <f>EXP(-LN(2)/25)*EW184+(1-EXP(-LN(2)/25))/(LN(2)/25)*Calculateur!ER185*Calculateur!ET185*VLOOKUP('Données projet'!$B$15,Paramètres!$A$1:$I$89,3,0)*0.475*44/12</f>
        <v>3.9870852056386199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18.721125921327872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6.2527760746888816E-13</v>
      </c>
      <c r="FF185" s="17">
        <f>FE185*VLOOKUP('Données projet'!$B$16,Paramètres!$A$1:$I$89,3,0)*VLOOKUP('Données projet'!$B$16,Paramètres!$A$1:$I$89,5,0)</f>
        <v>2.9262992029543964E-13</v>
      </c>
      <c r="FG185" s="13">
        <f t="shared" si="182"/>
        <v>3.8796387982050903E-12</v>
      </c>
      <c r="FH185" s="20">
        <f t="shared" si="183"/>
        <v>7.2667013513884219E-12</v>
      </c>
      <c r="FI185" s="59">
        <f t="shared" si="131"/>
        <v>290.03341823071327</v>
      </c>
      <c r="FJ185" s="59">
        <f ca="1">AVERAGE(OFFSET($FI$3,0,0,'Données projet'!$E$16+1,1))-AVERAGE(OFFSET($H$3,0,0,'Données projet'!$E$16+1,1))</f>
        <v>365.63278362856033</v>
      </c>
      <c r="FK185" s="59">
        <f t="shared" si="156"/>
        <v>290.68267842697452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62.759002988047499</v>
      </c>
      <c r="FR185" s="21">
        <f>EXP(-LN(2)/25)*FR184+(1-EXP(-LN(2)/25))/(LN(2)/25)*Calculateur!FM185*Calculateur!FO185*VLOOKUP('Données projet'!$B$16,Paramètres!$A$1:$I$89,3,0)*0.475*44/12</f>
        <v>15.765047429915136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78.524050417962627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2.2737367544323206E-13</v>
      </c>
      <c r="GA185" s="17">
        <f>FZ185*VLOOKUP('Données projet'!$B$17,Paramètres!$A$1:$I$89,3,0)*VLOOKUP('Données projet'!$B$17,Paramètres!$A$1:$I$89,5,0)</f>
        <v>1.9508661353029313E-13</v>
      </c>
      <c r="GB185" s="13">
        <f t="shared" si="185"/>
        <v>2.711421636700695E-12</v>
      </c>
      <c r="GC185" s="20">
        <f t="shared" si="186"/>
        <v>5.0621685358189711E-12</v>
      </c>
      <c r="GD185" s="59">
        <f t="shared" si="134"/>
        <v>290.03341823071105</v>
      </c>
      <c r="GE185" s="59">
        <f ca="1">AVERAGE(OFFSET($GD$3,0,0,'Données projet'!$E$17+1,1))-AVERAGE(OFFSET($H$3,0,0,'Données projet'!$E$17+1,1))</f>
        <v>460.46300302025099</v>
      </c>
      <c r="GF185" s="59">
        <f t="shared" si="158"/>
        <v>340.22534554615879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75.819206796084046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75.819206796084046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69.1000231538289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1.1368683772161603E-13</v>
      </c>
      <c r="GV185" s="17">
        <f>GU185*VLOOKUP('Données projet'!$B$18,Paramètres!$A$1:$I$89,3,0)*VLOOKUP('Données projet'!$B$18,Paramètres!$A$1:$I$89,5,0)</f>
        <v>6.7984728957526396E-14</v>
      </c>
      <c r="GW185" s="13">
        <f t="shared" si="188"/>
        <v>1.0682447123141398E-12</v>
      </c>
      <c r="GX185" s="20">
        <f t="shared" si="189"/>
        <v>1.978932943548152E-12</v>
      </c>
      <c r="GY185" s="59">
        <f t="shared" si="137"/>
        <v>290.03341823070798</v>
      </c>
      <c r="GZ185" s="59">
        <f ca="1">AVERAGE(OFFSET($GY$3,0,0,'Données projet'!$E$18+1,1))-AVERAGE(OFFSET($H$3,0,0,'Données projet'!$E$18+1,1))</f>
        <v>-15.950000000000017</v>
      </c>
      <c r="HA185" s="59">
        <f t="shared" si="160"/>
        <v>-15.950000000000017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13.752514988088858</v>
      </c>
      <c r="HH185" s="21">
        <f>EXP(-LN(2)/25)*HH184+(1-EXP(-LN(2)/25))/(LN(2)/25)*Calculateur!HC185*Calculateur!HE185*VLOOKUP('Données projet'!$B$18,Paramètres!$A$1:$I$89,3,0)*0.475*44/12</f>
        <v>3.4675051064009446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17.220020094489804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4.3499999999999996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15.949999999999998</v>
      </c>
      <c r="H186" s="67">
        <f t="shared" si="110"/>
        <v>192.86666666666667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-9.9316821433603781E-14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433.46721010558042</v>
      </c>
      <c r="T186" s="59">
        <f t="shared" si="142"/>
        <v>306.18862295347509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19.458445127533441</v>
      </c>
      <c r="AA186" s="21">
        <f>EXP(-LN(2)/25)*AA185+(1-EXP(-LN(2)/25))/(LN(2)/25)*Calculateur!V186*Calculateur!X186*VLOOKUP('Données projet'!$B$9,Paramètres!$A$1:$I$89,3,0)*0.475*44/12</f>
        <v>4.1509926021229369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23.609437729656378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290.09066438023359</v>
      </c>
      <c r="AN186" s="59">
        <f ca="1">AVERAGE(OFFSET($AM$3,0,0,'Données projet'!$E$10+1,1))-AVERAGE(OFFSET($H$3,0,0,'Données projet'!$E$10+1,1))</f>
        <v>400.1942260113168</v>
      </c>
      <c r="AO186" s="59">
        <f t="shared" si="144"/>
        <v>497.04866930593926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13.482836557378311</v>
      </c>
      <c r="AV186" s="21">
        <f>EXP(-LN(2)/25)*AV185+(1-EXP(-LN(2)/25))/(LN(2)/25)*Calculateur!AQ186*Calculateur!AS186*VLOOKUP('Données projet'!$B$10,Paramètres!$A$1:$I$89,3,0)*0.475*44/12</f>
        <v>3.3726859969182423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16.855522554296552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284.78505691662588</v>
      </c>
      <c r="BJ186" s="59">
        <f t="shared" si="146"/>
        <v>664.42623058686308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380.64318988568527</v>
      </c>
      <c r="CE186" s="59">
        <f t="shared" si="148"/>
        <v>885.24651320439159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7.6932289599621724</v>
      </c>
      <c r="CL186" s="21">
        <f>EXP(-LN(2)/25)*CL185+(1-EXP(-LN(2)/25))/(LN(2)/25)*Calculateur!CG186*Calculateur!CI186*VLOOKUP('Données projet'!$B$12,Paramètres!$A$1:$I$89,3,0)*0.475*44/12</f>
        <v>0.58915587273119341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8.2823848326933653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-6.3550942286383367E-14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404.10467005188889</v>
      </c>
      <c r="CZ186" s="59">
        <f t="shared" si="150"/>
        <v>372.70490129557845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25.190954110214676</v>
      </c>
      <c r="DG186" s="21">
        <f>EXP(-LN(2)/25)*DG185+(1-EXP(-LN(2)/25))/(LN(2)/25)*Calculateur!DB186*Calculateur!DD186*VLOOKUP('Données projet'!$B$13,Paramètres!$A$1:$I$89,3,0)*0.475*44/12</f>
        <v>5.6781392054342872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30.869093315648964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4.1049999999999969</v>
      </c>
      <c r="DO186" s="12">
        <f>IF('Données projet'!$A$166&gt;35,DO185+DN186-DW185,IF(A186&lt;'Données projet'!$A$166,$DL$205^A186,IF(A186='Données projet'!$A$166,'Données projet'!$B$166,DO185+DN186-DW185)))</f>
        <v>259.1850000000004</v>
      </c>
      <c r="DP186" s="17">
        <f>DO186*VLOOKUP('Données projet'!$B$14,Paramètres!$A$1:$I$89,3,0)*VLOOKUP('Données projet'!$B$14,Paramètres!$A$1:$I$89,5,0)</f>
        <v>234.51058800000038</v>
      </c>
      <c r="DQ186" s="13">
        <f t="shared" si="176"/>
        <v>57.256870978256515</v>
      </c>
      <c r="DR186" s="20">
        <f t="shared" si="177"/>
        <v>508.16165772046406</v>
      </c>
      <c r="DS186" s="59">
        <f t="shared" si="125"/>
        <v>798.25232210069566</v>
      </c>
      <c r="DT186" s="59">
        <f ca="1">AVERAGE(OFFSET($DS$3,0,0,'Données projet'!$E$14+1,1))-AVERAGE(OFFSET($H$3,0,0,'Données projet'!$E$14+1,1))</f>
        <v>479.53113328461268</v>
      </c>
      <c r="DU186" s="59">
        <f t="shared" si="152"/>
        <v>244.6360664588118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83.859802055707561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83.859802055707561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2.2737367544323206E-13</v>
      </c>
      <c r="EK186" s="17">
        <f>EJ186*VLOOKUP('Données projet'!$B$15,Paramètres!$A$1:$I$89,3,0)*VLOOKUP('Données projet'!$B$15,Paramètres!$A$1:$I$89,5,0)</f>
        <v>1.0049916454590858E-13</v>
      </c>
      <c r="EL186" s="13">
        <f t="shared" si="179"/>
        <v>1.5089081593838289E-12</v>
      </c>
      <c r="EM186" s="20">
        <f t="shared" si="180"/>
        <v>2.8030510891776262E-12</v>
      </c>
      <c r="EN186" s="59">
        <f t="shared" si="128"/>
        <v>290.09066438023439</v>
      </c>
      <c r="EO186" s="59">
        <f ca="1">AVERAGE(OFFSET($EN$3,0,0,'Données projet'!$E$15+1,1))-AVERAGE(OFFSET($H$3,0,0,'Données projet'!$E$15+1,1))</f>
        <v>339.23049610652492</v>
      </c>
      <c r="EP186" s="59">
        <f t="shared" si="154"/>
        <v>448.85057640789785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14.445115164132043</v>
      </c>
      <c r="EW186" s="21">
        <f>EXP(-LN(2)/25)*EW185+(1-EXP(-LN(2)/25))/(LN(2)/25)*Calculateur!ER186*Calculateur!ET186*VLOOKUP('Données projet'!$B$15,Paramètres!$A$1:$I$89,3,0)*0.475*44/12</f>
        <v>3.8780581510187333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18.323173315150775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6.2527760746888816E-13</v>
      </c>
      <c r="FF186" s="17">
        <f>FE186*VLOOKUP('Données projet'!$B$16,Paramètres!$A$1:$I$89,3,0)*VLOOKUP('Données projet'!$B$16,Paramètres!$A$1:$I$89,5,0)</f>
        <v>2.9262992029543964E-13</v>
      </c>
      <c r="FG186" s="13">
        <f t="shared" si="182"/>
        <v>3.8796387982050903E-12</v>
      </c>
      <c r="FH186" s="20">
        <f t="shared" si="183"/>
        <v>7.2667013513884219E-12</v>
      </c>
      <c r="FI186" s="59">
        <f t="shared" si="131"/>
        <v>290.09066438023888</v>
      </c>
      <c r="FJ186" s="59">
        <f ca="1">AVERAGE(OFFSET($FI$3,0,0,'Données projet'!$E$16+1,1))-AVERAGE(OFFSET($H$3,0,0,'Données projet'!$E$16+1,1))</f>
        <v>365.63278362856033</v>
      </c>
      <c r="FK186" s="59">
        <f t="shared" si="156"/>
        <v>290.68267842697452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61.52833721866395</v>
      </c>
      <c r="FR186" s="21">
        <f>EXP(-LN(2)/25)*FR185+(1-EXP(-LN(2)/25))/(LN(2)/25)*Calculateur!FM186*Calculateur!FO186*VLOOKUP('Données projet'!$B$16,Paramètres!$A$1:$I$89,3,0)*0.475*44/12</f>
        <v>15.333951378896293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76.862288597560237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2.2737367544323206E-13</v>
      </c>
      <c r="GA186" s="17">
        <f>FZ186*VLOOKUP('Données projet'!$B$17,Paramètres!$A$1:$I$89,3,0)*VLOOKUP('Données projet'!$B$17,Paramètres!$A$1:$I$89,5,0)</f>
        <v>1.9508661353029313E-13</v>
      </c>
      <c r="GB186" s="13">
        <f t="shared" si="185"/>
        <v>2.711421636700695E-12</v>
      </c>
      <c r="GC186" s="20">
        <f t="shared" si="186"/>
        <v>5.0621685358189711E-12</v>
      </c>
      <c r="GD186" s="59">
        <f t="shared" si="134"/>
        <v>290.09066438023666</v>
      </c>
      <c r="GE186" s="59">
        <f ca="1">AVERAGE(OFFSET($GD$3,0,0,'Données projet'!$E$17+1,1))-AVERAGE(OFFSET($H$3,0,0,'Données projet'!$E$17+1,1))</f>
        <v>460.46300302025099</v>
      </c>
      <c r="GF186" s="59">
        <f t="shared" si="158"/>
        <v>340.22534554615879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74.332438395962654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74.332438395962654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69.115635740063169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1.1368683772161603E-13</v>
      </c>
      <c r="GV186" s="17">
        <f>GU186*VLOOKUP('Données projet'!$B$18,Paramètres!$A$1:$I$89,3,0)*VLOOKUP('Données projet'!$B$18,Paramètres!$A$1:$I$89,5,0)</f>
        <v>6.7984728957526396E-14</v>
      </c>
      <c r="GW186" s="13">
        <f t="shared" si="188"/>
        <v>1.0682447123141398E-12</v>
      </c>
      <c r="GX186" s="20">
        <f t="shared" si="189"/>
        <v>1.978932943548152E-12</v>
      </c>
      <c r="GY186" s="59">
        <f t="shared" si="137"/>
        <v>290.09066438023359</v>
      </c>
      <c r="GZ186" s="59">
        <f ca="1">AVERAGE(OFFSET($GY$3,0,0,'Données projet'!$E$18+1,1))-AVERAGE(OFFSET($H$3,0,0,'Données projet'!$E$18+1,1))</f>
        <v>-15.950000000000017</v>
      </c>
      <c r="HA186" s="59">
        <f t="shared" si="160"/>
        <v>-15.950000000000017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13.482836557378311</v>
      </c>
      <c r="HH186" s="21">
        <f>EXP(-LN(2)/25)*HH185+(1-EXP(-LN(2)/25))/(LN(2)/25)*Calculateur!HC186*Calculateur!HE186*VLOOKUP('Données projet'!$B$18,Paramètres!$A$1:$I$89,3,0)*0.475*44/12</f>
        <v>3.3726859969182423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16.855522554296552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4.3499999999999996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15.949999999999998</v>
      </c>
      <c r="H187" s="67">
        <f t="shared" si="110"/>
        <v>192.86666666666667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-9.9316821433603781E-14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433.46721010558042</v>
      </c>
      <c r="T187" s="59">
        <f t="shared" si="142"/>
        <v>306.18862295347509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19.076876887062124</v>
      </c>
      <c r="AA187" s="21">
        <f>EXP(-LN(2)/25)*AA186+(1-EXP(-LN(2)/25))/(LN(2)/25)*Calculateur!V187*Calculateur!X187*VLOOKUP('Données projet'!$B$9,Paramètres!$A$1:$I$89,3,0)*0.475*44/12</f>
        <v>4.0374834911266717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23.114360378188795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290.14691743704822</v>
      </c>
      <c r="AN187" s="59">
        <f ca="1">AVERAGE(OFFSET($AM$3,0,0,'Données projet'!$E$10+1,1))-AVERAGE(OFFSET($H$3,0,0,'Données projet'!$E$10+1,1))</f>
        <v>400.1942260113168</v>
      </c>
      <c r="AO187" s="59">
        <f t="shared" si="144"/>
        <v>497.04866930593926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13.218446356206398</v>
      </c>
      <c r="AV187" s="21">
        <f>EXP(-LN(2)/25)*AV186+(1-EXP(-LN(2)/25))/(LN(2)/25)*Calculateur!AQ187*Calculateur!AS187*VLOOKUP('Données projet'!$B$10,Paramètres!$A$1:$I$89,3,0)*0.475*44/12</f>
        <v>3.280459720970665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16.498906077177061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284.78505691662588</v>
      </c>
      <c r="BJ187" s="59">
        <f t="shared" si="146"/>
        <v>664.42623058686308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380.64318988568527</v>
      </c>
      <c r="CE187" s="59">
        <f t="shared" si="148"/>
        <v>885.24651320439159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7.5423694324636434</v>
      </c>
      <c r="CL187" s="21">
        <f>EXP(-LN(2)/25)*CL186+(1-EXP(-LN(2)/25))/(LN(2)/25)*Calculateur!CG187*Calculateur!CI187*VLOOKUP('Données projet'!$B$12,Paramètres!$A$1:$I$89,3,0)*0.475*44/12</f>
        <v>0.57304537440899816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8.1154148068726411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-6.3550942286383367E-14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404.10467005188889</v>
      </c>
      <c r="CZ187" s="59">
        <f t="shared" si="150"/>
        <v>372.70490129557845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24.696974865078211</v>
      </c>
      <c r="DG187" s="21">
        <f>EXP(-LN(2)/25)*DG186+(1-EXP(-LN(2)/25))/(LN(2)/25)*Calculateur!DB187*Calculateur!DD187*VLOOKUP('Données projet'!$B$13,Paramètres!$A$1:$I$89,3,0)*0.475*44/12</f>
        <v>5.5228701902613233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30.219845055339533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>
        <f>VLOOKUP(A187,'Données projet'!$A$165:$I$185,2,0)</f>
        <v>263.29000000000002</v>
      </c>
      <c r="DM187" s="12">
        <f>VLOOKUP(A187,'Données projet'!$A$165:$I$185,9,0)</f>
        <v>4.1049999999999969</v>
      </c>
      <c r="DN187" s="12">
        <f t="array" ref="DN187">INDEX(DM:DM,MIN(IF(ISNUMBER(DM187:DM383),ROW(DM187:DM383),"")))</f>
        <v>4.1049999999999969</v>
      </c>
      <c r="DO187" s="12">
        <f>IF('Données projet'!$A$166&gt;35,DO186+DN187-DW186,IF(A187&lt;'Données projet'!$A$166,$DL$205^A187,IF(A187='Données projet'!$A$166,'Données projet'!$B$166,DO186+DN187-DW186)))</f>
        <v>263.29000000000042</v>
      </c>
      <c r="DP187" s="17">
        <f>DO187*VLOOKUP('Données projet'!$B$14,Paramètres!$A$1:$I$89,3,0)*VLOOKUP('Données projet'!$B$14,Paramètres!$A$1:$I$89,5,0)</f>
        <v>238.22479200000038</v>
      </c>
      <c r="DQ187" s="13">
        <f t="shared" si="176"/>
        <v>58.057420956353262</v>
      </c>
      <c r="DR187" s="20">
        <f t="shared" si="177"/>
        <v>516.02485423231587</v>
      </c>
      <c r="DS187" s="59">
        <f t="shared" si="125"/>
        <v>806.1717716693621</v>
      </c>
      <c r="DT187" s="59">
        <f ca="1">AVERAGE(OFFSET($DS$3,0,0,'Données projet'!$E$14+1,1))-AVERAGE(OFFSET($H$3,0,0,'Données projet'!$E$14+1,1))</f>
        <v>479.53113328461268</v>
      </c>
      <c r="DU187" s="59">
        <f t="shared" si="152"/>
        <v>244.6360664588118</v>
      </c>
      <c r="DV187" s="15">
        <f>IF(ISNA(VLOOKUP(A187,'Données projet'!$A$165:$I$185,3,0)),0,VLOOKUP(A187,'Données projet'!$A$165:$I$185,3,0))</f>
        <v>14</v>
      </c>
      <c r="DW187" s="15">
        <f>IF(ISNA(VLOOKUP(A187,'Données projet'!$A$165:$I$185,4,0)),0,VLOOKUP(A187,'Données projet'!$A$165:$I$185,4,0))</f>
        <v>88.94</v>
      </c>
      <c r="DX187" s="16">
        <f>IF(ISNA(VLOOKUP(A187,'Données projet'!$A$165:$I$185,5,0)),0%,VLOOKUP(A187,'Données projet'!$A$165:$I$185,5,0)*VLOOKUP('Données projet'!$B$14,Paramètres!$A$1:$I$89,7,0))</f>
        <v>0.25800000000000001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105.16715099408033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105.16715099408033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2.2737367544323206E-13</v>
      </c>
      <c r="EK187" s="17">
        <f>EJ187*VLOOKUP('Données projet'!$B$15,Paramètres!$A$1:$I$89,3,0)*VLOOKUP('Données projet'!$B$15,Paramètres!$A$1:$I$89,5,0)</f>
        <v>1.0049916454590858E-13</v>
      </c>
      <c r="EL187" s="13">
        <f t="shared" si="179"/>
        <v>1.5089081593838289E-12</v>
      </c>
      <c r="EM187" s="20">
        <f t="shared" si="180"/>
        <v>2.8030510891776262E-12</v>
      </c>
      <c r="EN187" s="59">
        <f t="shared" si="128"/>
        <v>290.14691743704901</v>
      </c>
      <c r="EO187" s="59">
        <f ca="1">AVERAGE(OFFSET($EN$3,0,0,'Données projet'!$E$15+1,1))-AVERAGE(OFFSET($H$3,0,0,'Données projet'!$E$15+1,1))</f>
        <v>339.23049610652492</v>
      </c>
      <c r="EP187" s="59">
        <f t="shared" si="154"/>
        <v>448.85057640789785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14.161855266413683</v>
      </c>
      <c r="EW187" s="21">
        <f>EXP(-LN(2)/25)*EW186+(1-EXP(-LN(2)/25))/(LN(2)/25)*Calculateur!ER187*Calculateur!ET187*VLOOKUP('Données projet'!$B$15,Paramètres!$A$1:$I$89,3,0)*0.475*44/12</f>
        <v>3.7720124469409111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17.933867713354594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6.2527760746888816E-13</v>
      </c>
      <c r="FF187" s="17">
        <f>FE187*VLOOKUP('Données projet'!$B$16,Paramètres!$A$1:$I$89,3,0)*VLOOKUP('Données projet'!$B$16,Paramètres!$A$1:$I$89,5,0)</f>
        <v>2.9262992029543964E-13</v>
      </c>
      <c r="FG187" s="13">
        <f t="shared" si="182"/>
        <v>3.8796387982050903E-12</v>
      </c>
      <c r="FH187" s="20">
        <f t="shared" si="183"/>
        <v>7.2667013513884219E-12</v>
      </c>
      <c r="FI187" s="59">
        <f t="shared" si="131"/>
        <v>290.1469174370535</v>
      </c>
      <c r="FJ187" s="59">
        <f ca="1">AVERAGE(OFFSET($FI$3,0,0,'Données projet'!$E$16+1,1))-AVERAGE(OFFSET($H$3,0,0,'Données projet'!$E$16+1,1))</f>
        <v>365.63278362856033</v>
      </c>
      <c r="FK187" s="59">
        <f t="shared" si="156"/>
        <v>290.68267842697452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60.321804054386014</v>
      </c>
      <c r="FR187" s="21">
        <f>EXP(-LN(2)/25)*FR186+(1-EXP(-LN(2)/25))/(LN(2)/25)*Calculateur!FM187*Calculateur!FO187*VLOOKUP('Données projet'!$B$16,Paramètres!$A$1:$I$89,3,0)*0.475*44/12</f>
        <v>14.914643672062917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75.23644772644893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2.2737367544323206E-13</v>
      </c>
      <c r="GA187" s="17">
        <f>FZ187*VLOOKUP('Données projet'!$B$17,Paramètres!$A$1:$I$89,3,0)*VLOOKUP('Données projet'!$B$17,Paramètres!$A$1:$I$89,5,0)</f>
        <v>1.9508661353029313E-13</v>
      </c>
      <c r="GB187" s="13">
        <f t="shared" si="185"/>
        <v>2.711421636700695E-12</v>
      </c>
      <c r="GC187" s="20">
        <f t="shared" si="186"/>
        <v>5.0621685358189711E-12</v>
      </c>
      <c r="GD187" s="59">
        <f t="shared" si="134"/>
        <v>290.14691743705129</v>
      </c>
      <c r="GE187" s="59">
        <f ca="1">AVERAGE(OFFSET($GD$3,0,0,'Données projet'!$E$17+1,1))-AVERAGE(OFFSET($H$3,0,0,'Données projet'!$E$17+1,1))</f>
        <v>460.46300302025099</v>
      </c>
      <c r="GF187" s="59">
        <f t="shared" si="158"/>
        <v>340.22534554615879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72.874824617328457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72.874824617328457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69.130977482830787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1.1368683772161603E-13</v>
      </c>
      <c r="GV187" s="17">
        <f>GU187*VLOOKUP('Données projet'!$B$18,Paramètres!$A$1:$I$89,3,0)*VLOOKUP('Données projet'!$B$18,Paramètres!$A$1:$I$89,5,0)</f>
        <v>6.7984728957526396E-14</v>
      </c>
      <c r="GW187" s="13">
        <f t="shared" si="188"/>
        <v>1.0682447123141398E-12</v>
      </c>
      <c r="GX187" s="20">
        <f t="shared" si="189"/>
        <v>1.978932943548152E-12</v>
      </c>
      <c r="GY187" s="59">
        <f t="shared" si="137"/>
        <v>290.14691743704822</v>
      </c>
      <c r="GZ187" s="59">
        <f ca="1">AVERAGE(OFFSET($GY$3,0,0,'Données projet'!$E$18+1,1))-AVERAGE(OFFSET($H$3,0,0,'Données projet'!$E$18+1,1))</f>
        <v>-15.950000000000017</v>
      </c>
      <c r="HA187" s="59">
        <f t="shared" si="160"/>
        <v>-15.950000000000017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13.218446356206398</v>
      </c>
      <c r="HH187" s="21">
        <f>EXP(-LN(2)/25)*HH186+(1-EXP(-LN(2)/25))/(LN(2)/25)*Calculateur!HC187*Calculateur!HE187*VLOOKUP('Données projet'!$B$18,Paramètres!$A$1:$I$89,3,0)*0.475*44/12</f>
        <v>3.280459720970665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16.498906077177061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4.3499999999999996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15.949999999999998</v>
      </c>
      <c r="H188" s="67">
        <f t="shared" si="110"/>
        <v>192.86666666666667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-9.9316821433603781E-14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433.46721010558042</v>
      </c>
      <c r="T188" s="59">
        <f t="shared" si="142"/>
        <v>306.18862295347509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18.702790967052803</v>
      </c>
      <c r="AA188" s="21">
        <f>EXP(-LN(2)/25)*AA187+(1-EXP(-LN(2)/25))/(LN(2)/25)*Calculateur!V188*Calculateur!X188*VLOOKUP('Données projet'!$B$9,Paramètres!$A$1:$I$89,3,0)*0.475*44/12</f>
        <v>3.9270782927397838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22.629869259792585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290.20219462909006</v>
      </c>
      <c r="AN188" s="59">
        <f ca="1">AVERAGE(OFFSET($AM$3,0,0,'Données projet'!$E$10+1,1))-AVERAGE(OFFSET($H$3,0,0,'Données projet'!$E$10+1,1))</f>
        <v>400.1942260113168</v>
      </c>
      <c r="AO188" s="59">
        <f t="shared" si="144"/>
        <v>497.04866930593926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12.959240685617367</v>
      </c>
      <c r="AV188" s="21">
        <f>EXP(-LN(2)/25)*AV187+(1-EXP(-LN(2)/25))/(LN(2)/25)*Calculateur!AQ188*Calculateur!AS188*VLOOKUP('Données projet'!$B$10,Paramètres!$A$1:$I$89,3,0)*0.475*44/12</f>
        <v>3.1907553773888431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16.14999606300621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284.78505691662588</v>
      </c>
      <c r="BJ188" s="59">
        <f t="shared" si="146"/>
        <v>664.42623058686308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380.64318988568527</v>
      </c>
      <c r="CE188" s="59">
        <f t="shared" si="148"/>
        <v>885.24651320439159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7.394468168284134</v>
      </c>
      <c r="CL188" s="21">
        <f>EXP(-LN(2)/25)*CL187+(1-EXP(-LN(2)/25))/(LN(2)/25)*Calculateur!CG188*Calculateur!CI188*VLOOKUP('Données projet'!$B$12,Paramètres!$A$1:$I$89,3,0)*0.475*44/12</f>
        <v>0.55737541851063754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7.9518435867947712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-6.3550942286383367E-14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404.10467005188889</v>
      </c>
      <c r="CZ188" s="59">
        <f t="shared" si="150"/>
        <v>372.70490129557845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24.212682251641283</v>
      </c>
      <c r="DG188" s="21">
        <f>EXP(-LN(2)/25)*DG187+(1-EXP(-LN(2)/25))/(LN(2)/25)*Calculateur!DB188*Calculateur!DD188*VLOOKUP('Données projet'!$B$13,Paramètres!$A$1:$I$89,3,0)*0.475*44/12</f>
        <v>5.3718470144735067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29.584529266114789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2.5999999999999943</v>
      </c>
      <c r="DO188" s="12">
        <f>IF('Données projet'!$A$166&gt;35,DO187+DN188-DW187,IF(A188&lt;'Données projet'!$A$166,$DL$205^A188,IF(A188='Données projet'!$A$166,'Données projet'!$B$166,DO187+DN188-DW187)))</f>
        <v>176.95000000000044</v>
      </c>
      <c r="DP188" s="17">
        <f>DO188*VLOOKUP('Données projet'!$B$14,Paramètres!$A$1:$I$89,3,0)*VLOOKUP('Données projet'!$B$14,Paramètres!$A$1:$I$89,5,0)</f>
        <v>160.10436000000041</v>
      </c>
      <c r="DQ188" s="13">
        <f t="shared" si="176"/>
        <v>40.866053202665292</v>
      </c>
      <c r="DR188" s="20">
        <f t="shared" si="177"/>
        <v>350.02346966130943</v>
      </c>
      <c r="DS188" s="59">
        <f t="shared" si="125"/>
        <v>640.2256642903975</v>
      </c>
      <c r="DT188" s="59">
        <f ca="1">AVERAGE(OFFSET($DS$3,0,0,'Données projet'!$E$14+1,1))-AVERAGE(OFFSET($H$3,0,0,'Données projet'!$E$14+1,1))</f>
        <v>479.53113328461268</v>
      </c>
      <c r="DU188" s="59">
        <f t="shared" si="152"/>
        <v>244.6360664588118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103.10488730871467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103.10488730871467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2.2737367544323206E-13</v>
      </c>
      <c r="EK188" s="17">
        <f>EJ188*VLOOKUP('Données projet'!$B$15,Paramètres!$A$1:$I$89,3,0)*VLOOKUP('Données projet'!$B$15,Paramètres!$A$1:$I$89,5,0)</f>
        <v>1.0049916454590858E-13</v>
      </c>
      <c r="EL188" s="13">
        <f t="shared" si="179"/>
        <v>1.5089081593838289E-12</v>
      </c>
      <c r="EM188" s="20">
        <f t="shared" si="180"/>
        <v>2.8030510891776262E-12</v>
      </c>
      <c r="EN188" s="59">
        <f t="shared" si="128"/>
        <v>290.20219462909085</v>
      </c>
      <c r="EO188" s="59">
        <f ca="1">AVERAGE(OFFSET($EN$3,0,0,'Données projet'!$E$15+1,1))-AVERAGE(OFFSET($H$3,0,0,'Données projet'!$E$15+1,1))</f>
        <v>339.23049610652492</v>
      </c>
      <c r="EP188" s="59">
        <f t="shared" si="154"/>
        <v>448.85057640789785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13.884149922518104</v>
      </c>
      <c r="EW188" s="21">
        <f>EXP(-LN(2)/25)*EW187+(1-EXP(-LN(2)/25))/(LN(2)/25)*Calculateur!ER188*Calculateur!ET188*VLOOKUP('Données projet'!$B$15,Paramètres!$A$1:$I$89,3,0)*0.475*44/12</f>
        <v>3.6688665682177986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17.553016490735903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6.2527760746888816E-13</v>
      </c>
      <c r="FF188" s="17">
        <f>FE188*VLOOKUP('Données projet'!$B$16,Paramètres!$A$1:$I$89,3,0)*VLOOKUP('Données projet'!$B$16,Paramètres!$A$1:$I$89,5,0)</f>
        <v>2.9262992029543964E-13</v>
      </c>
      <c r="FG188" s="13">
        <f t="shared" si="182"/>
        <v>3.8796387982050903E-12</v>
      </c>
      <c r="FH188" s="20">
        <f t="shared" si="183"/>
        <v>7.2667013513884219E-12</v>
      </c>
      <c r="FI188" s="59">
        <f t="shared" si="131"/>
        <v>290.20219462909535</v>
      </c>
      <c r="FJ188" s="59">
        <f ca="1">AVERAGE(OFFSET($FI$3,0,0,'Données projet'!$E$16+1,1))-AVERAGE(OFFSET($H$3,0,0,'Données projet'!$E$16+1,1))</f>
        <v>365.63278362856033</v>
      </c>
      <c r="FK188" s="59">
        <f t="shared" si="156"/>
        <v>290.68267842697452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59.138930269547004</v>
      </c>
      <c r="FR188" s="21">
        <f>EXP(-LN(2)/25)*FR187+(1-EXP(-LN(2)/25))/(LN(2)/25)*Calculateur!FM188*Calculateur!FO188*VLOOKUP('Données projet'!$B$16,Paramètres!$A$1:$I$89,3,0)*0.475*44/12</f>
        <v>14.506801956523335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73.645732226070336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2.2737367544323206E-13</v>
      </c>
      <c r="GA188" s="17">
        <f>FZ188*VLOOKUP('Données projet'!$B$17,Paramètres!$A$1:$I$89,3,0)*VLOOKUP('Données projet'!$B$17,Paramètres!$A$1:$I$89,5,0)</f>
        <v>1.9508661353029313E-13</v>
      </c>
      <c r="GB188" s="13">
        <f t="shared" si="185"/>
        <v>2.711421636700695E-12</v>
      </c>
      <c r="GC188" s="20">
        <f t="shared" si="186"/>
        <v>5.0621685358189711E-12</v>
      </c>
      <c r="GD188" s="59">
        <f t="shared" si="134"/>
        <v>290.20219462909313</v>
      </c>
      <c r="GE188" s="59">
        <f ca="1">AVERAGE(OFFSET($GD$3,0,0,'Données projet'!$E$17+1,1))-AVERAGE(OFFSET($H$3,0,0,'Données projet'!$E$17+1,1))</f>
        <v>460.46300302025099</v>
      </c>
      <c r="GF188" s="59">
        <f t="shared" si="158"/>
        <v>340.22534554615879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71.445793755836661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71.445793755836661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69.14605308066038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1.1368683772161603E-13</v>
      </c>
      <c r="GV188" s="17">
        <f>GU188*VLOOKUP('Données projet'!$B$18,Paramètres!$A$1:$I$89,3,0)*VLOOKUP('Données projet'!$B$18,Paramètres!$A$1:$I$89,5,0)</f>
        <v>6.7984728957526396E-14</v>
      </c>
      <c r="GW188" s="13">
        <f t="shared" si="188"/>
        <v>1.0682447123141398E-12</v>
      </c>
      <c r="GX188" s="20">
        <f t="shared" si="189"/>
        <v>1.978932943548152E-12</v>
      </c>
      <c r="GY188" s="59">
        <f t="shared" si="137"/>
        <v>290.20219462909006</v>
      </c>
      <c r="GZ188" s="59">
        <f ca="1">AVERAGE(OFFSET($GY$3,0,0,'Données projet'!$E$18+1,1))-AVERAGE(OFFSET($H$3,0,0,'Données projet'!$E$18+1,1))</f>
        <v>-15.950000000000017</v>
      </c>
      <c r="HA188" s="59">
        <f t="shared" si="160"/>
        <v>-15.950000000000017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12.959240685617367</v>
      </c>
      <c r="HH188" s="21">
        <f>EXP(-LN(2)/25)*HH187+(1-EXP(-LN(2)/25))/(LN(2)/25)*Calculateur!HC188*Calculateur!HE188*VLOOKUP('Données projet'!$B$18,Paramètres!$A$1:$I$89,3,0)*0.475*44/12</f>
        <v>3.1907553773888431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16.14999606300621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4.3499999999999996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15.949999999999998</v>
      </c>
      <c r="H189" s="67">
        <f t="shared" si="110"/>
        <v>192.86666666666667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-9.9316821433603781E-14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433.46721010558042</v>
      </c>
      <c r="T189" s="59">
        <f t="shared" si="142"/>
        <v>306.18862295347509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18.336040643764981</v>
      </c>
      <c r="AA189" s="21">
        <f>EXP(-LN(2)/25)*AA188+(1-EXP(-LN(2)/25))/(LN(2)/25)*Calculateur!V189*Calculateur!X189*VLOOKUP('Données projet'!$B$9,Paramètres!$A$1:$I$89,3,0)*0.475*44/12</f>
        <v>3.8196921303087423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22.155732774073723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290.25651288543122</v>
      </c>
      <c r="AN189" s="59">
        <f ca="1">AVERAGE(OFFSET($AM$3,0,0,'Données projet'!$E$10+1,1))-AVERAGE(OFFSET($H$3,0,0,'Données projet'!$E$10+1,1))</f>
        <v>400.1942260113168</v>
      </c>
      <c r="AO189" s="59">
        <f t="shared" si="144"/>
        <v>497.04866930593926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12.705117880128737</v>
      </c>
      <c r="AV189" s="21">
        <f>EXP(-LN(2)/25)*AV188+(1-EXP(-LN(2)/25))/(LN(2)/25)*Calculateur!AQ189*Calculateur!AS189*VLOOKUP('Données projet'!$B$10,Paramètres!$A$1:$I$89,3,0)*0.475*44/12</f>
        <v>3.1035040037996122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15.80862188392835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284.78505691662588</v>
      </c>
      <c r="BJ189" s="59">
        <f t="shared" si="146"/>
        <v>664.42623058686308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380.64318988568527</v>
      </c>
      <c r="CE189" s="59">
        <f t="shared" si="148"/>
        <v>885.24651320439159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7.2494671576843217</v>
      </c>
      <c r="CL189" s="21">
        <f>EXP(-LN(2)/25)*CL188+(1-EXP(-LN(2)/25))/(LN(2)/25)*Calculateur!CG189*Calculateur!CI189*VLOOKUP('Données projet'!$B$12,Paramètres!$A$1:$I$89,3,0)*0.475*44/12</f>
        <v>0.54213395838036482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7.7916011160646867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-6.3550942286383367E-14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404.10467005188889</v>
      </c>
      <c r="CZ189" s="59">
        <f t="shared" si="150"/>
        <v>372.70490129557845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23.737886320964524</v>
      </c>
      <c r="DG189" s="21">
        <f>EXP(-LN(2)/25)*DG188+(1-EXP(-LN(2)/25))/(LN(2)/25)*Calculateur!DB189*Calculateur!DD189*VLOOKUP('Données projet'!$B$13,Paramètres!$A$1:$I$89,3,0)*0.475*44/12</f>
        <v>5.2249535753695717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28.962839896334096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2.5999999999999943</v>
      </c>
      <c r="DO189" s="12">
        <f>IF('Données projet'!$A$166&gt;35,DO188+DN189-DW188,IF(A189&lt;'Données projet'!$A$166,$DL$205^A189,IF(A189='Données projet'!$A$166,'Données projet'!$B$166,DO188+DN189-DW188)))</f>
        <v>179.55000000000044</v>
      </c>
      <c r="DP189" s="17">
        <f>DO189*VLOOKUP('Données projet'!$B$14,Paramètres!$A$1:$I$89,3,0)*VLOOKUP('Données projet'!$B$14,Paramètres!$A$1:$I$89,5,0)</f>
        <v>162.4568400000004</v>
      </c>
      <c r="DQ189" s="13">
        <f t="shared" si="176"/>
        <v>41.396170105880927</v>
      </c>
      <c r="DR189" s="20">
        <f t="shared" si="177"/>
        <v>355.04399260107658</v>
      </c>
      <c r="DS189" s="59">
        <f t="shared" si="125"/>
        <v>645.30050548650581</v>
      </c>
      <c r="DT189" s="59">
        <f ca="1">AVERAGE(OFFSET($DS$3,0,0,'Données projet'!$E$14+1,1))-AVERAGE(OFFSET($H$3,0,0,'Données projet'!$E$14+1,1))</f>
        <v>479.53113328461268</v>
      </c>
      <c r="DU189" s="59">
        <f t="shared" si="152"/>
        <v>244.6360664588118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101.08306335636237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101.08306335636237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2.2737367544323206E-13</v>
      </c>
      <c r="EK189" s="17">
        <f>EJ189*VLOOKUP('Données projet'!$B$15,Paramètres!$A$1:$I$89,3,0)*VLOOKUP('Données projet'!$B$15,Paramètres!$A$1:$I$89,5,0)</f>
        <v>1.0049916454590858E-13</v>
      </c>
      <c r="EL189" s="13">
        <f t="shared" si="179"/>
        <v>1.5089081593838289E-12</v>
      </c>
      <c r="EM189" s="20">
        <f t="shared" si="180"/>
        <v>2.8030510891776262E-12</v>
      </c>
      <c r="EN189" s="59">
        <f t="shared" si="128"/>
        <v>290.25651288543202</v>
      </c>
      <c r="EO189" s="59">
        <f ca="1">AVERAGE(OFFSET($EN$3,0,0,'Données projet'!$E$15+1,1))-AVERAGE(OFFSET($H$3,0,0,'Données projet'!$E$15+1,1))</f>
        <v>339.23049610652492</v>
      </c>
      <c r="EP189" s="59">
        <f t="shared" si="154"/>
        <v>448.85057640789785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13.611890211032781</v>
      </c>
      <c r="EW189" s="21">
        <f>EXP(-LN(2)/25)*EW188+(1-EXP(-LN(2)/25))/(LN(2)/25)*Calculateur!ER189*Calculateur!ET189*VLOOKUP('Données projet'!$B$15,Paramètres!$A$1:$I$89,3,0)*0.475*44/12</f>
        <v>3.5685412189725754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17.180431430005356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6.2527760746888816E-13</v>
      </c>
      <c r="FF189" s="17">
        <f>FE189*VLOOKUP('Données projet'!$B$16,Paramètres!$A$1:$I$89,3,0)*VLOOKUP('Données projet'!$B$16,Paramètres!$A$1:$I$89,5,0)</f>
        <v>2.9262992029543964E-13</v>
      </c>
      <c r="FG189" s="13">
        <f t="shared" si="182"/>
        <v>3.8796387982050903E-12</v>
      </c>
      <c r="FH189" s="20">
        <f t="shared" si="183"/>
        <v>7.2667013513884219E-12</v>
      </c>
      <c r="FI189" s="59">
        <f t="shared" si="131"/>
        <v>290.25651288543651</v>
      </c>
      <c r="FJ189" s="59">
        <f ca="1">AVERAGE(OFFSET($FI$3,0,0,'Données projet'!$E$16+1,1))-AVERAGE(OFFSET($H$3,0,0,'Données projet'!$E$16+1,1))</f>
        <v>365.63278362856033</v>
      </c>
      <c r="FK189" s="59">
        <f t="shared" si="156"/>
        <v>290.68267842697452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57.979251918146915</v>
      </c>
      <c r="FR189" s="21">
        <f>EXP(-LN(2)/25)*FR188+(1-EXP(-LN(2)/25))/(LN(2)/25)*Calculateur!FM189*Calculateur!FO189*VLOOKUP('Données projet'!$B$16,Paramètres!$A$1:$I$89,3,0)*0.475*44/12</f>
        <v>14.110112694142645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72.089364612289557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2.2737367544323206E-13</v>
      </c>
      <c r="GA189" s="17">
        <f>FZ189*VLOOKUP('Données projet'!$B$17,Paramètres!$A$1:$I$89,3,0)*VLOOKUP('Données projet'!$B$17,Paramètres!$A$1:$I$89,5,0)</f>
        <v>1.9508661353029313E-13</v>
      </c>
      <c r="GB189" s="13">
        <f t="shared" si="185"/>
        <v>2.711421636700695E-12</v>
      </c>
      <c r="GC189" s="20">
        <f t="shared" si="186"/>
        <v>5.0621685358189711E-12</v>
      </c>
      <c r="GD189" s="59">
        <f t="shared" si="134"/>
        <v>290.25651288543429</v>
      </c>
      <c r="GE189" s="59">
        <f ca="1">AVERAGE(OFFSET($GD$3,0,0,'Données projet'!$E$17+1,1))-AVERAGE(OFFSET($H$3,0,0,'Données projet'!$E$17+1,1))</f>
        <v>460.46300302025099</v>
      </c>
      <c r="GF189" s="59">
        <f t="shared" si="158"/>
        <v>340.22534554615879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70.044785317915967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70.044785317915967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69.160867150571619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1.1368683772161603E-13</v>
      </c>
      <c r="GV189" s="17">
        <f>GU189*VLOOKUP('Données projet'!$B$18,Paramètres!$A$1:$I$89,3,0)*VLOOKUP('Données projet'!$B$18,Paramètres!$A$1:$I$89,5,0)</f>
        <v>6.7984728957526396E-14</v>
      </c>
      <c r="GW189" s="13">
        <f t="shared" si="188"/>
        <v>1.0682447123141398E-12</v>
      </c>
      <c r="GX189" s="20">
        <f t="shared" si="189"/>
        <v>1.978932943548152E-12</v>
      </c>
      <c r="GY189" s="59">
        <f t="shared" si="137"/>
        <v>290.25651288543122</v>
      </c>
      <c r="GZ189" s="59">
        <f ca="1">AVERAGE(OFFSET($GY$3,0,0,'Données projet'!$E$18+1,1))-AVERAGE(OFFSET($H$3,0,0,'Données projet'!$E$18+1,1))</f>
        <v>-15.950000000000017</v>
      </c>
      <c r="HA189" s="59">
        <f t="shared" si="160"/>
        <v>-15.950000000000017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12.705117880128737</v>
      </c>
      <c r="HH189" s="21">
        <f>EXP(-LN(2)/25)*HH188+(1-EXP(-LN(2)/25))/(LN(2)/25)*Calculateur!HC189*Calculateur!HE189*VLOOKUP('Données projet'!$B$18,Paramètres!$A$1:$I$89,3,0)*0.475*44/12</f>
        <v>3.1035040037996122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15.80862188392835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4.3499999999999996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15.949999999999998</v>
      </c>
      <c r="H190" s="67">
        <f t="shared" si="110"/>
        <v>192.86666666666667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-9.9316821433603781E-14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433.46721010558042</v>
      </c>
      <c r="T190" s="59">
        <f t="shared" si="142"/>
        <v>306.18862295347509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17.976482070621227</v>
      </c>
      <c r="AA190" s="21">
        <f>EXP(-LN(2)/25)*AA189+(1-EXP(-LN(2)/25))/(LN(2)/25)*Calculateur!V190*Calculateur!X190*VLOOKUP('Données projet'!$B$9,Paramètres!$A$1:$I$89,3,0)*0.475*44/12</f>
        <v>3.7152424481365705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21.691724518757798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290.30988884146234</v>
      </c>
      <c r="AN190" s="59">
        <f ca="1">AVERAGE(OFFSET($AM$3,0,0,'Données projet'!$E$10+1,1))-AVERAGE(OFFSET($H$3,0,0,'Données projet'!$E$10+1,1))</f>
        <v>400.1942260113168</v>
      </c>
      <c r="AO190" s="59">
        <f t="shared" si="144"/>
        <v>497.04866930593926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12.455978267856134</v>
      </c>
      <c r="AV190" s="21">
        <f>EXP(-LN(2)/25)*AV189+(1-EXP(-LN(2)/25))/(LN(2)/25)*Calculateur!AQ190*Calculateur!AS190*VLOOKUP('Données projet'!$B$10,Paramètres!$A$1:$I$89,3,0)*0.475*44/12</f>
        <v>3.0186385236095292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15.474616791465664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284.78505691662588</v>
      </c>
      <c r="BJ190" s="59">
        <f t="shared" si="146"/>
        <v>664.42623058686308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380.64318988568527</v>
      </c>
      <c r="CE190" s="59">
        <f t="shared" si="148"/>
        <v>885.24651320439159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7.1073095284604877</v>
      </c>
      <c r="CL190" s="21">
        <f>EXP(-LN(2)/25)*CL189+(1-EXP(-LN(2)/25))/(LN(2)/25)*Calculateur!CG190*Calculateur!CI190*VLOOKUP('Données projet'!$B$12,Paramètres!$A$1:$I$89,3,0)*0.475*44/12</f>
        <v>0.52730927677886796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7.6346188052393558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-6.3550942286383367E-14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404.10467005188889</v>
      </c>
      <c r="CZ190" s="59">
        <f t="shared" si="150"/>
        <v>372.70490129557845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23.272400848891415</v>
      </c>
      <c r="DG190" s="21">
        <f>EXP(-LN(2)/25)*DG189+(1-EXP(-LN(2)/25))/(LN(2)/25)*Calculateur!DB190*Calculateur!DD190*VLOOKUP('Données projet'!$B$13,Paramètres!$A$1:$I$89,3,0)*0.475*44/12</f>
        <v>5.0820769450827239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28.354477793974141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2.5999999999999943</v>
      </c>
      <c r="DO190" s="12">
        <f>IF('Données projet'!$A$166&gt;35,DO189+DN190-DW189,IF(A190&lt;'Données projet'!$A$166,$DL$205^A190,IF(A190='Données projet'!$A$166,'Données projet'!$B$166,DO189+DN190-DW189)))</f>
        <v>182.15000000000043</v>
      </c>
      <c r="DP190" s="17">
        <f>DO190*VLOOKUP('Données projet'!$B$14,Paramètres!$A$1:$I$89,3,0)*VLOOKUP('Données projet'!$B$14,Paramètres!$A$1:$I$89,5,0)</f>
        <v>164.80932000000038</v>
      </c>
      <c r="DQ190" s="13">
        <f t="shared" si="176"/>
        <v>41.925394191668275</v>
      </c>
      <c r="DR190" s="20">
        <f t="shared" si="177"/>
        <v>360.06296055048961</v>
      </c>
      <c r="DS190" s="59">
        <f t="shared" si="125"/>
        <v>650.37284939195001</v>
      </c>
      <c r="DT190" s="59">
        <f ca="1">AVERAGE(OFFSET($DS$3,0,0,'Données projet'!$E$14+1,1))-AVERAGE(OFFSET($H$3,0,0,'Données projet'!$E$14+1,1))</f>
        <v>479.53113328461268</v>
      </c>
      <c r="DU190" s="59">
        <f t="shared" si="152"/>
        <v>244.6360664588118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99.100886138524871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99.100886138524871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2.2737367544323206E-13</v>
      </c>
      <c r="EK190" s="17">
        <f>EJ190*VLOOKUP('Données projet'!$B$15,Paramètres!$A$1:$I$89,3,0)*VLOOKUP('Données projet'!$B$15,Paramètres!$A$1:$I$89,5,0)</f>
        <v>1.0049916454590858E-13</v>
      </c>
      <c r="EL190" s="13">
        <f t="shared" si="179"/>
        <v>1.5089081593838289E-12</v>
      </c>
      <c r="EM190" s="20">
        <f t="shared" si="180"/>
        <v>2.8030510891776262E-12</v>
      </c>
      <c r="EN190" s="59">
        <f t="shared" si="128"/>
        <v>290.30988884146313</v>
      </c>
      <c r="EO190" s="59">
        <f ca="1">AVERAGE(OFFSET($EN$3,0,0,'Données projet'!$E$15+1,1))-AVERAGE(OFFSET($H$3,0,0,'Données projet'!$E$15+1,1))</f>
        <v>339.23049610652492</v>
      </c>
      <c r="EP190" s="59">
        <f t="shared" si="154"/>
        <v>448.85057640789785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13.344969346427661</v>
      </c>
      <c r="EW190" s="21">
        <f>EXP(-LN(2)/25)*EW189+(1-EXP(-LN(2)/25))/(LN(2)/25)*Calculateur!ER190*Calculateur!ET190*VLOOKUP('Données projet'!$B$15,Paramètres!$A$1:$I$89,3,0)*0.475*44/12</f>
        <v>3.4709592716783435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16.815928618106003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6.2527760746888816E-13</v>
      </c>
      <c r="FF190" s="17">
        <f>FE190*VLOOKUP('Données projet'!$B$16,Paramètres!$A$1:$I$89,3,0)*VLOOKUP('Données projet'!$B$16,Paramètres!$A$1:$I$89,5,0)</f>
        <v>2.9262992029543964E-13</v>
      </c>
      <c r="FG190" s="13">
        <f t="shared" si="182"/>
        <v>3.8796387982050903E-12</v>
      </c>
      <c r="FH190" s="20">
        <f t="shared" si="183"/>
        <v>7.2667013513884219E-12</v>
      </c>
      <c r="FI190" s="59">
        <f t="shared" si="131"/>
        <v>290.30988884146763</v>
      </c>
      <c r="FJ190" s="59">
        <f ca="1">AVERAGE(OFFSET($FI$3,0,0,'Données projet'!$E$16+1,1))-AVERAGE(OFFSET($H$3,0,0,'Données projet'!$E$16+1,1))</f>
        <v>365.63278362856033</v>
      </c>
      <c r="FK190" s="59">
        <f t="shared" si="156"/>
        <v>290.68267842697452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56.842314151883834</v>
      </c>
      <c r="FR190" s="21">
        <f>EXP(-LN(2)/25)*FR189+(1-EXP(-LN(2)/25))/(LN(2)/25)*Calculateur!FM190*Calculateur!FO190*VLOOKUP('Données projet'!$B$16,Paramètres!$A$1:$I$89,3,0)*0.475*44/12</f>
        <v>13.724270920502736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70.566585072386573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2.2737367544323206E-13</v>
      </c>
      <c r="GA190" s="17">
        <f>FZ190*VLOOKUP('Données projet'!$B$17,Paramètres!$A$1:$I$89,3,0)*VLOOKUP('Données projet'!$B$17,Paramètres!$A$1:$I$89,5,0)</f>
        <v>1.9508661353029313E-13</v>
      </c>
      <c r="GB190" s="13">
        <f t="shared" si="185"/>
        <v>2.711421636700695E-12</v>
      </c>
      <c r="GC190" s="20">
        <f t="shared" si="186"/>
        <v>5.0621685358189711E-12</v>
      </c>
      <c r="GD190" s="59">
        <f t="shared" si="134"/>
        <v>290.30988884146541</v>
      </c>
      <c r="GE190" s="59">
        <f ca="1">AVERAGE(OFFSET($GD$3,0,0,'Données projet'!$E$17+1,1))-AVERAGE(OFFSET($H$3,0,0,'Données projet'!$E$17+1,1))</f>
        <v>460.46300302025099</v>
      </c>
      <c r="GF190" s="59">
        <f t="shared" si="158"/>
        <v>340.22534554615879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68.671249800932117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68.671249800932117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69.175424229489195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1.1368683772161603E-13</v>
      </c>
      <c r="GV190" s="17">
        <f>GU190*VLOOKUP('Données projet'!$B$18,Paramètres!$A$1:$I$89,3,0)*VLOOKUP('Données projet'!$B$18,Paramètres!$A$1:$I$89,5,0)</f>
        <v>6.7984728957526396E-14</v>
      </c>
      <c r="GW190" s="13">
        <f t="shared" si="188"/>
        <v>1.0682447123141398E-12</v>
      </c>
      <c r="GX190" s="20">
        <f t="shared" si="189"/>
        <v>1.978932943548152E-12</v>
      </c>
      <c r="GY190" s="59">
        <f t="shared" si="137"/>
        <v>290.30988884146234</v>
      </c>
      <c r="GZ190" s="59">
        <f ca="1">AVERAGE(OFFSET($GY$3,0,0,'Données projet'!$E$18+1,1))-AVERAGE(OFFSET($H$3,0,0,'Données projet'!$E$18+1,1))</f>
        <v>-15.950000000000017</v>
      </c>
      <c r="HA190" s="59">
        <f t="shared" si="160"/>
        <v>-15.950000000000017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12.455978267856134</v>
      </c>
      <c r="HH190" s="21">
        <f>EXP(-LN(2)/25)*HH189+(1-EXP(-LN(2)/25))/(LN(2)/25)*Calculateur!HC190*Calculateur!HE190*VLOOKUP('Données projet'!$B$18,Paramètres!$A$1:$I$89,3,0)*0.475*44/12</f>
        <v>3.0186385236095292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15.474616791465664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4.3499999999999996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15.949999999999998</v>
      </c>
      <c r="H191" s="67">
        <f t="shared" si="110"/>
        <v>192.86666666666667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-9.9316821433603781E-14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433.46721010558042</v>
      </c>
      <c r="T191" s="59">
        <f t="shared" si="142"/>
        <v>306.18862295347509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17.623974221787748</v>
      </c>
      <c r="AA191" s="21">
        <f>EXP(-LN(2)/25)*AA190+(1-EXP(-LN(2)/25))/(LN(2)/25)*Calculateur!V191*Calculateur!X191*VLOOKUP('Données projet'!$B$9,Paramètres!$A$1:$I$89,3,0)*0.475*44/12</f>
        <v>3.6136489480161669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21.237623169803914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290.36233884398712</v>
      </c>
      <c r="AN191" s="59">
        <f ca="1">AVERAGE(OFFSET($AM$3,0,0,'Données projet'!$E$10+1,1))-AVERAGE(OFFSET($H$3,0,0,'Données projet'!$E$10+1,1))</f>
        <v>400.1942260113168</v>
      </c>
      <c r="AO191" s="59">
        <f t="shared" si="144"/>
        <v>497.04866930593926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12.211724131420038</v>
      </c>
      <c r="AV191" s="21">
        <f>EXP(-LN(2)/25)*AV190+(1-EXP(-LN(2)/25))/(LN(2)/25)*Calculateur!AQ191*Calculateur!AS191*VLOOKUP('Données projet'!$B$10,Paramètres!$A$1:$I$89,3,0)*0.475*44/12</f>
        <v>2.9360936944381257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15.147817825858164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284.78505691662588</v>
      </c>
      <c r="BJ191" s="59">
        <f t="shared" si="146"/>
        <v>664.42623058686308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380.64318988568527</v>
      </c>
      <c r="CE191" s="59">
        <f t="shared" si="148"/>
        <v>885.24651320439159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6.9679395236381412</v>
      </c>
      <c r="CL191" s="21">
        <f>EXP(-LN(2)/25)*CL190+(1-EXP(-LN(2)/25))/(LN(2)/25)*Calculateur!CG191*Calculateur!CI191*VLOOKUP('Données projet'!$B$12,Paramètres!$A$1:$I$89,3,0)*0.475*44/12</f>
        <v>0.51288997687536009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7.4808295005135008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-6.3550942286383367E-14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404.10467005188889</v>
      </c>
      <c r="CZ191" s="59">
        <f t="shared" si="150"/>
        <v>372.70490129557845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22.816043263007558</v>
      </c>
      <c r="DG191" s="21">
        <f>EXP(-LN(2)/25)*DG190+(1-EXP(-LN(2)/25))/(LN(2)/25)*Calculateur!DB191*Calculateur!DD191*VLOOKUP('Données projet'!$B$13,Paramètres!$A$1:$I$89,3,0)*0.475*44/12</f>
        <v>4.9431072837646255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27.759150546772183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>
        <f>VLOOKUP(A191,'Données projet'!$A$165:$I$185,2,0)</f>
        <v>184.75</v>
      </c>
      <c r="DM191" s="12">
        <f>VLOOKUP(A191,'Données projet'!$A$165:$I$185,9,0)</f>
        <v>2.5999999999999943</v>
      </c>
      <c r="DN191" s="12">
        <f t="array" ref="DN191">INDEX(DM:DM,MIN(IF(ISNUMBER(DM191:DM387),ROW(DM191:DM387),"")))</f>
        <v>2.5999999999999943</v>
      </c>
      <c r="DO191" s="12">
        <f>IF('Données projet'!$A$166&gt;35,DO190+DN191-DW190,IF(A191&lt;'Données projet'!$A$166,$DL$205^A191,IF(A191='Données projet'!$A$166,'Données projet'!$B$166,DO190+DN191-DW190)))</f>
        <v>184.75000000000043</v>
      </c>
      <c r="DP191" s="17">
        <f>DO191*VLOOKUP('Données projet'!$B$14,Paramètres!$A$1:$I$89,3,0)*VLOOKUP('Données projet'!$B$14,Paramètres!$A$1:$I$89,5,0)</f>
        <v>167.1618000000004</v>
      </c>
      <c r="DQ191" s="13">
        <f t="shared" si="176"/>
        <v>42.453739676622952</v>
      </c>
      <c r="DR191" s="20">
        <f t="shared" si="177"/>
        <v>365.08039827011902</v>
      </c>
      <c r="DS191" s="59">
        <f t="shared" si="125"/>
        <v>655.44273711410415</v>
      </c>
      <c r="DT191" s="59">
        <f ca="1">AVERAGE(OFFSET($DS$3,0,0,'Données projet'!$E$14+1,1))-AVERAGE(OFFSET($H$3,0,0,'Données projet'!$E$14+1,1))</f>
        <v>479.53113328461268</v>
      </c>
      <c r="DU191" s="59">
        <f t="shared" si="152"/>
        <v>244.6360664588118</v>
      </c>
      <c r="DV191" s="15">
        <f>IF(ISNA(VLOOKUP(A191,'Données projet'!$A$165:$I$185,3,0)),0,VLOOKUP(A191,'Données projet'!$A$165:$I$185,3,0))</f>
        <v>15</v>
      </c>
      <c r="DW191" s="15">
        <f>IF(ISNA(VLOOKUP(A191,'Données projet'!$A$165:$I$185,4,0)),0,VLOOKUP(A191,'Données projet'!$A$165:$I$185,4,0))</f>
        <v>63.4</v>
      </c>
      <c r="DX191" s="16">
        <f>IF(ISNA(VLOOKUP(A191,'Données projet'!$A$165:$I$185,5,0)),0%,VLOOKUP(A191,'Données projet'!$A$165:$I$185,5,0)*VLOOKUP('Données projet'!$B$14,Paramètres!$A$1:$I$89,7,0))</f>
        <v>0.25800000000000001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113.51853381024924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113.51853381024924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2.2737367544323206E-13</v>
      </c>
      <c r="EK191" s="17">
        <f>EJ191*VLOOKUP('Données projet'!$B$15,Paramètres!$A$1:$I$89,3,0)*VLOOKUP('Données projet'!$B$15,Paramètres!$A$1:$I$89,5,0)</f>
        <v>1.0049916454590858E-13</v>
      </c>
      <c r="EL191" s="13">
        <f t="shared" si="179"/>
        <v>1.5089081593838289E-12</v>
      </c>
      <c r="EM191" s="20">
        <f t="shared" si="180"/>
        <v>2.8030510891776262E-12</v>
      </c>
      <c r="EN191" s="59">
        <f t="shared" si="128"/>
        <v>290.36233884398791</v>
      </c>
      <c r="EO191" s="59">
        <f ca="1">AVERAGE(OFFSET($EN$3,0,0,'Données projet'!$E$15+1,1))-AVERAGE(OFFSET($H$3,0,0,'Données projet'!$E$15+1,1))</f>
        <v>339.23049610652492</v>
      </c>
      <c r="EP191" s="59">
        <f t="shared" si="154"/>
        <v>448.85057640789785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13.083282637171793</v>
      </c>
      <c r="EW191" s="21">
        <f>EXP(-LN(2)/25)*EW190+(1-EXP(-LN(2)/25))/(LN(2)/25)*Calculateur!ER191*Calculateur!ET191*VLOOKUP('Données projet'!$B$15,Paramètres!$A$1:$I$89,3,0)*0.475*44/12</f>
        <v>3.3760457078644839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16.459328345036276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6.2527760746888816E-13</v>
      </c>
      <c r="FF191" s="17">
        <f>FE191*VLOOKUP('Données projet'!$B$16,Paramètres!$A$1:$I$89,3,0)*VLOOKUP('Données projet'!$B$16,Paramètres!$A$1:$I$89,5,0)</f>
        <v>2.9262992029543964E-13</v>
      </c>
      <c r="FG191" s="13">
        <f t="shared" si="182"/>
        <v>3.8796387982050903E-12</v>
      </c>
      <c r="FH191" s="20">
        <f t="shared" si="183"/>
        <v>7.2667013513884219E-12</v>
      </c>
      <c r="FI191" s="59">
        <f t="shared" si="131"/>
        <v>290.3623388439924</v>
      </c>
      <c r="FJ191" s="59">
        <f ca="1">AVERAGE(OFFSET($FI$3,0,0,'Données projet'!$E$16+1,1))-AVERAGE(OFFSET($H$3,0,0,'Données projet'!$E$16+1,1))</f>
        <v>365.63278362856033</v>
      </c>
      <c r="FK191" s="59">
        <f t="shared" si="156"/>
        <v>290.68267842697452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55.727671041753609</v>
      </c>
      <c r="FR191" s="21">
        <f>EXP(-LN(2)/25)*FR190+(1-EXP(-LN(2)/25))/(LN(2)/25)*Calculateur!FM191*Calculateur!FO191*VLOOKUP('Données projet'!$B$16,Paramètres!$A$1:$I$89,3,0)*0.475*44/12</f>
        <v>13.348980010453548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69.076651052207154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2.2737367544323206E-13</v>
      </c>
      <c r="GA191" s="17">
        <f>FZ191*VLOOKUP('Données projet'!$B$17,Paramètres!$A$1:$I$89,3,0)*VLOOKUP('Données projet'!$B$17,Paramètres!$A$1:$I$89,5,0)</f>
        <v>1.9508661353029313E-13</v>
      </c>
      <c r="GB191" s="13">
        <f t="shared" si="185"/>
        <v>2.711421636700695E-12</v>
      </c>
      <c r="GC191" s="20">
        <f t="shared" si="186"/>
        <v>5.0621685358189711E-12</v>
      </c>
      <c r="GD191" s="59">
        <f t="shared" si="134"/>
        <v>290.36233884399019</v>
      </c>
      <c r="GE191" s="59">
        <f ca="1">AVERAGE(OFFSET($GD$3,0,0,'Données projet'!$E$17+1,1))-AVERAGE(OFFSET($H$3,0,0,'Données projet'!$E$17+1,1))</f>
        <v>460.46300302025099</v>
      </c>
      <c r="GF191" s="59">
        <f t="shared" si="158"/>
        <v>340.22534554615879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67.324648477662379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67.324648477662379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69.189728775632304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1.1368683772161603E-13</v>
      </c>
      <c r="GV191" s="17">
        <f>GU191*VLOOKUP('Données projet'!$B$18,Paramètres!$A$1:$I$89,3,0)*VLOOKUP('Données projet'!$B$18,Paramètres!$A$1:$I$89,5,0)</f>
        <v>6.7984728957526396E-14</v>
      </c>
      <c r="GW191" s="13">
        <f t="shared" si="188"/>
        <v>1.0682447123141398E-12</v>
      </c>
      <c r="GX191" s="20">
        <f t="shared" si="189"/>
        <v>1.978932943548152E-12</v>
      </c>
      <c r="GY191" s="59">
        <f t="shared" si="137"/>
        <v>290.36233884398712</v>
      </c>
      <c r="GZ191" s="59">
        <f ca="1">AVERAGE(OFFSET($GY$3,0,0,'Données projet'!$E$18+1,1))-AVERAGE(OFFSET($H$3,0,0,'Données projet'!$E$18+1,1))</f>
        <v>-15.950000000000017</v>
      </c>
      <c r="HA191" s="59">
        <f t="shared" si="160"/>
        <v>-15.950000000000017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12.211724131420038</v>
      </c>
      <c r="HH191" s="21">
        <f>EXP(-LN(2)/25)*HH190+(1-EXP(-LN(2)/25))/(LN(2)/25)*Calculateur!HC191*Calculateur!HE191*VLOOKUP('Données projet'!$B$18,Paramètres!$A$1:$I$89,3,0)*0.475*44/12</f>
        <v>2.9360936944381257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15.147817825858164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4.3499999999999996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15.949999999999998</v>
      </c>
      <c r="H192" s="67">
        <f t="shared" si="110"/>
        <v>192.86666666666667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-9.9316821433603781E-14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433.46721010558042</v>
      </c>
      <c r="T192" s="59">
        <f t="shared" si="142"/>
        <v>306.18862295347509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17.278378836861336</v>
      </c>
      <c r="AA192" s="21">
        <f>EXP(-LN(2)/25)*AA191+(1-EXP(-LN(2)/25))/(LN(2)/25)*Calculateur!V192*Calculateur!X192*VLOOKUP('Données projet'!$B$9,Paramètres!$A$1:$I$89,3,0)*0.475*44/12</f>
        <v>3.5148335274991256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20.79321236436046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290.4138789562287</v>
      </c>
      <c r="AN192" s="59">
        <f ca="1">AVERAGE(OFFSET($AM$3,0,0,'Données projet'!$E$10+1,1))-AVERAGE(OFFSET($H$3,0,0,'Données projet'!$E$10+1,1))</f>
        <v>400.1942260113168</v>
      </c>
      <c r="AO192" s="59">
        <f t="shared" si="144"/>
        <v>497.04866930593926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11.972259669619142</v>
      </c>
      <c r="AV192" s="21">
        <f>EXP(-LN(2)/25)*AV191+(1-EXP(-LN(2)/25))/(LN(2)/25)*Calculateur!AQ192*Calculateur!AS192*VLOOKUP('Données projet'!$B$10,Paramètres!$A$1:$I$89,3,0)*0.475*44/12</f>
        <v>2.8558060579612583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14.8280657275804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284.78505691662588</v>
      </c>
      <c r="BJ192" s="59">
        <f t="shared" si="146"/>
        <v>664.42623058686308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380.64318988568527</v>
      </c>
      <c r="CE192" s="59">
        <f t="shared" si="148"/>
        <v>885.24651320439159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6.8313024796030515</v>
      </c>
      <c r="CL192" s="21">
        <f>EXP(-LN(2)/25)*CL191+(1-EXP(-LN(2)/25))/(LN(2)/25)*Calculateur!CG192*Calculateur!CI192*VLOOKUP('Données projet'!$B$12,Paramètres!$A$1:$I$89,3,0)*0.475*44/12</f>
        <v>0.49886497348599168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7.3301674530890431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-6.3550942286383367E-14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404.10467005188889</v>
      </c>
      <c r="CZ192" s="59">
        <f t="shared" si="150"/>
        <v>372.70490129557845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22.368634571032239</v>
      </c>
      <c r="DG192" s="21">
        <f>EXP(-LN(2)/25)*DG191+(1-EXP(-LN(2)/25))/(LN(2)/25)*Calculateur!DB192*Calculateur!DD192*VLOOKUP('Données projet'!$B$13,Paramètres!$A$1:$I$89,3,0)*0.475*44/12</f>
        <v>4.8079377551433673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27.176572326175606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1.650000000000001</v>
      </c>
      <c r="DO192" s="12">
        <f>IF('Données projet'!$A$166&gt;35,DO191+DN192-DW191,IF(A192&lt;'Données projet'!$A$166,$DL$205^A192,IF(A192='Données projet'!$A$166,'Données projet'!$B$166,DO191+DN192-DW191)))</f>
        <v>123.00000000000043</v>
      </c>
      <c r="DP192" s="17">
        <f>DO192*VLOOKUP('Données projet'!$B$14,Paramètres!$A$1:$I$89,3,0)*VLOOKUP('Données projet'!$B$14,Paramètres!$A$1:$I$89,5,0)</f>
        <v>111.29040000000039</v>
      </c>
      <c r="DQ192" s="13">
        <f t="shared" si="176"/>
        <v>29.634806205918348</v>
      </c>
      <c r="DR192" s="20">
        <f t="shared" si="177"/>
        <v>245.44473414197512</v>
      </c>
      <c r="DS192" s="59">
        <f t="shared" si="125"/>
        <v>535.85861309820189</v>
      </c>
      <c r="DT192" s="59">
        <f ca="1">AVERAGE(OFFSET($DS$3,0,0,'Données projet'!$E$14+1,1))-AVERAGE(OFFSET($H$3,0,0,'Données projet'!$E$14+1,1))</f>
        <v>479.53113328461268</v>
      </c>
      <c r="DU192" s="59">
        <f t="shared" si="152"/>
        <v>244.6360664588118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111.29250460169905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111.29250460169905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2.2737367544323206E-13</v>
      </c>
      <c r="EK192" s="17">
        <f>EJ192*VLOOKUP('Données projet'!$B$15,Paramètres!$A$1:$I$89,3,0)*VLOOKUP('Données projet'!$B$15,Paramètres!$A$1:$I$89,5,0)</f>
        <v>1.0049916454590858E-13</v>
      </c>
      <c r="EL192" s="13">
        <f t="shared" si="179"/>
        <v>1.5089081593838289E-12</v>
      </c>
      <c r="EM192" s="20">
        <f t="shared" si="180"/>
        <v>2.8030510891776262E-12</v>
      </c>
      <c r="EN192" s="59">
        <f t="shared" si="128"/>
        <v>290.4138789562295</v>
      </c>
      <c r="EO192" s="59">
        <f ca="1">AVERAGE(OFFSET($EN$3,0,0,'Données projet'!$E$15+1,1))-AVERAGE(OFFSET($H$3,0,0,'Données projet'!$E$15+1,1))</f>
        <v>339.23049610652492</v>
      </c>
      <c r="EP192" s="59">
        <f t="shared" si="154"/>
        <v>448.85057640789785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12.826727444671302</v>
      </c>
      <c r="EW192" s="21">
        <f>EXP(-LN(2)/25)*EW191+(1-EXP(-LN(2)/25))/(LN(2)/25)*Calculateur!ER192*Calculateur!ET192*VLOOKUP('Données projet'!$B$15,Paramètres!$A$1:$I$89,3,0)*0.475*44/12</f>
        <v>3.2837275604444018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16.110455005115703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6.2527760746888816E-13</v>
      </c>
      <c r="FF192" s="17">
        <f>FE192*VLOOKUP('Données projet'!$B$16,Paramètres!$A$1:$I$89,3,0)*VLOOKUP('Données projet'!$B$16,Paramètres!$A$1:$I$89,5,0)</f>
        <v>2.9262992029543964E-13</v>
      </c>
      <c r="FG192" s="13">
        <f t="shared" si="182"/>
        <v>3.8796387982050903E-12</v>
      </c>
      <c r="FH192" s="20">
        <f t="shared" si="183"/>
        <v>7.2667013513884219E-12</v>
      </c>
      <c r="FI192" s="59">
        <f t="shared" si="131"/>
        <v>290.41387895623399</v>
      </c>
      <c r="FJ192" s="59">
        <f ca="1">AVERAGE(OFFSET($FI$3,0,0,'Données projet'!$E$16+1,1))-AVERAGE(OFFSET($H$3,0,0,'Données projet'!$E$16+1,1))</f>
        <v>365.63278362856033</v>
      </c>
      <c r="FK192" s="59">
        <f t="shared" si="156"/>
        <v>290.68267842697452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54.634885403147869</v>
      </c>
      <c r="FR192" s="21">
        <f>EXP(-LN(2)/25)*FR191+(1-EXP(-LN(2)/25))/(LN(2)/25)*Calculateur!FM192*Calculateur!FO192*VLOOKUP('Données projet'!$B$16,Paramètres!$A$1:$I$89,3,0)*0.475*44/12</f>
        <v>12.983951450075347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67.618836853223215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2.2737367544323206E-13</v>
      </c>
      <c r="GA192" s="17">
        <f>FZ192*VLOOKUP('Données projet'!$B$17,Paramètres!$A$1:$I$89,3,0)*VLOOKUP('Données projet'!$B$17,Paramètres!$A$1:$I$89,5,0)</f>
        <v>1.9508661353029313E-13</v>
      </c>
      <c r="GB192" s="13">
        <f t="shared" si="185"/>
        <v>2.711421636700695E-12</v>
      </c>
      <c r="GC192" s="20">
        <f t="shared" si="186"/>
        <v>5.0621685358189711E-12</v>
      </c>
      <c r="GD192" s="59">
        <f t="shared" si="134"/>
        <v>290.41387895623177</v>
      </c>
      <c r="GE192" s="59">
        <f ca="1">AVERAGE(OFFSET($GD$3,0,0,'Données projet'!$E$17+1,1))-AVERAGE(OFFSET($H$3,0,0,'Données projet'!$E$17+1,1))</f>
        <v>460.46300302025099</v>
      </c>
      <c r="GF192" s="59">
        <f t="shared" si="158"/>
        <v>340.22534554615879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66.004453184996265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66.004453184996265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69.203785169880007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1.1368683772161603E-13</v>
      </c>
      <c r="GV192" s="17">
        <f>GU192*VLOOKUP('Données projet'!$B$18,Paramètres!$A$1:$I$89,3,0)*VLOOKUP('Données projet'!$B$18,Paramètres!$A$1:$I$89,5,0)</f>
        <v>6.7984728957526396E-14</v>
      </c>
      <c r="GW192" s="13">
        <f t="shared" si="188"/>
        <v>1.0682447123141398E-12</v>
      </c>
      <c r="GX192" s="20">
        <f t="shared" si="189"/>
        <v>1.978932943548152E-12</v>
      </c>
      <c r="GY192" s="59">
        <f t="shared" si="137"/>
        <v>290.4138789562287</v>
      </c>
      <c r="GZ192" s="59">
        <f ca="1">AVERAGE(OFFSET($GY$3,0,0,'Données projet'!$E$18+1,1))-AVERAGE(OFFSET($H$3,0,0,'Données projet'!$E$18+1,1))</f>
        <v>-15.950000000000017</v>
      </c>
      <c r="HA192" s="59">
        <f t="shared" si="160"/>
        <v>-15.950000000000017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11.972259669619142</v>
      </c>
      <c r="HH192" s="21">
        <f>EXP(-LN(2)/25)*HH191+(1-EXP(-LN(2)/25))/(LN(2)/25)*Calculateur!HC192*Calculateur!HE192*VLOOKUP('Données projet'!$B$18,Paramètres!$A$1:$I$89,3,0)*0.475*44/12</f>
        <v>2.8558060579612583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14.8280657275804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4.3499999999999996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15.949999999999998</v>
      </c>
      <c r="H193" s="67">
        <f t="shared" si="110"/>
        <v>192.86666666666667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-9.9316821433603781E-14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433.46721010558042</v>
      </c>
      <c r="T193" s="59">
        <f t="shared" si="142"/>
        <v>306.18862295347509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16.939560366640958</v>
      </c>
      <c r="AA193" s="21">
        <f>EXP(-LN(2)/25)*AA192+(1-EXP(-LN(2)/25))/(LN(2)/25)*Calculateur!V193*Calculateur!X193*VLOOKUP('Données projet'!$B$9,Paramètres!$A$1:$I$89,3,0)*0.475*44/12</f>
        <v>3.4187202198526001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20.358280586493557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290.46452496274924</v>
      </c>
      <c r="AN193" s="59">
        <f ca="1">AVERAGE(OFFSET($AM$3,0,0,'Données projet'!$E$10+1,1))-AVERAGE(OFFSET($H$3,0,0,'Données projet'!$E$10+1,1))</f>
        <v>400.1942260113168</v>
      </c>
      <c r="AO193" s="59">
        <f t="shared" si="144"/>
        <v>497.04866930593926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11.737490959855261</v>
      </c>
      <c r="AV193" s="21">
        <f>EXP(-LN(2)/25)*AV192+(1-EXP(-LN(2)/25))/(LN(2)/25)*Calculateur!AQ193*Calculateur!AS193*VLOOKUP('Données projet'!$B$10,Paramètres!$A$1:$I$89,3,0)*0.475*44/12</f>
        <v>2.7777138911259942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14.515204850981256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284.78505691662588</v>
      </c>
      <c r="BJ193" s="59">
        <f t="shared" si="146"/>
        <v>664.42623058686308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380.64318988568527</v>
      </c>
      <c r="CE193" s="59">
        <f t="shared" si="148"/>
        <v>885.24651320439159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6.6973448046611228</v>
      </c>
      <c r="CL193" s="21">
        <f>EXP(-LN(2)/25)*CL192+(1-EXP(-LN(2)/25))/(LN(2)/25)*Calculateur!CG193*Calculateur!CI193*VLOOKUP('Données projet'!$B$12,Paramètres!$A$1:$I$89,3,0)*0.475*44/12</f>
        <v>0.48522348455184844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7.1825682892129716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-6.3550942286383367E-14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404.10467005188889</v>
      </c>
      <c r="CZ193" s="59">
        <f t="shared" si="150"/>
        <v>372.70490129557845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21.929999290614198</v>
      </c>
      <c r="DG193" s="21">
        <f>EXP(-LN(2)/25)*DG192+(1-EXP(-LN(2)/25))/(LN(2)/25)*Calculateur!DB193*Calculateur!DD193*VLOOKUP('Données projet'!$B$13,Paramètres!$A$1:$I$89,3,0)*0.475*44/12</f>
        <v>4.6764644443905139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26.606463735004713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1.650000000000001</v>
      </c>
      <c r="DO193" s="12">
        <f>IF('Données projet'!$A$166&gt;35,DO192+DN193-DW192,IF(A193&lt;'Données projet'!$A$166,$DL$205^A193,IF(A193='Données projet'!$A$166,'Données projet'!$B$166,DO192+DN193-DW192)))</f>
        <v>124.65000000000043</v>
      </c>
      <c r="DP193" s="17">
        <f>DO193*VLOOKUP('Données projet'!$B$14,Paramètres!$A$1:$I$89,3,0)*VLOOKUP('Données projet'!$B$14,Paramètres!$A$1:$I$89,5,0)</f>
        <v>112.78332000000037</v>
      </c>
      <c r="DQ193" s="13">
        <f t="shared" si="176"/>
        <v>29.985799738050847</v>
      </c>
      <c r="DR193" s="20">
        <f t="shared" si="177"/>
        <v>248.65621687710586</v>
      </c>
      <c r="DS193" s="59">
        <f t="shared" si="125"/>
        <v>539.12074183985305</v>
      </c>
      <c r="DT193" s="59">
        <f ca="1">AVERAGE(OFFSET($DS$3,0,0,'Données projet'!$E$14+1,1))-AVERAGE(OFFSET($H$3,0,0,'Données projet'!$E$14+1,1))</f>
        <v>479.53113328461268</v>
      </c>
      <c r="DU193" s="59">
        <f t="shared" si="152"/>
        <v>244.6360664588118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109.11012646818477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109.11012646818477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2.2737367544323206E-13</v>
      </c>
      <c r="EK193" s="17">
        <f>EJ193*VLOOKUP('Données projet'!$B$15,Paramètres!$A$1:$I$89,3,0)*VLOOKUP('Données projet'!$B$15,Paramètres!$A$1:$I$89,5,0)</f>
        <v>1.0049916454590858E-13</v>
      </c>
      <c r="EL193" s="13">
        <f t="shared" si="179"/>
        <v>1.5089081593838289E-12</v>
      </c>
      <c r="EM193" s="20">
        <f t="shared" si="180"/>
        <v>2.8030510891776262E-12</v>
      </c>
      <c r="EN193" s="59">
        <f t="shared" si="128"/>
        <v>290.46452496275003</v>
      </c>
      <c r="EO193" s="59">
        <f ca="1">AVERAGE(OFFSET($EN$3,0,0,'Données projet'!$E$15+1,1))-AVERAGE(OFFSET($H$3,0,0,'Données projet'!$E$15+1,1))</f>
        <v>339.23049610652492</v>
      </c>
      <c r="EP193" s="59">
        <f t="shared" si="154"/>
        <v>448.85057640789785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12.57520314301253</v>
      </c>
      <c r="EW193" s="21">
        <f>EXP(-LN(2)/25)*EW192+(1-EXP(-LN(2)/25))/(LN(2)/25)*Calculateur!ER193*Calculateur!ET193*VLOOKUP('Données projet'!$B$15,Paramètres!$A$1:$I$89,3,0)*0.475*44/12</f>
        <v>3.1939338576203222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15.769137000632853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6.2527760746888816E-13</v>
      </c>
      <c r="FF193" s="17">
        <f>FE193*VLOOKUP('Données projet'!$B$16,Paramètres!$A$1:$I$89,3,0)*VLOOKUP('Données projet'!$B$16,Paramètres!$A$1:$I$89,5,0)</f>
        <v>2.9262992029543964E-13</v>
      </c>
      <c r="FG193" s="13">
        <f t="shared" si="182"/>
        <v>3.8796387982050903E-12</v>
      </c>
      <c r="FH193" s="20">
        <f t="shared" si="183"/>
        <v>7.2667013513884219E-12</v>
      </c>
      <c r="FI193" s="59">
        <f t="shared" si="131"/>
        <v>290.46452496275452</v>
      </c>
      <c r="FJ193" s="59">
        <f ca="1">AVERAGE(OFFSET($FI$3,0,0,'Données projet'!$E$16+1,1))-AVERAGE(OFFSET($H$3,0,0,'Données projet'!$E$16+1,1))</f>
        <v>365.63278362856033</v>
      </c>
      <c r="FK193" s="59">
        <f t="shared" si="156"/>
        <v>290.68267842697452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53.563528624381767</v>
      </c>
      <c r="FR193" s="21">
        <f>EXP(-LN(2)/25)*FR192+(1-EXP(-LN(2)/25))/(LN(2)/25)*Calculateur!FM193*Calculateur!FO193*VLOOKUP('Données projet'!$B$16,Paramètres!$A$1:$I$89,3,0)*0.475*44/12</f>
        <v>12.628904614876705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66.192433239258477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2.2737367544323206E-13</v>
      </c>
      <c r="GA193" s="17">
        <f>FZ193*VLOOKUP('Données projet'!$B$17,Paramètres!$A$1:$I$89,3,0)*VLOOKUP('Données projet'!$B$17,Paramètres!$A$1:$I$89,5,0)</f>
        <v>1.9508661353029313E-13</v>
      </c>
      <c r="GB193" s="13">
        <f t="shared" si="185"/>
        <v>2.711421636700695E-12</v>
      </c>
      <c r="GC193" s="20">
        <f t="shared" si="186"/>
        <v>5.0621685358189711E-12</v>
      </c>
      <c r="GD193" s="59">
        <f t="shared" si="134"/>
        <v>290.46452496275231</v>
      </c>
      <c r="GE193" s="59">
        <f ca="1">AVERAGE(OFFSET($GD$3,0,0,'Données projet'!$E$17+1,1))-AVERAGE(OFFSET($H$3,0,0,'Données projet'!$E$17+1,1))</f>
        <v>460.46300302025099</v>
      </c>
      <c r="GF193" s="59">
        <f t="shared" si="158"/>
        <v>340.22534554615879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64.710146116779711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64.710146116779711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69.217597717112895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1.1368683772161603E-13</v>
      </c>
      <c r="GV193" s="17">
        <f>GU193*VLOOKUP('Données projet'!$B$18,Paramètres!$A$1:$I$89,3,0)*VLOOKUP('Données projet'!$B$18,Paramètres!$A$1:$I$89,5,0)</f>
        <v>6.7984728957526396E-14</v>
      </c>
      <c r="GW193" s="13">
        <f t="shared" si="188"/>
        <v>1.0682447123141398E-12</v>
      </c>
      <c r="GX193" s="20">
        <f t="shared" si="189"/>
        <v>1.978932943548152E-12</v>
      </c>
      <c r="GY193" s="59">
        <f t="shared" si="137"/>
        <v>290.46452496274924</v>
      </c>
      <c r="GZ193" s="59">
        <f ca="1">AVERAGE(OFFSET($GY$3,0,0,'Données projet'!$E$18+1,1))-AVERAGE(OFFSET($H$3,0,0,'Données projet'!$E$18+1,1))</f>
        <v>-15.950000000000017</v>
      </c>
      <c r="HA193" s="59">
        <f t="shared" si="160"/>
        <v>-15.950000000000017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11.737490959855261</v>
      </c>
      <c r="HH193" s="21">
        <f>EXP(-LN(2)/25)*HH192+(1-EXP(-LN(2)/25))/(LN(2)/25)*Calculateur!HC193*Calculateur!HE193*VLOOKUP('Données projet'!$B$18,Paramètres!$A$1:$I$89,3,0)*0.475*44/12</f>
        <v>2.7777138911259942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14.515204850981256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4.3499999999999996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15.949999999999998</v>
      </c>
      <c r="H194" s="67">
        <f t="shared" si="110"/>
        <v>192.86666666666667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-9.9316821433603781E-14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433.46721010558042</v>
      </c>
      <c r="T194" s="59">
        <f t="shared" si="142"/>
        <v>306.18862295347509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16.607385919962741</v>
      </c>
      <c r="AA194" s="21">
        <f>EXP(-LN(2)/25)*AA193+(1-EXP(-LN(2)/25))/(LN(2)/25)*Calculateur!V194*Calculateur!X194*VLOOKUP('Données projet'!$B$9,Paramètres!$A$1:$I$89,3,0)*0.475*44/12</f>
        <v>3.3252351356580481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19.932621055620789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290.51429237428425</v>
      </c>
      <c r="AN194" s="59">
        <f ca="1">AVERAGE(OFFSET($AM$3,0,0,'Données projet'!$E$10+1,1))-AVERAGE(OFFSET($H$3,0,0,'Données projet'!$E$10+1,1))</f>
        <v>400.1942260113168</v>
      </c>
      <c r="AO194" s="59">
        <f t="shared" si="144"/>
        <v>497.04866930593926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11.507325921295077</v>
      </c>
      <c r="AV194" s="21">
        <f>EXP(-LN(2)/25)*AV193+(1-EXP(-LN(2)/25))/(LN(2)/25)*Calculateur!AQ194*Calculateur!AS194*VLOOKUP('Données projet'!$B$10,Paramètres!$A$1:$I$89,3,0)*0.475*44/12</f>
        <v>2.7017571586995288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14.209083079994606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284.78505691662588</v>
      </c>
      <c r="BJ194" s="59">
        <f t="shared" si="146"/>
        <v>664.42623058686308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380.64318988568527</v>
      </c>
      <c r="CE194" s="59">
        <f t="shared" si="148"/>
        <v>885.24651320439159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6.5660139580186909</v>
      </c>
      <c r="CL194" s="21">
        <f>EXP(-LN(2)/25)*CL193+(1-EXP(-LN(2)/25))/(LN(2)/25)*Calculateur!CG194*Calculateur!CI194*VLOOKUP('Données projet'!$B$12,Paramètres!$A$1:$I$89,3,0)*0.475*44/12</f>
        <v>0.47195502284998408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7.0379689808686754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-6.3550942286383367E-14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404.10467005188889</v>
      </c>
      <c r="CZ194" s="59">
        <f t="shared" si="150"/>
        <v>372.70490129557845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21.499965380504054</v>
      </c>
      <c r="DG194" s="21">
        <f>EXP(-LN(2)/25)*DG193+(1-EXP(-LN(2)/25))/(LN(2)/25)*Calculateur!DB194*Calculateur!DD194*VLOOKUP('Données projet'!$B$13,Paramètres!$A$1:$I$89,3,0)*0.475*44/12</f>
        <v>4.5485862782340787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26.048551658738134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>
        <f>VLOOKUP(A194,'Données projet'!$A$165:$I$185,2,0)</f>
        <v>126.3</v>
      </c>
      <c r="DM194" s="12">
        <f>VLOOKUP(A194,'Données projet'!$A$165:$I$185,9,0)</f>
        <v>1.650000000000001</v>
      </c>
      <c r="DN194" s="12">
        <f t="array" ref="DN194">INDEX(DM:DM,MIN(IF(ISNUMBER(DM194:DM390),ROW(DM194:DM390),"")))</f>
        <v>1.650000000000001</v>
      </c>
      <c r="DO194" s="12">
        <f>IF('Données projet'!$A$166&gt;35,DO193+DN194-DW193,IF(A194&lt;'Données projet'!$A$166,$DL$205^A194,IF(A194='Données projet'!$A$166,'Données projet'!$B$166,DO193+DN194-DW193)))</f>
        <v>126.30000000000044</v>
      </c>
      <c r="DP194" s="17">
        <f>DO194*VLOOKUP('Données projet'!$B$14,Paramètres!$A$1:$I$89,3,0)*VLOOKUP('Données projet'!$B$14,Paramètres!$A$1:$I$89,5,0)</f>
        <v>114.27624000000039</v>
      </c>
      <c r="DQ194" s="13">
        <f t="shared" si="176"/>
        <v>30.336252861111998</v>
      </c>
      <c r="DR194" s="20">
        <f t="shared" si="177"/>
        <v>251.8667583997707</v>
      </c>
      <c r="DS194" s="59">
        <f t="shared" si="125"/>
        <v>542.38105077405294</v>
      </c>
      <c r="DT194" s="59">
        <f ca="1">AVERAGE(OFFSET($DS$3,0,0,'Données projet'!$E$14+1,1))-AVERAGE(OFFSET($H$3,0,0,'Données projet'!$E$14+1,1))</f>
        <v>479.53113328461268</v>
      </c>
      <c r="DU194" s="59">
        <f t="shared" si="152"/>
        <v>244.6360664588118</v>
      </c>
      <c r="DV194" s="15">
        <f>IF(ISNA(VLOOKUP(A194,'Données projet'!$A$165:$I$185,3,0)),0,VLOOKUP(A194,'Données projet'!$A$165:$I$185,3,0))</f>
        <v>16</v>
      </c>
      <c r="DW194" s="15">
        <f>IF(ISNA(VLOOKUP(A194,'Données projet'!$A$165:$I$185,4,0)),0,VLOOKUP(A194,'Données projet'!$A$165:$I$185,4,0))</f>
        <v>126.3</v>
      </c>
      <c r="DX194" s="16">
        <f>IF(ISNA(VLOOKUP(A194,'Données projet'!$A$165:$I$185,5,0)),0%,VLOOKUP(A194,'Données projet'!$A$165:$I$185,5,0)*VLOOKUP('Données projet'!$B$14,Paramètres!$A$1:$I$89,7,0))</f>
        <v>0.25800000000000001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139.56342502708429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139.56342502708429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2.2737367544323206E-13</v>
      </c>
      <c r="EK194" s="17">
        <f>EJ194*VLOOKUP('Données projet'!$B$15,Paramètres!$A$1:$I$89,3,0)*VLOOKUP('Données projet'!$B$15,Paramètres!$A$1:$I$89,5,0)</f>
        <v>1.0049916454590858E-13</v>
      </c>
      <c r="EL194" s="13">
        <f t="shared" si="179"/>
        <v>1.5089081593838289E-12</v>
      </c>
      <c r="EM194" s="20">
        <f t="shared" si="180"/>
        <v>2.8030510891776262E-12</v>
      </c>
      <c r="EN194" s="59">
        <f t="shared" si="128"/>
        <v>290.51429237428505</v>
      </c>
      <c r="EO194" s="59">
        <f ca="1">AVERAGE(OFFSET($EN$3,0,0,'Données projet'!$E$15+1,1))-AVERAGE(OFFSET($H$3,0,0,'Données projet'!$E$15+1,1))</f>
        <v>339.23049610652492</v>
      </c>
      <c r="EP194" s="59">
        <f t="shared" si="154"/>
        <v>448.85057640789785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12.32861107949461</v>
      </c>
      <c r="EW194" s="21">
        <f>EXP(-LN(2)/25)*EW193+(1-EXP(-LN(2)/25))/(LN(2)/25)*Calculateur!ER194*Calculateur!ET194*VLOOKUP('Données projet'!$B$15,Paramètres!$A$1:$I$89,3,0)*0.475*44/12</f>
        <v>3.1065955683220126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15.435206647816623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6.2527760746888816E-13</v>
      </c>
      <c r="FF194" s="17">
        <f>FE194*VLOOKUP('Données projet'!$B$16,Paramètres!$A$1:$I$89,3,0)*VLOOKUP('Données projet'!$B$16,Paramètres!$A$1:$I$89,5,0)</f>
        <v>2.9262992029543964E-13</v>
      </c>
      <c r="FG194" s="13">
        <f t="shared" si="182"/>
        <v>3.8796387982050903E-12</v>
      </c>
      <c r="FH194" s="20">
        <f t="shared" si="183"/>
        <v>7.2667013513884219E-12</v>
      </c>
      <c r="FI194" s="59">
        <f t="shared" si="131"/>
        <v>290.51429237428954</v>
      </c>
      <c r="FJ194" s="59">
        <f ca="1">AVERAGE(OFFSET($FI$3,0,0,'Données projet'!$E$16+1,1))-AVERAGE(OFFSET($H$3,0,0,'Données projet'!$E$16+1,1))</f>
        <v>365.63278362856033</v>
      </c>
      <c r="FK194" s="59">
        <f t="shared" si="156"/>
        <v>290.68267842697452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52.513180498584155</v>
      </c>
      <c r="FR194" s="21">
        <f>EXP(-LN(2)/25)*FR193+(1-EXP(-LN(2)/25))/(LN(2)/25)*Calculateur!FM194*Calculateur!FO194*VLOOKUP('Données projet'!$B$16,Paramètres!$A$1:$I$89,3,0)*0.475*44/12</f>
        <v>12.283566554057671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64.79674705264182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2.2737367544323206E-13</v>
      </c>
      <c r="GA194" s="17">
        <f>FZ194*VLOOKUP('Données projet'!$B$17,Paramètres!$A$1:$I$89,3,0)*VLOOKUP('Données projet'!$B$17,Paramètres!$A$1:$I$89,5,0)</f>
        <v>1.9508661353029313E-13</v>
      </c>
      <c r="GB194" s="13">
        <f t="shared" si="185"/>
        <v>2.711421636700695E-12</v>
      </c>
      <c r="GC194" s="20">
        <f t="shared" si="186"/>
        <v>5.0621685358189711E-12</v>
      </c>
      <c r="GD194" s="59">
        <f t="shared" si="134"/>
        <v>290.51429237428732</v>
      </c>
      <c r="GE194" s="59">
        <f ca="1">AVERAGE(OFFSET($GD$3,0,0,'Données projet'!$E$17+1,1))-AVERAGE(OFFSET($H$3,0,0,'Données projet'!$E$17+1,1))</f>
        <v>460.46300302025099</v>
      </c>
      <c r="GF194" s="59">
        <f t="shared" si="158"/>
        <v>340.22534554615879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63.441219620721526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63.441219620721526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69.231170647531528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1.1368683772161603E-13</v>
      </c>
      <c r="GV194" s="17">
        <f>GU194*VLOOKUP('Données projet'!$B$18,Paramètres!$A$1:$I$89,3,0)*VLOOKUP('Données projet'!$B$18,Paramètres!$A$1:$I$89,5,0)</f>
        <v>6.7984728957526396E-14</v>
      </c>
      <c r="GW194" s="13">
        <f t="shared" si="188"/>
        <v>1.0682447123141398E-12</v>
      </c>
      <c r="GX194" s="20">
        <f t="shared" si="189"/>
        <v>1.978932943548152E-12</v>
      </c>
      <c r="GY194" s="59">
        <f t="shared" si="137"/>
        <v>290.51429237428425</v>
      </c>
      <c r="GZ194" s="59">
        <f ca="1">AVERAGE(OFFSET($GY$3,0,0,'Données projet'!$E$18+1,1))-AVERAGE(OFFSET($H$3,0,0,'Données projet'!$E$18+1,1))</f>
        <v>-15.950000000000017</v>
      </c>
      <c r="HA194" s="59">
        <f t="shared" si="160"/>
        <v>-15.950000000000017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11.507325921295077</v>
      </c>
      <c r="HH194" s="21">
        <f>EXP(-LN(2)/25)*HH193+(1-EXP(-LN(2)/25))/(LN(2)/25)*Calculateur!HC194*Calculateur!HE194*VLOOKUP('Données projet'!$B$18,Paramètres!$A$1:$I$89,3,0)*0.475*44/12</f>
        <v>2.7017571586995288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14.209083079994606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4.3499999999999996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15.949999999999998</v>
      </c>
      <c r="H195" s="67">
        <f t="shared" si="110"/>
        <v>192.86666666666667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-9.9316821433603781E-14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433.46721010558042</v>
      </c>
      <c r="T195" s="59">
        <f t="shared" si="142"/>
        <v>306.18862295347509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16.281725211577477</v>
      </c>
      <c r="AA195" s="21">
        <f>EXP(-LN(2)/25)*AA194+(1-EXP(-LN(2)/25))/(LN(2)/25)*Calculateur!V195*Calculateur!X195*VLOOKUP('Données projet'!$B$9,Paramètres!$A$1:$I$89,3,0)*0.475*44/12</f>
        <v>3.2343064060069628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19.516031617584439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290.56319643249242</v>
      </c>
      <c r="AN195" s="59">
        <f ca="1">AVERAGE(OFFSET($AM$3,0,0,'Données projet'!$E$10+1,1))-AVERAGE(OFFSET($H$3,0,0,'Données projet'!$E$10+1,1))</f>
        <v>400.1942260113168</v>
      </c>
      <c r="AO195" s="59">
        <f t="shared" si="144"/>
        <v>497.04866930593926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11.281674278754247</v>
      </c>
      <c r="AV195" s="21">
        <f>EXP(-LN(2)/25)*AV194+(1-EXP(-LN(2)/25))/(LN(2)/25)*Calculateur!AQ195*Calculateur!AS195*VLOOKUP('Données projet'!$B$10,Paramètres!$A$1:$I$89,3,0)*0.475*44/12</f>
        <v>2.6278774671156562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13.909551745869903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284.78505691662588</v>
      </c>
      <c r="BJ195" s="59">
        <f t="shared" si="146"/>
        <v>664.42623058686308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380.64318988568527</v>
      </c>
      <c r="CE195" s="59">
        <f t="shared" si="148"/>
        <v>885.24651320439159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6.4372584291750101</v>
      </c>
      <c r="CL195" s="21">
        <f>EXP(-LN(2)/25)*CL194+(1-EXP(-LN(2)/25))/(LN(2)/25)*Calculateur!CG195*Calculateur!CI195*VLOOKUP('Données projet'!$B$12,Paramètres!$A$1:$I$89,3,0)*0.475*44/12</f>
        <v>0.45904938793111527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6.8963078171061252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-6.3550942286383367E-14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404.10467005188889</v>
      </c>
      <c r="CZ195" s="59">
        <f t="shared" si="150"/>
        <v>372.70490129557845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21.078364173076384</v>
      </c>
      <c r="DG195" s="21">
        <f>EXP(-LN(2)/25)*DG194+(1-EXP(-LN(2)/25))/(LN(2)/25)*Calculateur!DB195*Calculateur!DD195*VLOOKUP('Données projet'!$B$13,Paramètres!$A$1:$I$89,3,0)*0.475*44/12</f>
        <v>4.424204947256011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25.502569120332396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4.4053649617126212E-13</v>
      </c>
      <c r="DP195" s="17">
        <f>DO195*VLOOKUP('Données projet'!$B$14,Paramètres!$A$1:$I$89,3,0)*VLOOKUP('Données projet'!$B$14,Paramètres!$A$1:$I$89,5,0)</f>
        <v>3.9859742173575796E-13</v>
      </c>
      <c r="DQ195" s="13">
        <f t="shared" si="176"/>
        <v>5.0978181123998779E-12</v>
      </c>
      <c r="DR195" s="20">
        <f t="shared" si="177"/>
        <v>9.5729237219528986E-12</v>
      </c>
      <c r="DS195" s="59">
        <f t="shared" si="125"/>
        <v>290.56319643249998</v>
      </c>
      <c r="DT195" s="59">
        <f ca="1">AVERAGE(OFFSET($DS$3,0,0,'Données projet'!$E$14+1,1))-AVERAGE(OFFSET($H$3,0,0,'Données projet'!$E$14+1,1))</f>
        <v>479.53113328461268</v>
      </c>
      <c r="DU195" s="59">
        <f t="shared" si="152"/>
        <v>244.6360664588118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136.82667138758703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136.82667138758703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2.2737367544323206E-13</v>
      </c>
      <c r="EK195" s="17">
        <f>EJ195*VLOOKUP('Données projet'!$B$15,Paramètres!$A$1:$I$89,3,0)*VLOOKUP('Données projet'!$B$15,Paramètres!$A$1:$I$89,5,0)</f>
        <v>1.0049916454590858E-13</v>
      </c>
      <c r="EL195" s="13">
        <f t="shared" si="179"/>
        <v>1.5089081593838289E-12</v>
      </c>
      <c r="EM195" s="20">
        <f t="shared" si="180"/>
        <v>2.8030510891776262E-12</v>
      </c>
      <c r="EN195" s="59">
        <f t="shared" si="128"/>
        <v>290.56319643249321</v>
      </c>
      <c r="EO195" s="59">
        <f ca="1">AVERAGE(OFFSET($EN$3,0,0,'Données projet'!$E$15+1,1))-AVERAGE(OFFSET($H$3,0,0,'Données projet'!$E$15+1,1))</f>
        <v>339.23049610652492</v>
      </c>
      <c r="EP195" s="59">
        <f t="shared" si="154"/>
        <v>448.85057640789785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12.08685453593597</v>
      </c>
      <c r="EW195" s="21">
        <f>EXP(-LN(2)/25)*EW194+(1-EXP(-LN(2)/25))/(LN(2)/25)*Calculateur!ER195*Calculateur!ET195*VLOOKUP('Données projet'!$B$15,Paramètres!$A$1:$I$89,3,0)*0.475*44/12</f>
        <v>3.0216455491374865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15.108500085073457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6.2527760746888816E-13</v>
      </c>
      <c r="FF195" s="17">
        <f>FE195*VLOOKUP('Données projet'!$B$16,Paramètres!$A$1:$I$89,3,0)*VLOOKUP('Données projet'!$B$16,Paramètres!$A$1:$I$89,5,0)</f>
        <v>2.9262992029543964E-13</v>
      </c>
      <c r="FG195" s="13">
        <f t="shared" si="182"/>
        <v>3.8796387982050903E-12</v>
      </c>
      <c r="FH195" s="20">
        <f t="shared" si="183"/>
        <v>7.2667013513884219E-12</v>
      </c>
      <c r="FI195" s="59">
        <f t="shared" si="131"/>
        <v>290.5631964324977</v>
      </c>
      <c r="FJ195" s="59">
        <f ca="1">AVERAGE(OFFSET($FI$3,0,0,'Données projet'!$E$16+1,1))-AVERAGE(OFFSET($H$3,0,0,'Données projet'!$E$16+1,1))</f>
        <v>365.63278362856033</v>
      </c>
      <c r="FK195" s="59">
        <f t="shared" si="156"/>
        <v>290.68267842697452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51.48342905888434</v>
      </c>
      <c r="FR195" s="21">
        <f>EXP(-LN(2)/25)*FR194+(1-EXP(-LN(2)/25))/(LN(2)/25)*Calculateur!FM195*Calculateur!FO195*VLOOKUP('Données projet'!$B$16,Paramètres!$A$1:$I$89,3,0)*0.475*44/12</f>
        <v>11.947671780672273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63.431100839556613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2.2737367544323206E-13</v>
      </c>
      <c r="GA195" s="17">
        <f>FZ195*VLOOKUP('Données projet'!$B$17,Paramètres!$A$1:$I$89,3,0)*VLOOKUP('Données projet'!$B$17,Paramètres!$A$1:$I$89,5,0)</f>
        <v>1.9508661353029313E-13</v>
      </c>
      <c r="GB195" s="13">
        <f t="shared" si="185"/>
        <v>2.711421636700695E-12</v>
      </c>
      <c r="GC195" s="20">
        <f t="shared" si="186"/>
        <v>5.0621685358189711E-12</v>
      </c>
      <c r="GD195" s="59">
        <f t="shared" si="134"/>
        <v>290.56319643249549</v>
      </c>
      <c r="GE195" s="59">
        <f ca="1">AVERAGE(OFFSET($GD$3,0,0,'Données projet'!$E$17+1,1))-AVERAGE(OFFSET($H$3,0,0,'Données projet'!$E$17+1,1))</f>
        <v>460.46300302025099</v>
      </c>
      <c r="GF195" s="59">
        <f t="shared" si="158"/>
        <v>340.22534554615879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62.197175999282301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62.197175999282301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69.244508117951938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1.1368683772161603E-13</v>
      </c>
      <c r="GV195" s="17">
        <f>GU195*VLOOKUP('Données projet'!$B$18,Paramètres!$A$1:$I$89,3,0)*VLOOKUP('Données projet'!$B$18,Paramètres!$A$1:$I$89,5,0)</f>
        <v>6.7984728957526396E-14</v>
      </c>
      <c r="GW195" s="13">
        <f t="shared" si="188"/>
        <v>1.0682447123141398E-12</v>
      </c>
      <c r="GX195" s="20">
        <f t="shared" si="189"/>
        <v>1.978932943548152E-12</v>
      </c>
      <c r="GY195" s="59">
        <f t="shared" si="137"/>
        <v>290.56319643249242</v>
      </c>
      <c r="GZ195" s="59">
        <f ca="1">AVERAGE(OFFSET($GY$3,0,0,'Données projet'!$E$18+1,1))-AVERAGE(OFFSET($H$3,0,0,'Données projet'!$E$18+1,1))</f>
        <v>-15.950000000000017</v>
      </c>
      <c r="HA195" s="59">
        <f t="shared" si="160"/>
        <v>-15.950000000000017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11.281674278754247</v>
      </c>
      <c r="HH195" s="21">
        <f>EXP(-LN(2)/25)*HH194+(1-EXP(-LN(2)/25))/(LN(2)/25)*Calculateur!HC195*Calculateur!HE195*VLOOKUP('Données projet'!$B$18,Paramètres!$A$1:$I$89,3,0)*0.475*44/12</f>
        <v>2.6278774671156562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13.909551745869903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4.3499999999999996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15.949999999999998</v>
      </c>
      <c r="H196" s="67">
        <f t="shared" ref="H196:H203" si="192">(B196+E196+F196)*44/12+(C196+D196)*0.475*44/12</f>
        <v>192.86666666666667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-9.9316821433603781E-14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433.46721010558042</v>
      </c>
      <c r="T196" s="59">
        <f t="shared" si="142"/>
        <v>306.18862295347509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15.96245051105023</v>
      </c>
      <c r="AA196" s="21">
        <f>EXP(-LN(2)/25)*AA195+(1-EXP(-LN(2)/25))/(LN(2)/25)*Calculateur!V196*Calculateur!X196*VLOOKUP('Données projet'!$B$9,Paramètres!$A$1:$I$89,3,0)*0.475*44/12</f>
        <v>3.1458641272499208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19.108314638300151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290.61125211462371</v>
      </c>
      <c r="AN196" s="59">
        <f ca="1">AVERAGE(OFFSET($AM$3,0,0,'Données projet'!$E$10+1,1))-AVERAGE(OFFSET($H$3,0,0,'Données projet'!$E$10+1,1))</f>
        <v>400.1942260113168</v>
      </c>
      <c r="AO196" s="59">
        <f t="shared" si="144"/>
        <v>497.04866930593926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11.06044752728973</v>
      </c>
      <c r="AV196" s="21">
        <f>EXP(-LN(2)/25)*AV195+(1-EXP(-LN(2)/25))/(LN(2)/25)*Calculateur!AQ196*Calculateur!AS196*VLOOKUP('Données projet'!$B$10,Paramètres!$A$1:$I$89,3,0)*0.475*44/12</f>
        <v>2.5560180195833087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13.616465546873039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284.78505691662588</v>
      </c>
      <c r="BJ196" s="59">
        <f t="shared" si="146"/>
        <v>664.42623058686308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380.64318988568527</v>
      </c>
      <c r="CE196" s="59">
        <f t="shared" si="148"/>
        <v>885.24651320439159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6.3110277177188365</v>
      </c>
      <c r="CL196" s="21">
        <f>EXP(-LN(2)/25)*CL195+(1-EXP(-LN(2)/25))/(LN(2)/25)*Calculateur!CG196*Calculateur!CI196*VLOOKUP('Données projet'!$B$12,Paramètres!$A$1:$I$89,3,0)*0.475*44/12</f>
        <v>0.44649665827778079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6.757524375996617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-6.3550942286383367E-14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404.10467005188889</v>
      </c>
      <c r="CZ196" s="59">
        <f t="shared" si="150"/>
        <v>372.70490129557845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20.665030308175023</v>
      </c>
      <c r="DG196" s="21">
        <f>EXP(-LN(2)/25)*DG195+(1-EXP(-LN(2)/25))/(LN(2)/25)*Calculateur!DB196*Calculateur!DD196*VLOOKUP('Données projet'!$B$13,Paramètres!$A$1:$I$89,3,0)*0.475*44/12</f>
        <v>4.3032248303144689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24.968255138489493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4.4053649617126212E-13</v>
      </c>
      <c r="DP196" s="17">
        <f>DO196*VLOOKUP('Données projet'!$B$14,Paramètres!$A$1:$I$89,3,0)*VLOOKUP('Données projet'!$B$14,Paramètres!$A$1:$I$89,5,0)</f>
        <v>3.9859742173575796E-13</v>
      </c>
      <c r="DQ196" s="13">
        <f t="shared" si="176"/>
        <v>5.0978181123998779E-12</v>
      </c>
      <c r="DR196" s="20">
        <f t="shared" si="177"/>
        <v>9.5729237219528986E-12</v>
      </c>
      <c r="DS196" s="59">
        <f t="shared" ref="DS196:DS203" si="197">DR196+(DJ196+DK196)*44/12</f>
        <v>290.61125211463127</v>
      </c>
      <c r="DT196" s="59">
        <f ca="1">AVERAGE(OFFSET($DS$3,0,0,'Données projet'!$E$14+1,1))-AVERAGE(OFFSET($H$3,0,0,'Données projet'!$E$14+1,1))</f>
        <v>479.53113328461268</v>
      </c>
      <c r="DU196" s="59">
        <f t="shared" si="152"/>
        <v>244.6360664588118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134.14358381770541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134.14358381770541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2.2737367544323206E-13</v>
      </c>
      <c r="EK196" s="17">
        <f>EJ196*VLOOKUP('Données projet'!$B$15,Paramètres!$A$1:$I$89,3,0)*VLOOKUP('Données projet'!$B$15,Paramètres!$A$1:$I$89,5,0)</f>
        <v>1.0049916454590858E-13</v>
      </c>
      <c r="EL196" s="13">
        <f t="shared" si="179"/>
        <v>1.5089081593838289E-12</v>
      </c>
      <c r="EM196" s="20">
        <f t="shared" si="180"/>
        <v>2.8030510891776262E-12</v>
      </c>
      <c r="EN196" s="59">
        <f t="shared" ref="EN196:EN203" si="198">EM196+(EE196+EF196)*44/12</f>
        <v>290.61125211462451</v>
      </c>
      <c r="EO196" s="59">
        <f ca="1">AVERAGE(OFFSET($EN$3,0,0,'Données projet'!$E$15+1,1))-AVERAGE(OFFSET($H$3,0,0,'Données projet'!$E$15+1,1))</f>
        <v>339.23049610652492</v>
      </c>
      <c r="EP196" s="59">
        <f t="shared" si="154"/>
        <v>448.85057640789785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11.849838690739583</v>
      </c>
      <c r="EW196" s="21">
        <f>EXP(-LN(2)/25)*EW195+(1-EXP(-LN(2)/25))/(LN(2)/25)*Calculateur!ER196*Calculateur!ET196*VLOOKUP('Données projet'!$B$15,Paramètres!$A$1:$I$89,3,0)*0.475*44/12</f>
        <v>2.9390184926948888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14.788857183434471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6.2527760746888816E-13</v>
      </c>
      <c r="FF196" s="17">
        <f>FE196*VLOOKUP('Données projet'!$B$16,Paramètres!$A$1:$I$89,3,0)*VLOOKUP('Données projet'!$B$16,Paramètres!$A$1:$I$89,5,0)</f>
        <v>2.9262992029543964E-13</v>
      </c>
      <c r="FG196" s="13">
        <f t="shared" si="182"/>
        <v>3.8796387982050903E-12</v>
      </c>
      <c r="FH196" s="20">
        <f t="shared" si="183"/>
        <v>7.2667013513884219E-12</v>
      </c>
      <c r="FI196" s="59">
        <f t="shared" ref="FI196:FI203" si="199">FH196+(EZ196+FA196)*44/12</f>
        <v>290.611252114629</v>
      </c>
      <c r="FJ196" s="59">
        <f ca="1">AVERAGE(OFFSET($FI$3,0,0,'Données projet'!$E$16+1,1))-AVERAGE(OFFSET($H$3,0,0,'Données projet'!$E$16+1,1))</f>
        <v>365.63278362856033</v>
      </c>
      <c r="FK196" s="59">
        <f t="shared" si="156"/>
        <v>290.68267842697452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50.473870416830678</v>
      </c>
      <c r="FR196" s="21">
        <f>EXP(-LN(2)/25)*FR195+(1-EXP(-LN(2)/25))/(LN(2)/25)*Calculateur!FM196*Calculateur!FO196*VLOOKUP('Données projet'!$B$16,Paramètres!$A$1:$I$89,3,0)*0.475*44/12</f>
        <v>11.620962067529037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62.094832484359713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2.2737367544323206E-13</v>
      </c>
      <c r="GA196" s="17">
        <f>FZ196*VLOOKUP('Données projet'!$B$17,Paramètres!$A$1:$I$89,3,0)*VLOOKUP('Données projet'!$B$17,Paramètres!$A$1:$I$89,5,0)</f>
        <v>1.9508661353029313E-13</v>
      </c>
      <c r="GB196" s="13">
        <f t="shared" si="185"/>
        <v>2.711421636700695E-12</v>
      </c>
      <c r="GC196" s="20">
        <f t="shared" si="186"/>
        <v>5.0621685358189711E-12</v>
      </c>
      <c r="GD196" s="59">
        <f t="shared" ref="GD196:GD203" si="200">GC196+(FU196+FV196)*44/12</f>
        <v>290.61125211462678</v>
      </c>
      <c r="GE196" s="59">
        <f ca="1">AVERAGE(OFFSET($GD$3,0,0,'Données projet'!$E$17+1,1))-AVERAGE(OFFSET($H$3,0,0,'Données projet'!$E$17+1,1))</f>
        <v>460.46300302025099</v>
      </c>
      <c r="GF196" s="59">
        <f t="shared" si="158"/>
        <v>340.22534554615879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60.977527314467814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60.977527314467814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69.257614213078654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1.1368683772161603E-13</v>
      </c>
      <c r="GV196" s="17">
        <f>GU196*VLOOKUP('Données projet'!$B$18,Paramètres!$A$1:$I$89,3,0)*VLOOKUP('Données projet'!$B$18,Paramètres!$A$1:$I$89,5,0)</f>
        <v>6.7984728957526396E-14</v>
      </c>
      <c r="GW196" s="13">
        <f t="shared" si="188"/>
        <v>1.0682447123141398E-12</v>
      </c>
      <c r="GX196" s="20">
        <f t="shared" si="189"/>
        <v>1.978932943548152E-12</v>
      </c>
      <c r="GY196" s="59">
        <f t="shared" ref="GY196:GY203" si="201">GX196+(GP196+GQ196)*44/12</f>
        <v>290.61125211462371</v>
      </c>
      <c r="GZ196" s="59">
        <f ca="1">AVERAGE(OFFSET($GY$3,0,0,'Données projet'!$E$18+1,1))-AVERAGE(OFFSET($H$3,0,0,'Données projet'!$E$18+1,1))</f>
        <v>-15.950000000000017</v>
      </c>
      <c r="HA196" s="59">
        <f t="shared" si="160"/>
        <v>-15.950000000000017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11.06044752728973</v>
      </c>
      <c r="HH196" s="21">
        <f>EXP(-LN(2)/25)*HH195+(1-EXP(-LN(2)/25))/(LN(2)/25)*Calculateur!HC196*Calculateur!HE196*VLOOKUP('Données projet'!$B$18,Paramètres!$A$1:$I$89,3,0)*0.475*44/12</f>
        <v>2.5560180195833087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13.616465546873039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4.3499999999999996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15.949999999999998</v>
      </c>
      <c r="H197" s="67">
        <f t="shared" si="192"/>
        <v>192.86666666666667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-9.9316821433603781E-14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433.46721010558042</v>
      </c>
      <c r="T197" s="59">
        <f t="shared" ref="T197:T203" si="204">$T$3</f>
        <v>306.18862295347509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15.649436592661983</v>
      </c>
      <c r="AA197" s="21">
        <f>EXP(-LN(2)/25)*AA196+(1-EXP(-LN(2)/25))/(LN(2)/25)*Calculateur!V197*Calculateur!X197*VLOOKUP('Données projet'!$B$9,Paramètres!$A$1:$I$89,3,0)*0.475*44/12</f>
        <v>3.0598403072564673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18.70927689991845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290.6584741381065</v>
      </c>
      <c r="AN197" s="59">
        <f ca="1">AVERAGE(OFFSET($AM$3,0,0,'Données projet'!$E$10+1,1))-AVERAGE(OFFSET($H$3,0,0,'Données projet'!$E$10+1,1))</f>
        <v>400.1942260113168</v>
      </c>
      <c r="AO197" s="59">
        <f t="shared" ref="AO197:AO203" si="205">$AO$3</f>
        <v>497.04866930593926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10.843558897486437</v>
      </c>
      <c r="AV197" s="21">
        <f>EXP(-LN(2)/25)*AV196+(1-EXP(-LN(2)/25))/(LN(2)/25)*Calculateur!AQ197*Calculateur!AS197*VLOOKUP('Données projet'!$B$10,Paramètres!$A$1:$I$89,3,0)*0.475*44/12</f>
        <v>2.4861235724226574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13.329682469909095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284.78505691662588</v>
      </c>
      <c r="BJ197" s="59">
        <f t="shared" ref="BJ197:BJ203" si="206">$BJ$3</f>
        <v>664.42623058686308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380.64318988568527</v>
      </c>
      <c r="CE197" s="59">
        <f t="shared" ref="CE197:CE203" si="207">$CE$3</f>
        <v>885.24651320439159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6.1872723135211869</v>
      </c>
      <c r="CL197" s="21">
        <f>EXP(-LN(2)/25)*CL196+(1-EXP(-LN(2)/25))/(LN(2)/25)*Calculateur!CG197*Calculateur!CI197*VLOOKUP('Données projet'!$B$12,Paramètres!$A$1:$I$89,3,0)*0.475*44/12</f>
        <v>0.43428718367693608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6.6215594971981231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-6.3550942286383367E-14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404.10467005188889</v>
      </c>
      <c r="CZ197" s="59">
        <f t="shared" ref="CZ197:CZ203" si="208">$CZ$3</f>
        <v>372.70490129557845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20.259801668255616</v>
      </c>
      <c r="DG197" s="21">
        <f>EXP(-LN(2)/25)*DG196+(1-EXP(-LN(2)/25))/(LN(2)/25)*Calculateur!DB197*Calculateur!DD197*VLOOKUP('Données projet'!$B$13,Paramètres!$A$1:$I$89,3,0)*0.475*44/12</f>
        <v>4.1855529210327607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24.445354589288378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4.4053649617126212E-13</v>
      </c>
      <c r="DP197" s="17">
        <f>DO197*VLOOKUP('Données projet'!$B$14,Paramètres!$A$1:$I$89,3,0)*VLOOKUP('Données projet'!$B$14,Paramètres!$A$1:$I$89,5,0)</f>
        <v>3.9859742173575796E-13</v>
      </c>
      <c r="DQ197" s="13">
        <f t="shared" si="176"/>
        <v>5.0978181123998779E-12</v>
      </c>
      <c r="DR197" s="20">
        <f t="shared" si="177"/>
        <v>9.5729237219528986E-12</v>
      </c>
      <c r="DS197" s="59">
        <f t="shared" si="197"/>
        <v>290.65847413811406</v>
      </c>
      <c r="DT197" s="59">
        <f ca="1">AVERAGE(OFFSET($DS$3,0,0,'Données projet'!$E$14+1,1))-AVERAGE(OFFSET($H$3,0,0,'Données projet'!$E$14+1,1))</f>
        <v>479.53113328461268</v>
      </c>
      <c r="DU197" s="59">
        <f t="shared" ref="DU197:DU203" si="209">$DU$3</f>
        <v>244.6360664588118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131.51310995854732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131.51310995854732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2.2737367544323206E-13</v>
      </c>
      <c r="EK197" s="17">
        <f>EJ197*VLOOKUP('Données projet'!$B$15,Paramètres!$A$1:$I$89,3,0)*VLOOKUP('Données projet'!$B$15,Paramètres!$A$1:$I$89,5,0)</f>
        <v>1.0049916454590858E-13</v>
      </c>
      <c r="EL197" s="13">
        <f t="shared" si="179"/>
        <v>1.5089081593838289E-12</v>
      </c>
      <c r="EM197" s="20">
        <f t="shared" si="180"/>
        <v>2.8030510891776262E-12</v>
      </c>
      <c r="EN197" s="59">
        <f t="shared" si="198"/>
        <v>290.65847413810729</v>
      </c>
      <c r="EO197" s="59">
        <f ca="1">AVERAGE(OFFSET($EN$3,0,0,'Données projet'!$E$15+1,1))-AVERAGE(OFFSET($H$3,0,0,'Données projet'!$E$15+1,1))</f>
        <v>339.23049610652492</v>
      </c>
      <c r="EP197" s="59">
        <f t="shared" ref="EP197:EP203" si="210">$EP$3</f>
        <v>448.85057640789785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11.617470581702106</v>
      </c>
      <c r="EW197" s="21">
        <f>EXP(-LN(2)/25)*EW196+(1-EXP(-LN(2)/25))/(LN(2)/25)*Calculateur!ER197*Calculateur!ET197*VLOOKUP('Données projet'!$B$15,Paramètres!$A$1:$I$89,3,0)*0.475*44/12</f>
        <v>2.8586508774558816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14.476121459157987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6.2527760746888816E-13</v>
      </c>
      <c r="FF197" s="17">
        <f>FE197*VLOOKUP('Données projet'!$B$16,Paramètres!$A$1:$I$89,3,0)*VLOOKUP('Données projet'!$B$16,Paramètres!$A$1:$I$89,5,0)</f>
        <v>2.9262992029543964E-13</v>
      </c>
      <c r="FG197" s="13">
        <f t="shared" si="182"/>
        <v>3.8796387982050903E-12</v>
      </c>
      <c r="FH197" s="20">
        <f t="shared" si="183"/>
        <v>7.2667013513884219E-12</v>
      </c>
      <c r="FI197" s="59">
        <f t="shared" si="199"/>
        <v>290.65847413811179</v>
      </c>
      <c r="FJ197" s="59">
        <f ca="1">AVERAGE(OFFSET($FI$3,0,0,'Données projet'!$E$16+1,1))-AVERAGE(OFFSET($H$3,0,0,'Données projet'!$E$16+1,1))</f>
        <v>365.63278362856033</v>
      </c>
      <c r="FK197" s="59">
        <f t="shared" ref="FK197:FK203" si="211">$FK$3</f>
        <v>290.68267842697452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49.484108603977717</v>
      </c>
      <c r="FR197" s="21">
        <f>EXP(-LN(2)/25)*FR196+(1-EXP(-LN(2)/25))/(LN(2)/25)*Calculateur!FM197*Calculateur!FO197*VLOOKUP('Données projet'!$B$16,Paramètres!$A$1:$I$89,3,0)*0.475*44/12</f>
        <v>11.30318624867262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60.787294852650334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2.2737367544323206E-13</v>
      </c>
      <c r="GA197" s="17">
        <f>FZ197*VLOOKUP('Données projet'!$B$17,Paramètres!$A$1:$I$89,3,0)*VLOOKUP('Données projet'!$B$17,Paramètres!$A$1:$I$89,5,0)</f>
        <v>1.9508661353029313E-13</v>
      </c>
      <c r="GB197" s="13">
        <f t="shared" si="185"/>
        <v>2.711421636700695E-12</v>
      </c>
      <c r="GC197" s="20">
        <f t="shared" si="186"/>
        <v>5.0621685358189711E-12</v>
      </c>
      <c r="GD197" s="59">
        <f t="shared" si="200"/>
        <v>290.65847413810957</v>
      </c>
      <c r="GE197" s="59">
        <f ca="1">AVERAGE(OFFSET($GD$3,0,0,'Données projet'!$E$17+1,1))-AVERAGE(OFFSET($H$3,0,0,'Données projet'!$E$17+1,1))</f>
        <v>460.46300302025099</v>
      </c>
      <c r="GF197" s="59">
        <f t="shared" ref="GF197:GF203" si="212">$GF$3</f>
        <v>340.22534554615879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59.781795196450297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59.781795196450297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69.270492946755766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1.1368683772161603E-13</v>
      </c>
      <c r="GV197" s="17">
        <f>GU197*VLOOKUP('Données projet'!$B$18,Paramètres!$A$1:$I$89,3,0)*VLOOKUP('Données projet'!$B$18,Paramètres!$A$1:$I$89,5,0)</f>
        <v>6.7984728957526396E-14</v>
      </c>
      <c r="GW197" s="13">
        <f t="shared" si="188"/>
        <v>1.0682447123141398E-12</v>
      </c>
      <c r="GX197" s="20">
        <f t="shared" si="189"/>
        <v>1.978932943548152E-12</v>
      </c>
      <c r="GY197" s="59">
        <f t="shared" si="201"/>
        <v>290.6584741381065</v>
      </c>
      <c r="GZ197" s="59">
        <f ca="1">AVERAGE(OFFSET($GY$3,0,0,'Données projet'!$E$18+1,1))-AVERAGE(OFFSET($H$3,0,0,'Données projet'!$E$18+1,1))</f>
        <v>-15.950000000000017</v>
      </c>
      <c r="HA197" s="59">
        <f t="shared" ref="HA197:HA203" si="213">$HA$3</f>
        <v>-15.950000000000017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10.843558897486437</v>
      </c>
      <c r="HH197" s="21">
        <f>EXP(-LN(2)/25)*HH196+(1-EXP(-LN(2)/25))/(LN(2)/25)*Calculateur!HC197*Calculateur!HE197*VLOOKUP('Données projet'!$B$18,Paramètres!$A$1:$I$89,3,0)*0.475*44/12</f>
        <v>2.4861235724226574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13.329682469909095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4.3499999999999996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15.949999999999998</v>
      </c>
      <c r="H198" s="67">
        <f t="shared" si="192"/>
        <v>192.86666666666667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-9.9316821433603781E-14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433.46721010558042</v>
      </c>
      <c r="T198" s="59">
        <f t="shared" si="204"/>
        <v>306.18862295347509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15.342560686293691</v>
      </c>
      <c r="AA198" s="21">
        <f>EXP(-LN(2)/25)*AA197+(1-EXP(-LN(2)/25))/(LN(2)/25)*Calculateur!V198*Calculateur!X198*VLOOKUP('Données projet'!$B$9,Paramètres!$A$1:$I$89,3,0)*0.475*44/12</f>
        <v>2.9761688131445307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18.31872949943822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290.70487696505438</v>
      </c>
      <c r="AN198" s="59">
        <f ca="1">AVERAGE(OFFSET($AM$3,0,0,'Données projet'!$E$10+1,1))-AVERAGE(OFFSET($H$3,0,0,'Données projet'!$E$10+1,1))</f>
        <v>400.1942260113168</v>
      </c>
      <c r="AO198" s="59">
        <f t="shared" si="205"/>
        <v>497.04866930593926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10.630923321424586</v>
      </c>
      <c r="AV198" s="21">
        <f>EXP(-LN(2)/25)*AV197+(1-EXP(-LN(2)/25))/(LN(2)/25)*Calculateur!AQ198*Calculateur!AS198*VLOOKUP('Données projet'!$B$10,Paramètres!$A$1:$I$89,3,0)*0.475*44/12</f>
        <v>2.4181403925952032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13.049063714019789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284.78505691662588</v>
      </c>
      <c r="BJ198" s="59">
        <f t="shared" si="206"/>
        <v>664.42623058686308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380.64318988568527</v>
      </c>
      <c r="CE198" s="59">
        <f t="shared" si="207"/>
        <v>885.24651320439159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6.0659436773165094</v>
      </c>
      <c r="CL198" s="21">
        <f>EXP(-LN(2)/25)*CL197+(1-EXP(-LN(2)/25))/(LN(2)/25)*Calculateur!CG198*Calculateur!CI198*VLOOKUP('Données projet'!$B$12,Paramètres!$A$1:$I$89,3,0)*0.475*44/12</f>
        <v>0.42241157780111988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6.4883552551176296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-6.3550942286383367E-14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404.10467005188889</v>
      </c>
      <c r="CZ198" s="59">
        <f t="shared" si="208"/>
        <v>372.70490129557845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19.862519314799961</v>
      </c>
      <c r="DG198" s="21">
        <f>EXP(-LN(2)/25)*DG197+(1-EXP(-LN(2)/25))/(LN(2)/25)*Calculateur!DB198*Calculateur!DD198*VLOOKUP('Données projet'!$B$13,Paramètres!$A$1:$I$89,3,0)*0.475*44/12</f>
        <v>4.0710987562984577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23.933618071098419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4.4053649617126212E-13</v>
      </c>
      <c r="DP198" s="17">
        <f>DO198*VLOOKUP('Données projet'!$B$14,Paramètres!$A$1:$I$89,3,0)*VLOOKUP('Données projet'!$B$14,Paramètres!$A$1:$I$89,5,0)</f>
        <v>3.9859742173575796E-13</v>
      </c>
      <c r="DQ198" s="13">
        <f t="shared" si="176"/>
        <v>5.0978181123998779E-12</v>
      </c>
      <c r="DR198" s="20">
        <f t="shared" si="177"/>
        <v>9.5729237219528986E-12</v>
      </c>
      <c r="DS198" s="59">
        <f t="shared" si="197"/>
        <v>290.70487696506194</v>
      </c>
      <c r="DT198" s="59">
        <f ca="1">AVERAGE(OFFSET($DS$3,0,0,'Données projet'!$E$14+1,1))-AVERAGE(OFFSET($H$3,0,0,'Données projet'!$E$14+1,1))</f>
        <v>479.53113328461268</v>
      </c>
      <c r="DU198" s="59">
        <f t="shared" si="209"/>
        <v>244.6360664588118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128.93421808733669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128.93421808733669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2.2737367544323206E-13</v>
      </c>
      <c r="EK198" s="17">
        <f>EJ198*VLOOKUP('Données projet'!$B$15,Paramètres!$A$1:$I$89,3,0)*VLOOKUP('Données projet'!$B$15,Paramètres!$A$1:$I$89,5,0)</f>
        <v>1.0049916454590858E-13</v>
      </c>
      <c r="EL198" s="13">
        <f t="shared" si="179"/>
        <v>1.5089081593838289E-12</v>
      </c>
      <c r="EM198" s="20">
        <f t="shared" si="180"/>
        <v>2.8030510891776262E-12</v>
      </c>
      <c r="EN198" s="59">
        <f t="shared" si="198"/>
        <v>290.70487696505518</v>
      </c>
      <c r="EO198" s="59">
        <f ca="1">AVERAGE(OFFSET($EN$3,0,0,'Données projet'!$E$15+1,1))-AVERAGE(OFFSET($H$3,0,0,'Données projet'!$E$15+1,1))</f>
        <v>339.23049610652492</v>
      </c>
      <c r="EP198" s="59">
        <f t="shared" si="210"/>
        <v>448.85057640789785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11.389659069552302</v>
      </c>
      <c r="EW198" s="21">
        <f>EXP(-LN(2)/25)*EW197+(1-EXP(-LN(2)/25))/(LN(2)/25)*Calculateur!ER198*Calculateur!ET198*VLOOKUP('Données projet'!$B$15,Paramètres!$A$1:$I$89,3,0)*0.475*44/12</f>
        <v>2.7804809188819344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14.170139988434236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6.2527760746888816E-13</v>
      </c>
      <c r="FF198" s="17">
        <f>FE198*VLOOKUP('Données projet'!$B$16,Paramètres!$A$1:$I$89,3,0)*VLOOKUP('Données projet'!$B$16,Paramètres!$A$1:$I$89,5,0)</f>
        <v>2.9262992029543964E-13</v>
      </c>
      <c r="FG198" s="13">
        <f t="shared" si="182"/>
        <v>3.8796387982050903E-12</v>
      </c>
      <c r="FH198" s="20">
        <f t="shared" si="183"/>
        <v>7.2667013513884219E-12</v>
      </c>
      <c r="FI198" s="59">
        <f t="shared" si="199"/>
        <v>290.70487696505967</v>
      </c>
      <c r="FJ198" s="59">
        <f ca="1">AVERAGE(OFFSET($FI$3,0,0,'Données projet'!$E$16+1,1))-AVERAGE(OFFSET($H$3,0,0,'Données projet'!$E$16+1,1))</f>
        <v>365.63278362856033</v>
      </c>
      <c r="FK198" s="59">
        <f t="shared" si="211"/>
        <v>290.68267842697452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48.513755416579706</v>
      </c>
      <c r="FR198" s="21">
        <f>EXP(-LN(2)/25)*FR197+(1-EXP(-LN(2)/25))/(LN(2)/25)*Calculateur!FM198*Calculateur!FO198*VLOOKUP('Données projet'!$B$16,Paramètres!$A$1:$I$89,3,0)*0.475*44/12</f>
        <v>10.994100026293937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59.507855442873641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2.2737367544323206E-13</v>
      </c>
      <c r="GA198" s="17">
        <f>FZ198*VLOOKUP('Données projet'!$B$17,Paramètres!$A$1:$I$89,3,0)*VLOOKUP('Données projet'!$B$17,Paramètres!$A$1:$I$89,5,0)</f>
        <v>1.9508661353029313E-13</v>
      </c>
      <c r="GB198" s="13">
        <f t="shared" si="185"/>
        <v>2.711421636700695E-12</v>
      </c>
      <c r="GC198" s="20">
        <f t="shared" si="186"/>
        <v>5.0621685358189711E-12</v>
      </c>
      <c r="GD198" s="59">
        <f t="shared" si="200"/>
        <v>290.70487696505745</v>
      </c>
      <c r="GE198" s="59">
        <f ca="1">AVERAGE(OFFSET($GD$3,0,0,'Données projet'!$E$17+1,1))-AVERAGE(OFFSET($H$3,0,0,'Données projet'!$E$17+1,1))</f>
        <v>460.46300302025099</v>
      </c>
      <c r="GF198" s="59">
        <f t="shared" si="212"/>
        <v>340.22534554615879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58.609510655942522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58.609510655942522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69.283148263196111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1.1368683772161603E-13</v>
      </c>
      <c r="GV198" s="17">
        <f>GU198*VLOOKUP('Données projet'!$B$18,Paramètres!$A$1:$I$89,3,0)*VLOOKUP('Données projet'!$B$18,Paramètres!$A$1:$I$89,5,0)</f>
        <v>6.7984728957526396E-14</v>
      </c>
      <c r="GW198" s="13">
        <f t="shared" si="188"/>
        <v>1.0682447123141398E-12</v>
      </c>
      <c r="GX198" s="20">
        <f t="shared" si="189"/>
        <v>1.978932943548152E-12</v>
      </c>
      <c r="GY198" s="59">
        <f t="shared" si="201"/>
        <v>290.70487696505438</v>
      </c>
      <c r="GZ198" s="59">
        <f ca="1">AVERAGE(OFFSET($GY$3,0,0,'Données projet'!$E$18+1,1))-AVERAGE(OFFSET($H$3,0,0,'Données projet'!$E$18+1,1))</f>
        <v>-15.950000000000017</v>
      </c>
      <c r="HA198" s="59">
        <f t="shared" si="213"/>
        <v>-15.950000000000017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10.630923321424586</v>
      </c>
      <c r="HH198" s="21">
        <f>EXP(-LN(2)/25)*HH197+(1-EXP(-LN(2)/25))/(LN(2)/25)*Calculateur!HC198*Calculateur!HE198*VLOOKUP('Données projet'!$B$18,Paramètres!$A$1:$I$89,3,0)*0.475*44/12</f>
        <v>2.4181403925952032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13.049063714019789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4.3499999999999996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15.949999999999998</v>
      </c>
      <c r="H199" s="67">
        <f t="shared" si="192"/>
        <v>192.86666666666667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-9.9316821433603781E-14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433.46721010558042</v>
      </c>
      <c r="T199" s="59">
        <f t="shared" si="204"/>
        <v>306.18862295347509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15.04170242927346</v>
      </c>
      <c r="AA199" s="21">
        <f>EXP(-LN(2)/25)*AA198+(1-EXP(-LN(2)/25))/(LN(2)/25)*Calculateur!V199*Calculateur!X199*VLOOKUP('Données projet'!$B$9,Paramètres!$A$1:$I$89,3,0)*0.475*44/12</f>
        <v>2.8947853204391776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17.936487749712636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290.75047480669599</v>
      </c>
      <c r="AN199" s="59">
        <f ca="1">AVERAGE(OFFSET($AM$3,0,0,'Données projet'!$E$10+1,1))-AVERAGE(OFFSET($H$3,0,0,'Données projet'!$E$10+1,1))</f>
        <v>400.1942260113168</v>
      </c>
      <c r="AO199" s="59">
        <f t="shared" si="205"/>
        <v>497.04866930593926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10.422457399314412</v>
      </c>
      <c r="AV199" s="21">
        <f>EXP(-LN(2)/25)*AV198+(1-EXP(-LN(2)/25))/(LN(2)/25)*Calculateur!AQ199*Calculateur!AS199*VLOOKUP('Données projet'!$B$10,Paramètres!$A$1:$I$89,3,0)*0.475*44/12</f>
        <v>2.352016216395211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12.774473615709624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284.78505691662588</v>
      </c>
      <c r="BJ199" s="59">
        <f t="shared" si="206"/>
        <v>664.42623058686308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380.64318988568527</v>
      </c>
      <c r="CE199" s="59">
        <f t="shared" si="207"/>
        <v>885.24651320439159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5.946994221664645</v>
      </c>
      <c r="CL199" s="21">
        <f>EXP(-LN(2)/25)*CL198+(1-EXP(-LN(2)/25))/(LN(2)/25)*Calculateur!CG199*Calculateur!CI199*VLOOKUP('Données projet'!$B$12,Paramètres!$A$1:$I$89,3,0)*0.475*44/12</f>
        <v>0.41086071099248883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6.3578549326571334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-6.3550942286383367E-14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404.10467005188889</v>
      </c>
      <c r="CZ199" s="59">
        <f t="shared" si="208"/>
        <v>372.70490129557845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19.473027425977264</v>
      </c>
      <c r="DG199" s="21">
        <f>EXP(-LN(2)/25)*DG198+(1-EXP(-LN(2)/25))/(LN(2)/25)*Calculateur!DB199*Calculateur!DD199*VLOOKUP('Données projet'!$B$13,Paramètres!$A$1:$I$89,3,0)*0.475*44/12</f>
        <v>3.9597743467176976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23.432801772694962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4.4053649617126212E-13</v>
      </c>
      <c r="DP199" s="17">
        <f>DO199*VLOOKUP('Données projet'!$B$14,Paramètres!$A$1:$I$89,3,0)*VLOOKUP('Données projet'!$B$14,Paramètres!$A$1:$I$89,5,0)</f>
        <v>3.9859742173575796E-13</v>
      </c>
      <c r="DQ199" s="13">
        <f t="shared" si="176"/>
        <v>5.0978181123998779E-12</v>
      </c>
      <c r="DR199" s="20">
        <f t="shared" si="177"/>
        <v>9.5729237219528986E-12</v>
      </c>
      <c r="DS199" s="59">
        <f t="shared" si="197"/>
        <v>290.75047480670355</v>
      </c>
      <c r="DT199" s="59">
        <f ca="1">AVERAGE(OFFSET($DS$3,0,0,'Données projet'!$E$14+1,1))-AVERAGE(OFFSET($H$3,0,0,'Données projet'!$E$14+1,1))</f>
        <v>479.53113328461268</v>
      </c>
      <c r="DU199" s="59">
        <f t="shared" si="209"/>
        <v>244.6360664588118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126.40589671275178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126.40589671275178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2.2737367544323206E-13</v>
      </c>
      <c r="EK199" s="17">
        <f>EJ199*VLOOKUP('Données projet'!$B$15,Paramètres!$A$1:$I$89,3,0)*VLOOKUP('Données projet'!$B$15,Paramètres!$A$1:$I$89,5,0)</f>
        <v>1.0049916454590858E-13</v>
      </c>
      <c r="EL199" s="13">
        <f t="shared" si="179"/>
        <v>1.5089081593838289E-12</v>
      </c>
      <c r="EM199" s="20">
        <f t="shared" si="180"/>
        <v>2.8030510891776262E-12</v>
      </c>
      <c r="EN199" s="59">
        <f t="shared" si="198"/>
        <v>290.75047480669679</v>
      </c>
      <c r="EO199" s="59">
        <f ca="1">AVERAGE(OFFSET($EN$3,0,0,'Données projet'!$E$15+1,1))-AVERAGE(OFFSET($H$3,0,0,'Données projet'!$E$15+1,1))</f>
        <v>339.23049610652492</v>
      </c>
      <c r="EP199" s="59">
        <f t="shared" si="210"/>
        <v>448.85057640789785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11.166314802204454</v>
      </c>
      <c r="EW199" s="21">
        <f>EXP(-LN(2)/25)*EW198+(1-EXP(-LN(2)/25))/(LN(2)/25)*Calculateur!ER199*Calculateur!ET199*VLOOKUP('Données projet'!$B$15,Paramètres!$A$1:$I$89,3,0)*0.475*44/12</f>
        <v>2.7044485219359711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13.870763324140425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6.2527760746888816E-13</v>
      </c>
      <c r="FF199" s="17">
        <f>FE199*VLOOKUP('Données projet'!$B$16,Paramètres!$A$1:$I$89,3,0)*VLOOKUP('Données projet'!$B$16,Paramètres!$A$1:$I$89,5,0)</f>
        <v>2.9262992029543964E-13</v>
      </c>
      <c r="FG199" s="13">
        <f t="shared" si="182"/>
        <v>3.8796387982050903E-12</v>
      </c>
      <c r="FH199" s="20">
        <f t="shared" si="183"/>
        <v>7.2667013513884219E-12</v>
      </c>
      <c r="FI199" s="59">
        <f t="shared" si="199"/>
        <v>290.75047480670128</v>
      </c>
      <c r="FJ199" s="59">
        <f ca="1">AVERAGE(OFFSET($FI$3,0,0,'Données projet'!$E$16+1,1))-AVERAGE(OFFSET($H$3,0,0,'Données projet'!$E$16+1,1))</f>
        <v>365.63278362856033</v>
      </c>
      <c r="FK199" s="59">
        <f t="shared" si="211"/>
        <v>290.68267842697452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47.562430263329567</v>
      </c>
      <c r="FR199" s="21">
        <f>EXP(-LN(2)/25)*FR198+(1-EXP(-LN(2)/25))/(LN(2)/25)*Calculateur!FM199*Calculateur!FO199*VLOOKUP('Données projet'!$B$16,Paramètres!$A$1:$I$89,3,0)*0.475*44/12</f>
        <v>10.693465782920336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58.255896046249902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2.2737367544323206E-13</v>
      </c>
      <c r="GA199" s="17">
        <f>FZ199*VLOOKUP('Données projet'!$B$17,Paramètres!$A$1:$I$89,3,0)*VLOOKUP('Données projet'!$B$17,Paramètres!$A$1:$I$89,5,0)</f>
        <v>1.9508661353029313E-13</v>
      </c>
      <c r="GB199" s="13">
        <f t="shared" si="185"/>
        <v>2.711421636700695E-12</v>
      </c>
      <c r="GC199" s="20">
        <f t="shared" si="186"/>
        <v>5.0621685358189711E-12</v>
      </c>
      <c r="GD199" s="59">
        <f t="shared" si="200"/>
        <v>290.75047480669906</v>
      </c>
      <c r="GE199" s="59">
        <f ca="1">AVERAGE(OFFSET($GD$3,0,0,'Données projet'!$E$17+1,1))-AVERAGE(OFFSET($H$3,0,0,'Données projet'!$E$17+1,1))</f>
        <v>460.46300302025099</v>
      </c>
      <c r="GF199" s="59">
        <f t="shared" si="212"/>
        <v>340.22534554615879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57.460213900251141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57.460213900251141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69.295584038189276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1.1368683772161603E-13</v>
      </c>
      <c r="GV199" s="17">
        <f>GU199*VLOOKUP('Données projet'!$B$18,Paramètres!$A$1:$I$89,3,0)*VLOOKUP('Données projet'!$B$18,Paramètres!$A$1:$I$89,5,0)</f>
        <v>6.7984728957526396E-14</v>
      </c>
      <c r="GW199" s="13">
        <f t="shared" si="188"/>
        <v>1.0682447123141398E-12</v>
      </c>
      <c r="GX199" s="20">
        <f t="shared" si="189"/>
        <v>1.978932943548152E-12</v>
      </c>
      <c r="GY199" s="59">
        <f t="shared" si="201"/>
        <v>290.75047480669599</v>
      </c>
      <c r="GZ199" s="59">
        <f ca="1">AVERAGE(OFFSET($GY$3,0,0,'Données projet'!$E$18+1,1))-AVERAGE(OFFSET($H$3,0,0,'Données projet'!$E$18+1,1))</f>
        <v>-15.950000000000017</v>
      </c>
      <c r="HA199" s="59">
        <f t="shared" si="213"/>
        <v>-15.950000000000017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10.422457399314412</v>
      </c>
      <c r="HH199" s="21">
        <f>EXP(-LN(2)/25)*HH198+(1-EXP(-LN(2)/25))/(LN(2)/25)*Calculateur!HC199*Calculateur!HE199*VLOOKUP('Données projet'!$B$18,Paramètres!$A$1:$I$89,3,0)*0.475*44/12</f>
        <v>2.352016216395211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12.774473615709624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4.3499999999999996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15.949999999999998</v>
      </c>
      <c r="H200" s="67">
        <f t="shared" si="192"/>
        <v>192.86666666666667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-9.9316821433603781E-14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433.46721010558042</v>
      </c>
      <c r="T200" s="59">
        <f t="shared" si="204"/>
        <v>306.18862295347509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14.74674381916798</v>
      </c>
      <c r="AA200" s="21">
        <f>EXP(-LN(2)/25)*AA199+(1-EXP(-LN(2)/25))/(LN(2)/25)*Calculateur!V200*Calculateur!X200*VLOOKUP('Données projet'!$B$9,Paramètres!$A$1:$I$89,3,0)*0.475*44/12</f>
        <v>2.8156272636216242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17.562371082789603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290.79528162772658</v>
      </c>
      <c r="AN200" s="59">
        <f ca="1">AVERAGE(OFFSET($AM$3,0,0,'Données projet'!$E$10+1,1))-AVERAGE(OFFSET($H$3,0,0,'Données projet'!$E$10+1,1))</f>
        <v>400.1942260113168</v>
      </c>
      <c r="AO200" s="59">
        <f t="shared" si="205"/>
        <v>497.04866930593926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10.218079366785162</v>
      </c>
      <c r="AV200" s="21">
        <f>EXP(-LN(2)/25)*AV199+(1-EXP(-LN(2)/25))/(LN(2)/25)*Calculateur!AQ200*Calculateur!AS200*VLOOKUP('Données projet'!$B$10,Paramètres!$A$1:$I$89,3,0)*0.475*44/12</f>
        <v>2.2877002092707266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12.505779576055888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284.78505691662588</v>
      </c>
      <c r="BJ200" s="59">
        <f t="shared" si="206"/>
        <v>664.42623058686308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380.64318988568527</v>
      </c>
      <c r="CE200" s="59">
        <f t="shared" si="207"/>
        <v>885.24651320439159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5.8303772922861095</v>
      </c>
      <c r="CL200" s="21">
        <f>EXP(-LN(2)/25)*CL199+(1-EXP(-LN(2)/25))/(LN(2)/25)*Calculateur!CG200*Calculateur!CI200*VLOOKUP('Données projet'!$B$12,Paramètres!$A$1:$I$89,3,0)*0.475*44/12</f>
        <v>0.39962570324417346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6.2300029955302829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-6.3550942286383367E-14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404.10467005188889</v>
      </c>
      <c r="CZ200" s="59">
        <f t="shared" si="208"/>
        <v>372.70490129557845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19.091173235527787</v>
      </c>
      <c r="DG200" s="21">
        <f>EXP(-LN(2)/25)*DG199+(1-EXP(-LN(2)/25))/(LN(2)/25)*Calculateur!DB200*Calculateur!DD200*VLOOKUP('Données projet'!$B$13,Paramètres!$A$1:$I$89,3,0)*0.475*44/12</f>
        <v>3.8514941089712194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22.942667344499007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4.4053649617126212E-13</v>
      </c>
      <c r="DP200" s="17">
        <f>DO200*VLOOKUP('Données projet'!$B$14,Paramètres!$A$1:$I$89,3,0)*VLOOKUP('Données projet'!$B$14,Paramètres!$A$1:$I$89,5,0)</f>
        <v>3.9859742173575796E-13</v>
      </c>
      <c r="DQ200" s="13">
        <f t="shared" si="176"/>
        <v>5.0978181123998779E-12</v>
      </c>
      <c r="DR200" s="20">
        <f t="shared" si="177"/>
        <v>9.5729237219528986E-12</v>
      </c>
      <c r="DS200" s="59">
        <f t="shared" si="197"/>
        <v>290.79528162773414</v>
      </c>
      <c r="DT200" s="59">
        <f ca="1">AVERAGE(OFFSET($DS$3,0,0,'Données projet'!$E$14+1,1))-AVERAGE(OFFSET($H$3,0,0,'Données projet'!$E$14+1,1))</f>
        <v>479.53113328461268</v>
      </c>
      <c r="DU200" s="59">
        <f t="shared" si="209"/>
        <v>244.6360664588118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123.92715417819872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123.92715417819872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2.2737367544323206E-13</v>
      </c>
      <c r="EK200" s="17">
        <f>EJ200*VLOOKUP('Données projet'!$B$15,Paramètres!$A$1:$I$89,3,0)*VLOOKUP('Données projet'!$B$15,Paramètres!$A$1:$I$89,5,0)</f>
        <v>1.0049916454590858E-13</v>
      </c>
      <c r="EL200" s="13">
        <f t="shared" si="179"/>
        <v>1.5089081593838289E-12</v>
      </c>
      <c r="EM200" s="20">
        <f t="shared" si="180"/>
        <v>2.8030510891776262E-12</v>
      </c>
      <c r="EN200" s="59">
        <f t="shared" si="198"/>
        <v>290.79528162772738</v>
      </c>
      <c r="EO200" s="59">
        <f ca="1">AVERAGE(OFFSET($EN$3,0,0,'Données projet'!$E$15+1,1))-AVERAGE(OFFSET($H$3,0,0,'Données projet'!$E$15+1,1))</f>
        <v>339.23049610652492</v>
      </c>
      <c r="EP200" s="59">
        <f t="shared" si="210"/>
        <v>448.85057640789785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10.947350179712744</v>
      </c>
      <c r="EW200" s="21">
        <f>EXP(-LN(2)/25)*EW199+(1-EXP(-LN(2)/25))/(LN(2)/25)*Calculateur!ER200*Calculateur!ET200*VLOOKUP('Données projet'!$B$15,Paramètres!$A$1:$I$89,3,0)*0.475*44/12</f>
        <v>2.6304952348828654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13.577845414595609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6.2527760746888816E-13</v>
      </c>
      <c r="FF200" s="17">
        <f>FE200*VLOOKUP('Données projet'!$B$16,Paramètres!$A$1:$I$89,3,0)*VLOOKUP('Données projet'!$B$16,Paramètres!$A$1:$I$89,5,0)</f>
        <v>2.9262992029543964E-13</v>
      </c>
      <c r="FG200" s="13">
        <f t="shared" si="182"/>
        <v>3.8796387982050903E-12</v>
      </c>
      <c r="FH200" s="20">
        <f t="shared" si="183"/>
        <v>7.2667013513884219E-12</v>
      </c>
      <c r="FI200" s="59">
        <f t="shared" si="199"/>
        <v>290.79528162773187</v>
      </c>
      <c r="FJ200" s="59">
        <f ca="1">AVERAGE(OFFSET($FI$3,0,0,'Données projet'!$E$16+1,1))-AVERAGE(OFFSET($H$3,0,0,'Données projet'!$E$16+1,1))</f>
        <v>365.63278362856033</v>
      </c>
      <c r="FK200" s="59">
        <f t="shared" si="211"/>
        <v>290.68267842697452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46.629760016083615</v>
      </c>
      <c r="FR200" s="21">
        <f>EXP(-LN(2)/25)*FR199+(1-EXP(-LN(2)/25))/(LN(2)/25)*Calculateur!FM200*Calculateur!FO200*VLOOKUP('Données projet'!$B$16,Paramètres!$A$1:$I$89,3,0)*0.475*44/12</f>
        <v>10.401052398741454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57.030812414825071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2.2737367544323206E-13</v>
      </c>
      <c r="GA200" s="17">
        <f>FZ200*VLOOKUP('Données projet'!$B$17,Paramètres!$A$1:$I$89,3,0)*VLOOKUP('Données projet'!$B$17,Paramètres!$A$1:$I$89,5,0)</f>
        <v>1.9508661353029313E-13</v>
      </c>
      <c r="GB200" s="13">
        <f t="shared" si="185"/>
        <v>2.711421636700695E-12</v>
      </c>
      <c r="GC200" s="20">
        <f t="shared" si="186"/>
        <v>5.0621685358189711E-12</v>
      </c>
      <c r="GD200" s="59">
        <f t="shared" si="200"/>
        <v>290.79528162772965</v>
      </c>
      <c r="GE200" s="59">
        <f ca="1">AVERAGE(OFFSET($GD$3,0,0,'Données projet'!$E$17+1,1))-AVERAGE(OFFSET($H$3,0,0,'Données projet'!$E$17+1,1))</f>
        <v>460.46300302025099</v>
      </c>
      <c r="GF200" s="59">
        <f t="shared" si="212"/>
        <v>340.22534554615879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56.333454152937065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56.333454152937065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69.30780408028852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1.1368683772161603E-13</v>
      </c>
      <c r="GV200" s="17">
        <f>GU200*VLOOKUP('Données projet'!$B$18,Paramètres!$A$1:$I$89,3,0)*VLOOKUP('Données projet'!$B$18,Paramètres!$A$1:$I$89,5,0)</f>
        <v>6.7984728957526396E-14</v>
      </c>
      <c r="GW200" s="13">
        <f t="shared" si="188"/>
        <v>1.0682447123141398E-12</v>
      </c>
      <c r="GX200" s="20">
        <f t="shared" si="189"/>
        <v>1.978932943548152E-12</v>
      </c>
      <c r="GY200" s="59">
        <f t="shared" si="201"/>
        <v>290.79528162772658</v>
      </c>
      <c r="GZ200" s="59">
        <f ca="1">AVERAGE(OFFSET($GY$3,0,0,'Données projet'!$E$18+1,1))-AVERAGE(OFFSET($H$3,0,0,'Données projet'!$E$18+1,1))</f>
        <v>-15.950000000000017</v>
      </c>
      <c r="HA200" s="59">
        <f t="shared" si="213"/>
        <v>-15.950000000000017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10.218079366785162</v>
      </c>
      <c r="HH200" s="21">
        <f>EXP(-LN(2)/25)*HH199+(1-EXP(-LN(2)/25))/(LN(2)/25)*Calculateur!HC200*Calculateur!HE200*VLOOKUP('Données projet'!$B$18,Paramètres!$A$1:$I$89,3,0)*0.475*44/12</f>
        <v>2.2877002092707266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12.505779576055888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4.3499999999999996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15.949999999999998</v>
      </c>
      <c r="H201" s="67">
        <f t="shared" si="192"/>
        <v>192.86666666666667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-9.9316821433603781E-14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433.46721010558042</v>
      </c>
      <c r="T201" s="59">
        <f t="shared" si="204"/>
        <v>306.18862295347509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14.457569167499679</v>
      </c>
      <c r="AA201" s="21">
        <f>EXP(-LN(2)/25)*AA200+(1-EXP(-LN(2)/25))/(LN(2)/25)*Calculateur!V201*Calculateur!X201*VLOOKUP('Données projet'!$B$9,Paramètres!$A$1:$I$89,3,0)*0.475*44/12</f>
        <v>2.7386337880304881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17.196202955530168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290.83931115058539</v>
      </c>
      <c r="AN201" s="59">
        <f ca="1">AVERAGE(OFFSET($AM$3,0,0,'Données projet'!$E$10+1,1))-AVERAGE(OFFSET($H$3,0,0,'Données projet'!$E$10+1,1))</f>
        <v>400.1942260113168</v>
      </c>
      <c r="AO201" s="59">
        <f t="shared" si="205"/>
        <v>497.04866930593926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10.017709062815518</v>
      </c>
      <c r="AV201" s="21">
        <f>EXP(-LN(2)/25)*AV200+(1-EXP(-LN(2)/25))/(LN(2)/25)*Calculateur!AQ201*Calculateur!AS201*VLOOKUP('Données projet'!$B$10,Paramètres!$A$1:$I$89,3,0)*0.475*44/12</f>
        <v>2.2251429267432932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12.242851989558812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284.78505691662588</v>
      </c>
      <c r="BJ201" s="59">
        <f t="shared" si="206"/>
        <v>664.42623058686308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380.64318988568527</v>
      </c>
      <c r="CE201" s="59">
        <f t="shared" si="207"/>
        <v>885.24651320439159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5.7160471497633836</v>
      </c>
      <c r="CL201" s="21">
        <f>EXP(-LN(2)/25)*CL200+(1-EXP(-LN(2)/25))/(LN(2)/25)*Calculateur!CG201*Calculateur!CI201*VLOOKUP('Données projet'!$B$12,Paramètres!$A$1:$I$89,3,0)*0.475*44/12</f>
        <v>0.38869791737355913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6.1047450671369425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-6.3550942286383367E-14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404.10467005188889</v>
      </c>
      <c r="CZ201" s="59">
        <f t="shared" si="208"/>
        <v>372.70490129557845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18.716806972844964</v>
      </c>
      <c r="DG201" s="21">
        <f>EXP(-LN(2)/25)*DG200+(1-EXP(-LN(2)/25))/(LN(2)/25)*Calculateur!DB201*Calculateur!DD201*VLOOKUP('Données projet'!$B$13,Paramètres!$A$1:$I$89,3,0)*0.475*44/12</f>
        <v>3.7461748000201287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22.462981772865092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4.4053649617126212E-13</v>
      </c>
      <c r="DP201" s="17">
        <f>DO201*VLOOKUP('Données projet'!$B$14,Paramètres!$A$1:$I$89,3,0)*VLOOKUP('Données projet'!$B$14,Paramètres!$A$1:$I$89,5,0)</f>
        <v>3.9859742173575796E-13</v>
      </c>
      <c r="DQ201" s="13">
        <f t="shared" si="176"/>
        <v>5.0978181123998779E-12</v>
      </c>
      <c r="DR201" s="20">
        <f t="shared" si="177"/>
        <v>9.5729237219528986E-12</v>
      </c>
      <c r="DS201" s="59">
        <f t="shared" si="197"/>
        <v>290.83931115059295</v>
      </c>
      <c r="DT201" s="59">
        <f ca="1">AVERAGE(OFFSET($DS$3,0,0,'Données projet'!$E$14+1,1))-AVERAGE(OFFSET($H$3,0,0,'Données projet'!$E$14+1,1))</f>
        <v>479.53113328461268</v>
      </c>
      <c r="DU201" s="59">
        <f t="shared" si="209"/>
        <v>244.6360664588118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121.49701827286458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121.49701827286458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2.2737367544323206E-13</v>
      </c>
      <c r="EK201" s="17">
        <f>EJ201*VLOOKUP('Données projet'!$B$15,Paramètres!$A$1:$I$89,3,0)*VLOOKUP('Données projet'!$B$15,Paramètres!$A$1:$I$89,5,0)</f>
        <v>1.0049916454590858E-13</v>
      </c>
      <c r="EL201" s="13">
        <f t="shared" si="179"/>
        <v>1.5089081593838289E-12</v>
      </c>
      <c r="EM201" s="20">
        <f t="shared" si="180"/>
        <v>2.8030510891776262E-12</v>
      </c>
      <c r="EN201" s="59">
        <f t="shared" si="198"/>
        <v>290.83931115058618</v>
      </c>
      <c r="EO201" s="59">
        <f ca="1">AVERAGE(OFFSET($EN$3,0,0,'Données projet'!$E$15+1,1))-AVERAGE(OFFSET($H$3,0,0,'Données projet'!$E$15+1,1))</f>
        <v>339.23049610652492</v>
      </c>
      <c r="EP201" s="59">
        <f t="shared" si="210"/>
        <v>448.85057640789785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10.732679319912865</v>
      </c>
      <c r="EW201" s="21">
        <f>EXP(-LN(2)/25)*EW200+(1-EXP(-LN(2)/25))/(LN(2)/25)*Calculateur!ER201*Calculateur!ET201*VLOOKUP('Données projet'!$B$15,Paramètres!$A$1:$I$89,3,0)*0.475*44/12</f>
        <v>2.558564204353261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13.291243524266125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6.2527760746888816E-13</v>
      </c>
      <c r="FF201" s="17">
        <f>FE201*VLOOKUP('Données projet'!$B$16,Paramètres!$A$1:$I$89,3,0)*VLOOKUP('Données projet'!$B$16,Paramètres!$A$1:$I$89,5,0)</f>
        <v>2.9262992029543964E-13</v>
      </c>
      <c r="FG201" s="13">
        <f t="shared" si="182"/>
        <v>3.8796387982050903E-12</v>
      </c>
      <c r="FH201" s="20">
        <f t="shared" si="183"/>
        <v>7.2667013513884219E-12</v>
      </c>
      <c r="FI201" s="59">
        <f t="shared" si="199"/>
        <v>290.83931115059067</v>
      </c>
      <c r="FJ201" s="59">
        <f ca="1">AVERAGE(OFFSET($FI$3,0,0,'Données projet'!$E$16+1,1))-AVERAGE(OFFSET($H$3,0,0,'Données projet'!$E$16+1,1))</f>
        <v>365.63278362856033</v>
      </c>
      <c r="FK201" s="59">
        <f t="shared" si="211"/>
        <v>290.68267842697452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45.715378863513479</v>
      </c>
      <c r="FR201" s="21">
        <f>EXP(-LN(2)/25)*FR200+(1-EXP(-LN(2)/25))/(LN(2)/25)*Calculateur!FM201*Calculateur!FO201*VLOOKUP('Données projet'!$B$16,Paramètres!$A$1:$I$89,3,0)*0.475*44/12</f>
        <v>10.116635073930295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55.832013937443776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2.2737367544323206E-13</v>
      </c>
      <c r="GA201" s="17">
        <f>FZ201*VLOOKUP('Données projet'!$B$17,Paramètres!$A$1:$I$89,3,0)*VLOOKUP('Données projet'!$B$17,Paramètres!$A$1:$I$89,5,0)</f>
        <v>1.9508661353029313E-13</v>
      </c>
      <c r="GB201" s="13">
        <f t="shared" si="185"/>
        <v>2.711421636700695E-12</v>
      </c>
      <c r="GC201" s="20">
        <f t="shared" si="186"/>
        <v>5.0621685358189711E-12</v>
      </c>
      <c r="GD201" s="59">
        <f t="shared" si="200"/>
        <v>290.83931115058846</v>
      </c>
      <c r="GE201" s="59">
        <f ca="1">AVERAGE(OFFSET($GD$3,0,0,'Données projet'!$E$17+1,1))-AVERAGE(OFFSET($H$3,0,0,'Données projet'!$E$17+1,1))</f>
        <v>460.46300302025099</v>
      </c>
      <c r="GF201" s="59">
        <f t="shared" si="212"/>
        <v>340.22534554615879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55.228789477012235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55.228789477012235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69.319812131977287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1.1368683772161603E-13</v>
      </c>
      <c r="GV201" s="17">
        <f>GU201*VLOOKUP('Données projet'!$B$18,Paramètres!$A$1:$I$89,3,0)*VLOOKUP('Données projet'!$B$18,Paramètres!$A$1:$I$89,5,0)</f>
        <v>6.7984728957526396E-14</v>
      </c>
      <c r="GW201" s="13">
        <f t="shared" si="188"/>
        <v>1.0682447123141398E-12</v>
      </c>
      <c r="GX201" s="20">
        <f t="shared" si="189"/>
        <v>1.978932943548152E-12</v>
      </c>
      <c r="GY201" s="59">
        <f t="shared" si="201"/>
        <v>290.83931115058539</v>
      </c>
      <c r="GZ201" s="59">
        <f ca="1">AVERAGE(OFFSET($GY$3,0,0,'Données projet'!$E$18+1,1))-AVERAGE(OFFSET($H$3,0,0,'Données projet'!$E$18+1,1))</f>
        <v>-15.950000000000017</v>
      </c>
      <c r="HA201" s="59">
        <f t="shared" si="213"/>
        <v>-15.950000000000017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10.017709062815518</v>
      </c>
      <c r="HH201" s="21">
        <f>EXP(-LN(2)/25)*HH200+(1-EXP(-LN(2)/25))/(LN(2)/25)*Calculateur!HC201*Calculateur!HE201*VLOOKUP('Données projet'!$B$18,Paramètres!$A$1:$I$89,3,0)*0.475*44/12</f>
        <v>2.2251429267432932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12.242851989558812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4.3499999999999996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15.949999999999998</v>
      </c>
      <c r="H202" s="67">
        <f t="shared" si="192"/>
        <v>192.86666666666667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-9.9316821433603781E-14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433.46721010558042</v>
      </c>
      <c r="T202" s="59">
        <f t="shared" si="204"/>
        <v>306.18862295347509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14.174065054371473</v>
      </c>
      <c r="AA202" s="21">
        <f>EXP(-LN(2)/25)*AA201+(1-EXP(-LN(2)/25))/(LN(2)/25)*Calculateur!V202*Calculateur!X202*VLOOKUP('Données projet'!$B$9,Paramètres!$A$1:$I$89,3,0)*0.475*44/12</f>
        <v>2.6637457030783027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16.837810757449777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290.88257685965777</v>
      </c>
      <c r="AN202" s="59">
        <f ca="1">AVERAGE(OFFSET($AM$3,0,0,'Données projet'!$E$10+1,1))-AVERAGE(OFFSET($H$3,0,0,'Données projet'!$E$10+1,1))</f>
        <v>400.1942260113168</v>
      </c>
      <c r="AO202" s="59">
        <f t="shared" si="205"/>
        <v>497.04866930593926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9.821267898292902</v>
      </c>
      <c r="AV202" s="21">
        <f>EXP(-LN(2)/25)*AV201+(1-EXP(-LN(2)/25))/(LN(2)/25)*Calculateur!AQ202*Calculateur!AS202*VLOOKUP('Données projet'!$B$10,Paramètres!$A$1:$I$89,3,0)*0.475*44/12</f>
        <v>2.1642962763963167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11.98556417468922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284.78505691662588</v>
      </c>
      <c r="BJ202" s="59">
        <f t="shared" si="206"/>
        <v>664.42623058686308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380.64318988568527</v>
      </c>
      <c r="CE202" s="59">
        <f t="shared" si="207"/>
        <v>885.24651320439159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5.6039589516010269</v>
      </c>
      <c r="CL202" s="21">
        <f>EXP(-LN(2)/25)*CL201+(1-EXP(-LN(2)/25))/(LN(2)/25)*Calculateur!CG202*Calculateur!CI202*VLOOKUP('Données projet'!$B$12,Paramètres!$A$1:$I$89,3,0)*0.475*44/12</f>
        <v>0.37806895238224408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5.9820279039832709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-6.3550942286383367E-14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404.10467005188889</v>
      </c>
      <c r="CZ202" s="59">
        <f t="shared" si="208"/>
        <v>372.70490129557845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18.349781804232478</v>
      </c>
      <c r="DG202" s="21">
        <f>EXP(-LN(2)/25)*DG201+(1-EXP(-LN(2)/25))/(LN(2)/25)*Calculateur!DB202*Calculateur!DD202*VLOOKUP('Données projet'!$B$13,Paramètres!$A$1:$I$89,3,0)*0.475*44/12</f>
        <v>3.6437354531108075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21.993517257343285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4.4053649617126212E-13</v>
      </c>
      <c r="DP202" s="17">
        <f>DO202*VLOOKUP('Données projet'!$B$14,Paramètres!$A$1:$I$89,3,0)*VLOOKUP('Données projet'!$B$14,Paramètres!$A$1:$I$89,5,0)</f>
        <v>3.9859742173575796E-13</v>
      </c>
      <c r="DQ202" s="13">
        <f t="shared" si="176"/>
        <v>5.0978181123998779E-12</v>
      </c>
      <c r="DR202" s="20">
        <f t="shared" si="177"/>
        <v>9.5729237219528986E-12</v>
      </c>
      <c r="DS202" s="59">
        <f t="shared" si="197"/>
        <v>290.88257685966533</v>
      </c>
      <c r="DT202" s="59">
        <f ca="1">AVERAGE(OFFSET($DS$3,0,0,'Données projet'!$E$14+1,1))-AVERAGE(OFFSET($H$3,0,0,'Données projet'!$E$14+1,1))</f>
        <v>479.53113328461268</v>
      </c>
      <c r="DU202" s="59">
        <f t="shared" si="209"/>
        <v>244.6360664588118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119.1145358503975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119.1145358503975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2.2737367544323206E-13</v>
      </c>
      <c r="EK202" s="17">
        <f>EJ202*VLOOKUP('Données projet'!$B$15,Paramètres!$A$1:$I$89,3,0)*VLOOKUP('Données projet'!$B$15,Paramètres!$A$1:$I$89,5,0)</f>
        <v>1.0049916454590858E-13</v>
      </c>
      <c r="EL202" s="13">
        <f t="shared" si="179"/>
        <v>1.5089081593838289E-12</v>
      </c>
      <c r="EM202" s="20">
        <f t="shared" si="180"/>
        <v>2.8030510891776262E-12</v>
      </c>
      <c r="EN202" s="59">
        <f t="shared" si="198"/>
        <v>290.88257685965857</v>
      </c>
      <c r="EO202" s="59">
        <f ca="1">AVERAGE(OFFSET($EN$3,0,0,'Données projet'!$E$15+1,1))-AVERAGE(OFFSET($H$3,0,0,'Données projet'!$E$15+1,1))</f>
        <v>339.23049610652492</v>
      </c>
      <c r="EP202" s="59">
        <f t="shared" si="210"/>
        <v>448.85057640789785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10.522218024737366</v>
      </c>
      <c r="EW202" s="21">
        <f>EXP(-LN(2)/25)*EW201+(1-EXP(-LN(2)/25))/(LN(2)/25)*Calculateur!ER202*Calculateur!ET202*VLOOKUP('Données projet'!$B$15,Paramètres!$A$1:$I$89,3,0)*0.475*44/12</f>
        <v>2.4886001316361774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13.010818156373544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6.2527760746888816E-13</v>
      </c>
      <c r="FF202" s="17">
        <f>FE202*VLOOKUP('Données projet'!$B$16,Paramètres!$A$1:$I$89,3,0)*VLOOKUP('Données projet'!$B$16,Paramètres!$A$1:$I$89,5,0)</f>
        <v>2.9262992029543964E-13</v>
      </c>
      <c r="FG202" s="13">
        <f t="shared" si="182"/>
        <v>3.8796387982050903E-12</v>
      </c>
      <c r="FH202" s="20">
        <f t="shared" si="183"/>
        <v>7.2667013513884219E-12</v>
      </c>
      <c r="FI202" s="59">
        <f t="shared" si="199"/>
        <v>290.88257685966306</v>
      </c>
      <c r="FJ202" s="59">
        <f ca="1">AVERAGE(OFFSET($FI$3,0,0,'Données projet'!$E$16+1,1))-AVERAGE(OFFSET($H$3,0,0,'Données projet'!$E$16+1,1))</f>
        <v>365.63278362856033</v>
      </c>
      <c r="FK202" s="59">
        <f t="shared" si="211"/>
        <v>290.68267842697452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44.81892816762781</v>
      </c>
      <c r="FR202" s="21">
        <f>EXP(-LN(2)/25)*FR201+(1-EXP(-LN(2)/25))/(LN(2)/25)*Calculateur!FM202*Calculateur!FO202*VLOOKUP('Données projet'!$B$16,Paramètres!$A$1:$I$89,3,0)*0.475*44/12</f>
        <v>9.8399951558229546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54.658923323450765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2.2737367544323206E-13</v>
      </c>
      <c r="GA202" s="17">
        <f>FZ202*VLOOKUP('Données projet'!$B$17,Paramètres!$A$1:$I$89,3,0)*VLOOKUP('Données projet'!$B$17,Paramètres!$A$1:$I$89,5,0)</f>
        <v>1.9508661353029313E-13</v>
      </c>
      <c r="GB202" s="13">
        <f t="shared" si="185"/>
        <v>2.711421636700695E-12</v>
      </c>
      <c r="GC202" s="20">
        <f t="shared" si="186"/>
        <v>5.0621685358189711E-12</v>
      </c>
      <c r="GD202" s="59">
        <f t="shared" si="200"/>
        <v>290.88257685966084</v>
      </c>
      <c r="GE202" s="59">
        <f ca="1">AVERAGE(OFFSET($GD$3,0,0,'Données projet'!$E$17+1,1))-AVERAGE(OFFSET($H$3,0,0,'Données projet'!$E$17+1,1))</f>
        <v>460.46300302025099</v>
      </c>
      <c r="GF202" s="59">
        <f t="shared" si="212"/>
        <v>340.22534554615879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54.145786601603369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54.145786601603369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69.331611870815209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1.1368683772161603E-13</v>
      </c>
      <c r="GV202" s="17">
        <f>GU202*VLOOKUP('Données projet'!$B$18,Paramètres!$A$1:$I$89,3,0)*VLOOKUP('Données projet'!$B$18,Paramètres!$A$1:$I$89,5,0)</f>
        <v>6.7984728957526396E-14</v>
      </c>
      <c r="GW202" s="13">
        <f t="shared" si="188"/>
        <v>1.0682447123141398E-12</v>
      </c>
      <c r="GX202" s="20">
        <f t="shared" si="189"/>
        <v>1.978932943548152E-12</v>
      </c>
      <c r="GY202" s="59">
        <f t="shared" si="201"/>
        <v>290.88257685965777</v>
      </c>
      <c r="GZ202" s="59">
        <f ca="1">AVERAGE(OFFSET($GY$3,0,0,'Données projet'!$E$18+1,1))-AVERAGE(OFFSET($H$3,0,0,'Données projet'!$E$18+1,1))</f>
        <v>-15.950000000000017</v>
      </c>
      <c r="HA202" s="59">
        <f t="shared" si="213"/>
        <v>-15.950000000000017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9.821267898292902</v>
      </c>
      <c r="HH202" s="21">
        <f>EXP(-LN(2)/25)*HH201+(1-EXP(-LN(2)/25))/(LN(2)/25)*Calculateur!HC202*Calculateur!HE202*VLOOKUP('Données projet'!$B$18,Paramètres!$A$1:$I$89,3,0)*0.475*44/12</f>
        <v>2.1642962763963167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11.98556417468922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4.3499999999999996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48.25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15.949999999999998</v>
      </c>
      <c r="H203" s="67">
        <f t="shared" si="192"/>
        <v>192.86666666666667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-9.9316821433603781E-14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433.46721010558042</v>
      </c>
      <c r="T203" s="59">
        <f t="shared" si="204"/>
        <v>306.18862295347509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13.896120283981277</v>
      </c>
      <c r="AA203" s="21">
        <f>EXP(-LN(2)/25)*AA202+(1-EXP(-LN(2)/25))/(LN(2)/25)*Calculateur!V203*Calculateur!X203*VLOOKUP('Données projet'!$B$9,Paramètres!$A$1:$I$89,3,0)*0.475*44/12</f>
        <v>2.5909054367473279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16.487025720728607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290.92509200540542</v>
      </c>
      <c r="AN203" s="59">
        <f ca="1">AVERAGE(OFFSET($AM$3,0,0,'Données projet'!$E$10+1,1))-AVERAGE(OFFSET($H$3,0,0,'Données projet'!$E$10+1,1))</f>
        <v>400.1942260113168</v>
      </c>
      <c r="AO203" s="59">
        <f t="shared" si="205"/>
        <v>497.04866930593926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9.6286788251892954</v>
      </c>
      <c r="AV203" s="21">
        <f>EXP(-LN(2)/25)*AV202+(1-EXP(-LN(2)/25))/(LN(2)/25)*Calculateur!AQ203*Calculateur!AS203*VLOOKUP('Données projet'!$B$10,Paramètres!$A$1:$I$89,3,0)*0.475*44/12</f>
        <v>2.1051134809028649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11.733792306092161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284.78505691662588</v>
      </c>
      <c r="BJ203" s="59">
        <f t="shared" si="206"/>
        <v>664.42623058686308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380.64318988568527</v>
      </c>
      <c r="CE203" s="59">
        <f t="shared" si="207"/>
        <v>885.24651320439159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5.4940687346375841</v>
      </c>
      <c r="CL203" s="21">
        <f>EXP(-LN(2)/25)*CL202+(1-EXP(-LN(2)/25))/(LN(2)/25)*Calculateur!CG203*Calculateur!CI203*VLOOKUP('Données projet'!$B$12,Paramètres!$A$1:$I$89,3,0)*0.475*44/12</f>
        <v>0.36773063699756953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5.8617993716351533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-6.3550942286383367E-14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404.10467005188889</v>
      </c>
      <c r="CZ203" s="59">
        <f t="shared" si="208"/>
        <v>372.70490129557845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17.989953775313236</v>
      </c>
      <c r="DG203" s="21">
        <f>EXP(-LN(2)/25)*DG202+(1-EXP(-LN(2)/25))/(LN(2)/25)*Calculateur!DB203*Calculateur!DD203*VLOOKUP('Données projet'!$B$13,Paramètres!$A$1:$I$89,3,0)*0.475*44/12</f>
        <v>3.5440973155297728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21.534051090843008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4.4053649617126212E-13</v>
      </c>
      <c r="DP203" s="17">
        <f>DO203*VLOOKUP('Données projet'!$B$14,Paramètres!$A$1:$I$89,3,0)*VLOOKUP('Données projet'!$B$14,Paramètres!$A$1:$I$89,5,0)</f>
        <v>3.9859742173575796E-13</v>
      </c>
      <c r="DQ203" s="13">
        <f t="shared" si="176"/>
        <v>5.0978181123998779E-12</v>
      </c>
      <c r="DR203" s="20">
        <f t="shared" si="177"/>
        <v>9.5729237219528986E-12</v>
      </c>
      <c r="DS203" s="59">
        <f t="shared" si="197"/>
        <v>290.92509200541298</v>
      </c>
      <c r="DT203" s="59">
        <f ca="1">AVERAGE(OFFSET($DS$3,0,0,'Données projet'!$E$14+1,1))-AVERAGE(OFFSET($H$3,0,0,'Données projet'!$E$14+1,1))</f>
        <v>479.53113328461268</v>
      </c>
      <c r="DU203" s="59">
        <f t="shared" si="209"/>
        <v>244.6360664588118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116.77877245506421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116.77877245506421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2.2737367544323206E-13</v>
      </c>
      <c r="EK203" s="17">
        <f>EJ203*VLOOKUP('Données projet'!$B$15,Paramètres!$A$1:$I$89,3,0)*VLOOKUP('Données projet'!$B$15,Paramètres!$A$1:$I$89,5,0)</f>
        <v>1.0049916454590858E-13</v>
      </c>
      <c r="EL203" s="13">
        <f t="shared" si="179"/>
        <v>1.5089081593838289E-12</v>
      </c>
      <c r="EM203" s="20">
        <f t="shared" si="180"/>
        <v>2.8030510891776262E-12</v>
      </c>
      <c r="EN203" s="59">
        <f t="shared" si="198"/>
        <v>290.92509200540621</v>
      </c>
      <c r="EO203" s="59">
        <f ca="1">AVERAGE(OFFSET($EN$3,0,0,'Données projet'!$E$15+1,1))-AVERAGE(OFFSET($H$3,0,0,'Données projet'!$E$15+1,1))</f>
        <v>339.23049610652492</v>
      </c>
      <c r="EP203" s="59">
        <f t="shared" si="210"/>
        <v>448.85057640789785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10.315883747191545</v>
      </c>
      <c r="EW203" s="21">
        <f>EXP(-LN(2)/25)*EW202+(1-EXP(-LN(2)/25))/(LN(2)/25)*Calculateur!ER203*Calculateur!ET203*VLOOKUP('Données projet'!$B$15,Paramètres!$A$1:$I$89,3,0)*0.475*44/12</f>
        <v>2.420549230166793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12.736432977358339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6.2527760746888816E-13</v>
      </c>
      <c r="FF203" s="17">
        <f>FE203*VLOOKUP('Données projet'!$B$16,Paramètres!$A$1:$I$89,3,0)*VLOOKUP('Données projet'!$B$16,Paramètres!$A$1:$I$89,5,0)</f>
        <v>2.9262992029543964E-13</v>
      </c>
      <c r="FG203" s="13">
        <f t="shared" si="182"/>
        <v>3.8796387982050903E-12</v>
      </c>
      <c r="FH203" s="20">
        <f t="shared" si="183"/>
        <v>7.2667013513884219E-12</v>
      </c>
      <c r="FI203" s="59">
        <f t="shared" si="199"/>
        <v>290.9250920054107</v>
      </c>
      <c r="FJ203" s="59">
        <f ca="1">AVERAGE(OFFSET($FI$3,0,0,'Données projet'!$E$16+1,1))-AVERAGE(OFFSET($H$3,0,0,'Données projet'!$E$16+1,1))</f>
        <v>365.63278362856033</v>
      </c>
      <c r="FK203" s="59">
        <f t="shared" si="211"/>
        <v>290.68267842697452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43.94005632310752</v>
      </c>
      <c r="FR203" s="21">
        <f>EXP(-LN(2)/25)*FR202+(1-EXP(-LN(2)/25))/(LN(2)/25)*Calculateur!FM203*Calculateur!FO203*VLOOKUP('Données projet'!$B$16,Paramètres!$A$1:$I$89,3,0)*0.475*44/12</f>
        <v>9.5709199708241197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53.510976293931641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2.2737367544323206E-13</v>
      </c>
      <c r="GA203" s="17">
        <f>FZ203*VLOOKUP('Données projet'!$B$17,Paramètres!$A$1:$I$89,3,0)*VLOOKUP('Données projet'!$B$17,Paramètres!$A$1:$I$89,5,0)</f>
        <v>1.9508661353029313E-13</v>
      </c>
      <c r="GB203" s="13">
        <f t="shared" si="185"/>
        <v>2.711421636700695E-12</v>
      </c>
      <c r="GC203" s="20">
        <f t="shared" si="186"/>
        <v>5.0621685358189711E-12</v>
      </c>
      <c r="GD203" s="59">
        <f t="shared" si="200"/>
        <v>290.92509200540849</v>
      </c>
      <c r="GE203" s="59">
        <f ca="1">AVERAGE(OFFSET($GD$3,0,0,'Données projet'!$E$17+1,1))-AVERAGE(OFFSET($H$3,0,0,'Données projet'!$E$17+1,1))</f>
        <v>460.46300302025099</v>
      </c>
      <c r="GF203" s="59">
        <f t="shared" si="212"/>
        <v>340.22534554615879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53.084020752014737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53.084020752014737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69.343206910564575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1.1368683772161603E-13</v>
      </c>
      <c r="GV203" s="17">
        <f>GU203*VLOOKUP('Données projet'!$B$18,Paramètres!$A$1:$I$89,3,0)*VLOOKUP('Données projet'!$B$18,Paramètres!$A$1:$I$89,5,0)</f>
        <v>6.7984728957526396E-14</v>
      </c>
      <c r="GW203" s="13">
        <f t="shared" si="188"/>
        <v>1.0682447123141398E-12</v>
      </c>
      <c r="GX203" s="20">
        <f t="shared" si="189"/>
        <v>1.978932943548152E-12</v>
      </c>
      <c r="GY203" s="59">
        <f t="shared" si="201"/>
        <v>290.92509200540542</v>
      </c>
      <c r="GZ203" s="59">
        <f ca="1">AVERAGE(OFFSET($GY$3,0,0,'Données projet'!$E$18+1,1))-AVERAGE(OFFSET($H$3,0,0,'Données projet'!$E$18+1,1))</f>
        <v>-15.950000000000017</v>
      </c>
      <c r="HA203" s="59">
        <f t="shared" si="213"/>
        <v>-15.950000000000017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9.6286788251892954</v>
      </c>
      <c r="HH203" s="21">
        <f>EXP(-LN(2)/25)*HH202+(1-EXP(-LN(2)/25))/(LN(2)/25)*Calculateur!HC203*Calculateur!HE203*VLOOKUP('Données projet'!$B$18,Paramètres!$A$1:$I$89,3,0)*0.475*44/12</f>
        <v>2.1051134809028649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11.733792306092161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1.187581975428267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1.3920038484156163</v>
      </c>
      <c r="BA205" s="82">
        <f>EXP(LN('Données projet'!B88)/'Données projet'!A88)</f>
        <v>1.6206565966927624</v>
      </c>
      <c r="BV205" s="82">
        <f>EXP(LN('Données projet'!B114)/'Données projet'!A114)</f>
        <v>1.6206565966927624</v>
      </c>
      <c r="CQ205" s="82">
        <f>EXP(LN('Données projet'!B140)/'Données projet'!A140)</f>
        <v>1.2854795418236975</v>
      </c>
      <c r="DL205" s="82">
        <f>EXP(LN('Données projet'!B166)/'Données projet'!A166)</f>
        <v>1.0914426206377448</v>
      </c>
      <c r="EG205" s="82">
        <f>EXP(LN('Données projet'!B192)/'Données projet'!A192)</f>
        <v>1.3431115227802051</v>
      </c>
      <c r="FB205" s="82">
        <f>EXP(LN('Données projet'!B218)/'Données projet'!A218)</f>
        <v>1.1241384564293442</v>
      </c>
      <c r="FW205" s="82">
        <f>EXP(LN('Données projet'!B244)/'Données projet'!A244)</f>
        <v>1.1045355735782725</v>
      </c>
      <c r="GR205" s="82">
        <f>EXP(LN('Données projet'!B270)/'Données projet'!A270)</f>
        <v>1.3920038484156163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78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79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78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0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0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79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78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79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2" t="s">
        <v>191</v>
      </c>
      <c r="C2" s="283"/>
      <c r="D2" s="283"/>
      <c r="E2" s="283"/>
      <c r="F2" s="283"/>
      <c r="G2" s="28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1"/>
      <c r="C4" s="281"/>
      <c r="D4" s="281"/>
      <c r="E4" s="281"/>
      <c r="F4" s="281"/>
      <c r="G4" s="28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0.87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0.13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A9" sqref="A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2" t="s">
        <v>271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rouge d'Amérique</v>
      </c>
      <c r="B6" s="146">
        <f>'Données projet'!D9</f>
        <v>1.139715</v>
      </c>
      <c r="C6" s="147">
        <f ca="1">IF(OR('Données projet'!B9="",'Données projet'!C9="",'Données projet'!C9=0%),0,Calculateur!S3)</f>
        <v>433.46721010558042</v>
      </c>
      <c r="D6" s="147">
        <f>IF(OR('Données projet'!B9="",'Données projet'!C9="",'Données projet'!C9=0%),0,Calculateur!T3)</f>
        <v>306.18862295347509</v>
      </c>
      <c r="E6" s="147">
        <f ca="1">MIN(C6,D6)</f>
        <v>306.18862295347509</v>
      </c>
      <c r="F6" s="147">
        <f ca="1">E6*B6</f>
        <v>348.96776640941988</v>
      </c>
      <c r="G6" s="147">
        <f ca="1">F6*(100%-'Données projet'!$C$24)*(100%-'Données projet'!$C$25)*(100%-'Données projet'!$C$26)*(100%-'Données projet'!$C$27)</f>
        <v>314.07098976847789</v>
      </c>
      <c r="H6" s="148">
        <f>IF(OR('Données projet'!B9="",'Données projet'!C9="",'Données projet'!C9=0%),0,AVERAGE(Calculateur!$AC$3:$AC$33)*B6)</f>
        <v>0.39748103114831751</v>
      </c>
      <c r="I6" s="149">
        <f>H6*(100%-'Données projet'!$C$24)*(100%-'Données projet'!$C$25)*(100%-'Données projet'!$C$26)*(100%-'Données projet'!$C$27)</f>
        <v>0.35773292803348578</v>
      </c>
      <c r="J6" s="150">
        <f>IF(OR('Données projet'!B9="",'Données projet'!C9="",'Données projet'!C9=0%),0,SUM(Calculateur!$V$3:$V$33)*VLOOKUP('Données projet'!$B$9,Paramètres!$A$1:$I$89,9,0)*B6)</f>
        <v>7.5506118750000004</v>
      </c>
      <c r="K6" s="151">
        <f>J6*(100%-'Données projet'!$C$24)*(100%-'Données projet'!$C$25)*(100%-'Données projet'!$C$26)*(100%-'Données projet'!$C$27)</f>
        <v>6.7955506875000005</v>
      </c>
      <c r="L6" s="152">
        <f ca="1">G6+I6+K6</f>
        <v>321.22427338401138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0.57015199999999999</v>
      </c>
      <c r="C7" s="147">
        <f ca="1">IF(OR('Données projet'!B10="",'Données projet'!C10="",'Données projet'!C10=0%),0,Calculateur!AN3)</f>
        <v>400.1942260113168</v>
      </c>
      <c r="D7" s="147">
        <f>IF(OR('Données projet'!B10="",'Données projet'!C10="",'Données projet'!C10=0%),0,Calculateur!AO3)</f>
        <v>497.04866930593926</v>
      </c>
      <c r="E7" s="147">
        <f t="shared" ref="E7:E15" ca="1" si="0">MIN(C7,D7)</f>
        <v>400.1942260113168</v>
      </c>
      <c r="F7" s="147">
        <f t="shared" ref="F7:F15" ca="1" si="1">E7*B7</f>
        <v>228.17153834880429</v>
      </c>
      <c r="G7" s="147">
        <f ca="1">F7*(100%-'Données projet'!$C$24)*(100%-'Données projet'!$C$25)*(100%-'Données projet'!$C$26)*(100%-'Données projet'!$C$27)</f>
        <v>205.35438451392386</v>
      </c>
      <c r="H7" s="155">
        <f>IF(OR('Données projet'!B10="",'Données projet'!C10="",'Données projet'!C10=0%),0,AVERAGE(Calculateur!$AX$3:$AX$33)*B7)</f>
        <v>8.9674884266014452</v>
      </c>
      <c r="I7" s="149">
        <f>H7*(100%-'Données projet'!$C$24)*(100%-'Données projet'!$C$25)*(100%-'Données projet'!$C$26)*(100%-'Données projet'!$C$27)</f>
        <v>8.0707395839413003</v>
      </c>
      <c r="J7" s="150">
        <f>IF(OR('Données projet'!B10="",'Données projet'!C10="",'Données projet'!C10=0%),0,SUM(Calculateur!$AQ$3:$AQ$33)*VLOOKUP('Données projet'!$B$10,Paramètres!$A$1:$I$89,9,0)*B7)</f>
        <v>39.432396502399996</v>
      </c>
      <c r="K7" s="151">
        <f>J7*(100%-'Données projet'!$C$24)*(100%-'Données projet'!$C$25)*(100%-'Données projet'!$C$26)*(100%-'Données projet'!$C$27)</f>
        <v>35.489156852160001</v>
      </c>
      <c r="L7" s="152">
        <f t="shared" ref="L7:L15" ca="1" si="2">G7+I7+K7</f>
        <v>248.91428095002516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Tulipier de Virginie</v>
      </c>
      <c r="B8" s="154">
        <f>'Données projet'!D11</f>
        <v>0.77983599999999986</v>
      </c>
      <c r="C8" s="147">
        <f ca="1">IF(OR('Données projet'!B11="",'Données projet'!C11="",'Données projet'!C11=0%),0,Calculateur!BI3)</f>
        <v>284.78505691662588</v>
      </c>
      <c r="D8" s="147">
        <f>IF(OR('Données projet'!B11="",'Données projet'!C11="",'Données projet'!C11=0%),0,Calculateur!BJ3)</f>
        <v>664.42623058686308</v>
      </c>
      <c r="E8" s="147">
        <f t="shared" ca="1" si="0"/>
        <v>284.78505691662588</v>
      </c>
      <c r="F8" s="147">
        <f t="shared" ca="1" si="1"/>
        <v>222.08563964563382</v>
      </c>
      <c r="G8" s="147">
        <f ca="1">F8*(100%-'Données projet'!$C$24)*(100%-'Données projet'!$C$25)*(100%-'Données projet'!$C$26)*(100%-'Données projet'!$C$27)</f>
        <v>199.87707568107044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87.536590999999987</v>
      </c>
      <c r="K8" s="151">
        <f>J8*(100%-'Données projet'!$C$24)*(100%-'Données projet'!$C$25)*(100%-'Données projet'!$C$26)*(100%-'Données projet'!$C$27)</f>
        <v>78.782931899999994</v>
      </c>
      <c r="L8" s="152">
        <f t="shared" ca="1" si="2"/>
        <v>278.66000758107043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Eucalyptus</v>
      </c>
      <c r="B9" s="154">
        <f>'Données projet'!D12</f>
        <v>2.4596640000000001</v>
      </c>
      <c r="C9" s="147">
        <f ca="1">IF(OR('Données projet'!B12="",'Données projet'!C12="",'Données projet'!C12=0%),0,Calculateur!CD3)</f>
        <v>380.64318988568527</v>
      </c>
      <c r="D9" s="147">
        <f>IF(OR('Données projet'!B12="",'Données projet'!C12="",'Données projet'!C12=0%),0,Calculateur!CE3)</f>
        <v>885.24651320439159</v>
      </c>
      <c r="E9" s="147">
        <f t="shared" ca="1" si="0"/>
        <v>380.64318988568527</v>
      </c>
      <c r="F9" s="147">
        <f t="shared" ca="1" si="1"/>
        <v>936.25435100698417</v>
      </c>
      <c r="G9" s="147">
        <f ca="1">F9*(100%-'Données projet'!$C$24)*(100%-'Données projet'!$C$25)*(100%-'Données projet'!$C$26)*(100%-'Données projet'!$C$27)</f>
        <v>842.62891590628578</v>
      </c>
      <c r="H9" s="155">
        <f>IF(OR('Données projet'!B12="",'Données projet'!C12="",'Données projet'!C12=0%),0,AVERAGE(Calculateur!$CN$3:$CN$33)*B9)</f>
        <v>82.946286018047743</v>
      </c>
      <c r="I9" s="149">
        <f>H9*(100%-'Données projet'!$C$24)*(100%-'Données projet'!$C$25)*(100%-'Données projet'!$C$26)*(100%-'Données projet'!$C$27)</f>
        <v>74.651657416242969</v>
      </c>
      <c r="J9" s="150">
        <f>IF(OR('Données projet'!B12="",'Données projet'!C12="",'Données projet'!C12=0%),0,SUM(Calculateur!$CG$3:$CG$33)*VLOOKUP('Données projet'!$B$12,Paramètres!$A$1:$I$89,9,0)*B9)</f>
        <v>276.097284</v>
      </c>
      <c r="K9" s="151">
        <f>J9*(100%-'Données projet'!$C$24)*(100%-'Données projet'!$C$25)*(100%-'Données projet'!$C$26)*(100%-'Données projet'!$C$27)</f>
        <v>248.48755560000001</v>
      </c>
      <c r="L9" s="152">
        <f t="shared" ca="1" si="2"/>
        <v>1165.7681289225288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Douglas</v>
      </c>
      <c r="B10" s="154">
        <f>'Données projet'!D13</f>
        <v>0.15608499999999997</v>
      </c>
      <c r="C10" s="147">
        <f ca="1">IF(OR('Données projet'!B13="",'Données projet'!C13="",'Données projet'!C13=0%),0,Calculateur!CY3)</f>
        <v>404.10467005188889</v>
      </c>
      <c r="D10" s="147">
        <f>IF(OR('Données projet'!B13="",'Données projet'!C13="",'Données projet'!C13=0%),0,Calculateur!CZ3)</f>
        <v>372.70490129557845</v>
      </c>
      <c r="E10" s="147">
        <f t="shared" ca="1" si="0"/>
        <v>372.70490129557845</v>
      </c>
      <c r="F10" s="147">
        <f t="shared" ca="1" si="1"/>
        <v>58.173644518720351</v>
      </c>
      <c r="G10" s="147">
        <f ca="1">F10*(100%-'Données projet'!$C$24)*(100%-'Données projet'!$C$25)*(100%-'Données projet'!$C$26)*(100%-'Données projet'!$C$27)</f>
        <v>52.356280066848321</v>
      </c>
      <c r="H10" s="155">
        <f>IF(OR('Données projet'!B13="",'Données projet'!C13="",'Données projet'!C13=0%),0,AVERAGE(Calculateur!$DI$3:$DI$33)*B10)</f>
        <v>1.4210238461454521</v>
      </c>
      <c r="I10" s="149">
        <f>H10*(100%-'Données projet'!$C$24)*(100%-'Données projet'!$C$25)*(100%-'Données projet'!$C$26)*(100%-'Données projet'!$C$27)</f>
        <v>1.2789214615309068</v>
      </c>
      <c r="J10" s="150">
        <f>IF(OR('Données projet'!B13="",'Données projet'!C13="",'Données projet'!C13=0%),0,SUM(Calculateur!$DB$3:$DB$33)*VLOOKUP('Données projet'!$B$13,Paramètres!$A$1:$I$89,9,0)*B10)</f>
        <v>8.872136744499997</v>
      </c>
      <c r="K10" s="151">
        <f>J10*(100%-'Données projet'!$C$24)*(100%-'Données projet'!$C$25)*(100%-'Données projet'!$C$26)*(100%-'Données projet'!$C$27)</f>
        <v>7.9849230700499971</v>
      </c>
      <c r="L10" s="152">
        <f t="shared" ca="1" si="2"/>
        <v>61.620124598429221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 sessile</v>
      </c>
      <c r="B11" s="154">
        <f>'Données projet'!D14</f>
        <v>0.15608499999999997</v>
      </c>
      <c r="C11" s="147">
        <f ca="1">IF(OR('Données projet'!B14="",'Données projet'!C14="",'Données projet'!C14=0%),0,Calculateur!DT3)</f>
        <v>479.53113328461268</v>
      </c>
      <c r="D11" s="147">
        <f>IF(OR('Données projet'!B14="",'Données projet'!C14="",'Données projet'!C14=0%),0,Calculateur!DU3)</f>
        <v>244.6360664588118</v>
      </c>
      <c r="E11" s="147">
        <f t="shared" ca="1" si="0"/>
        <v>244.6360664588118</v>
      </c>
      <c r="F11" s="147">
        <f t="shared" ca="1" si="1"/>
        <v>38.18402043322363</v>
      </c>
      <c r="G11" s="147">
        <f ca="1">F11*(100%-'Données projet'!$C$24)*(100%-'Données projet'!$C$25)*(100%-'Données projet'!$C$26)*(100%-'Données projet'!$C$27)</f>
        <v>34.365618389901265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34.365618389901265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Séquoia toujours vert</v>
      </c>
      <c r="B12" s="154">
        <f>'Données projet'!D15</f>
        <v>0.15608499999999997</v>
      </c>
      <c r="C12" s="147">
        <f ca="1">IF(OR('Données projet'!B15="",'Données projet'!C15="",'Données projet'!C15=0%),0,Calculateur!EO3)</f>
        <v>339.23049610652492</v>
      </c>
      <c r="D12" s="147">
        <f>IF(OR('Données projet'!B15="",'Données projet'!C15="",'Données projet'!C15=0%),0,Calculateur!EP3)</f>
        <v>448.85057640789785</v>
      </c>
      <c r="E12" s="147">
        <f t="shared" ca="1" si="0"/>
        <v>339.23049610652492</v>
      </c>
      <c r="F12" s="147">
        <f t="shared" ca="1" si="1"/>
        <v>52.948791984786936</v>
      </c>
      <c r="G12" s="147">
        <f ca="1">F12*(100%-'Données projet'!$C$24)*(100%-'Données projet'!$C$25)*(100%-'Données projet'!$C$26)*(100%-'Données projet'!$C$27)</f>
        <v>47.653912786308247</v>
      </c>
      <c r="H12" s="155">
        <f>IF(OR('Données projet'!B15="",'Données projet'!C15="",'Données projet'!C15=0%),0,AVERAGE(Calculateur!$EY$3:$EY$33)*B12)</f>
        <v>2.0063540479836934</v>
      </c>
      <c r="I12" s="149">
        <f>H12*(100%-'Données projet'!$C$24)*(100%-'Données projet'!$C$25)*(100%-'Données projet'!$C$26)*(100%-'Données projet'!$C$27)</f>
        <v>1.805718643185324</v>
      </c>
      <c r="J12" s="150">
        <f>IF(OR('Données projet'!B15="",'Données projet'!C15="",'Données projet'!C15=0%),0,SUM(Calculateur!$ER$3:$ER$33)*VLOOKUP('Données projet'!$B$15,Paramètres!$A$1:$I$89,9,0)*B12)</f>
        <v>13.905206828999997</v>
      </c>
      <c r="K12" s="151">
        <f>J12*(100%-'Données projet'!$C$24)*(100%-'Données projet'!$C$25)*(100%-'Données projet'!$C$26)*(100%-'Données projet'!$C$27)</f>
        <v>12.514686146099997</v>
      </c>
      <c r="L12" s="152">
        <f t="shared" ca="1" si="2"/>
        <v>61.974317575593567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Cèdre de l'Atlas</v>
      </c>
      <c r="B13" s="154">
        <f>'Données projet'!D16</f>
        <v>0.15608499999999997</v>
      </c>
      <c r="C13" s="147">
        <f ca="1">IF(OR('Données projet'!B16="",'Données projet'!C16="",'Données projet'!C16=0%),0,Calculateur!FJ3)</f>
        <v>365.63278362856033</v>
      </c>
      <c r="D13" s="147">
        <f>IF(OR('Données projet'!B16="",'Données projet'!C16="",'Données projet'!C16=0%),0,Calculateur!FK3)</f>
        <v>290.68267842697452</v>
      </c>
      <c r="E13" s="147">
        <f t="shared" ca="1" si="0"/>
        <v>290.68267842697452</v>
      </c>
      <c r="F13" s="147">
        <f t="shared" ca="1" si="1"/>
        <v>45.371205862274309</v>
      </c>
      <c r="G13" s="147">
        <f ca="1">F13*(100%-'Données projet'!$C$24)*(100%-'Données projet'!$C$25)*(100%-'Données projet'!$C$26)*(100%-'Données projet'!$C$27)</f>
        <v>40.834085276046878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40.834085276046878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Hêtre</v>
      </c>
      <c r="B14" s="154">
        <f>'Données projet'!D17</f>
        <v>0.15608499999999997</v>
      </c>
      <c r="C14" s="147">
        <f ca="1">IF(OR('Données projet'!B17="",'Données projet'!C17="",'Données projet'!C17=0%),0,Calculateur!GE3)</f>
        <v>460.46300302025099</v>
      </c>
      <c r="D14" s="147">
        <f>IF(OR('Données projet'!B17="",'Données projet'!C17="",'Données projet'!C17=0%),0,Calculateur!GF3)</f>
        <v>340.22534554615879</v>
      </c>
      <c r="E14" s="147">
        <f t="shared" ca="1" si="0"/>
        <v>340.22534554615879</v>
      </c>
      <c r="F14" s="147">
        <f t="shared" ca="1" si="1"/>
        <v>53.104073059572187</v>
      </c>
      <c r="G14" s="147">
        <f ca="1">F14*(100%-'Données projet'!$C$24)*(100%-'Données projet'!$C$25)*(100%-'Données projet'!$C$26)*(100%-'Données projet'!$C$27)</f>
        <v>47.793665753614967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47.793665753614967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Pin maritime</v>
      </c>
      <c r="B15" s="157">
        <f>'Données projet'!D18</f>
        <v>0.15608499999999997</v>
      </c>
      <c r="C15" s="158">
        <f ca="1">IF(OR('Données projet'!B18="",'Données projet'!C18="",'Données projet'!C18=0%),0,Calculateur!GZ3)</f>
        <v>-15.950000000000017</v>
      </c>
      <c r="D15" s="158">
        <f>IF(OR('Données projet'!B18="",'Données projet'!C18="",'Données projet'!C18=0%),0,Calculateur!HA3)</f>
        <v>-15.950000000000017</v>
      </c>
      <c r="E15" s="158">
        <f t="shared" ca="1" si="0"/>
        <v>-15.950000000000017</v>
      </c>
      <c r="F15" s="159">
        <f t="shared" ca="1" si="1"/>
        <v>-2.4895557500000023</v>
      </c>
      <c r="G15" s="159">
        <f ca="1">F15*(100%-'Données projet'!$C$24)*(100%-'Données projet'!$C$25)*(100%-'Données projet'!$C$26)*(100%-'Données projet'!$C$27)</f>
        <v>-2.2406001750000022</v>
      </c>
      <c r="H15" s="160">
        <f>IF(OR('Données projet'!B18="",'Données projet'!C18="",'Données projet'!C18=0%),0,AVERAGE(Calculateur!$HJ$3:$HJ$33)*B15)</f>
        <v>2.4549425961253952</v>
      </c>
      <c r="I15" s="161">
        <f>H15*(100%-'Données projet'!$C$24)*(100%-'Données projet'!$C$25)*(100%-'Données projet'!$C$26)*(100%-'Données projet'!$C$27)</f>
        <v>2.2094483365128559</v>
      </c>
      <c r="J15" s="162">
        <f>IF(OR('Données projet'!B18="",'Données projet'!C18="",'Données projet'!C18=0%),0,SUM(Calculateur!$HC$3:$HC$33)*VLOOKUP('Données projet'!$B$18,Paramètres!$A$1:$I$89,9,0)*B15)</f>
        <v>14.811779725999997</v>
      </c>
      <c r="K15" s="163">
        <f>J15*(100%-'Données projet'!$C$24)*(100%-'Données projet'!$C$25)*(100%-'Données projet'!$C$26)*(100%-'Données projet'!$C$27)</f>
        <v>13.330601753399998</v>
      </c>
      <c r="L15" s="164">
        <f t="shared" ca="1" si="2"/>
        <v>13.299449914912852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1980.7714755194195</v>
      </c>
      <c r="G16" s="166">
        <f t="shared" ca="1" si="3"/>
        <v>1782.6943279674774</v>
      </c>
      <c r="H16" s="167">
        <f t="shared" si="3"/>
        <v>98.193575966052038</v>
      </c>
      <c r="I16" s="167">
        <f t="shared" si="3"/>
        <v>88.374218369446851</v>
      </c>
      <c r="J16" s="168">
        <f t="shared" si="3"/>
        <v>448.20600667689996</v>
      </c>
      <c r="K16" s="168">
        <f t="shared" si="3"/>
        <v>403.38540600921004</v>
      </c>
      <c r="L16" s="169">
        <f t="shared" ca="1" si="3"/>
        <v>2274.4539523461344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81"/>
      <c r="G18" s="281"/>
      <c r="H18" s="281"/>
      <c r="I18" s="281"/>
      <c r="J18" s="281"/>
      <c r="K18" s="281"/>
      <c r="L18" s="28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Tulipier de Virginie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Eucalyptus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Douglas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 sessile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Séquoia toujours vert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Cèdre de l'Atlas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Hêtre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Pin maritime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2" zoomScale="80" zoomScaleNormal="80" workbookViewId="0">
      <selection activeCell="I79" sqref="I20:I7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2" t="s">
        <v>272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-364.38886086804678</v>
      </c>
      <c r="U10" s="178">
        <f>'Données projet'!D9</f>
        <v>1.139715</v>
      </c>
      <c r="V10" s="177">
        <f>U10*T10</f>
        <v>-415.29945056422594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2041.5223471609311</v>
      </c>
      <c r="U11" s="178">
        <f>'Données projet'!D10</f>
        <v>0.57015199999999999</v>
      </c>
      <c r="V11" s="177">
        <f t="shared" ref="V11" si="0">U11*T11</f>
        <v>1163.9780492784992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Tulipier de Virginie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-538.19851193882926</v>
      </c>
      <c r="U12" s="178">
        <f>'Données projet'!D11</f>
        <v>0.77983599999999986</v>
      </c>
      <c r="V12" s="177">
        <f t="shared" ref="V12:V19" si="1">U12*T12</f>
        <v>-419.70657475632879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Eucalyptus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-2370</v>
      </c>
      <c r="U13" s="178">
        <f>'Données projet'!D12</f>
        <v>2.4596640000000001</v>
      </c>
      <c r="V13" s="177">
        <f t="shared" si="1"/>
        <v>-5829.4036800000003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Douglas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2305.9690747984091</v>
      </c>
      <c r="U14" s="178">
        <f>'Données projet'!D13</f>
        <v>0.15608499999999997</v>
      </c>
      <c r="V14" s="177">
        <f t="shared" si="1"/>
        <v>359.92718303990961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sessile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-6276.8514083937243</v>
      </c>
      <c r="U15" s="178">
        <f>'Données projet'!D14</f>
        <v>0.15608499999999997</v>
      </c>
      <c r="V15" s="177">
        <f t="shared" si="1"/>
        <v>-979.72235207913434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>Séquoia toujours vert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7.6526288254863175</v>
      </c>
      <c r="U16" s="178">
        <f>'Données projet'!D15</f>
        <v>0.15608499999999997</v>
      </c>
      <c r="V16" s="177">
        <f t="shared" si="1"/>
        <v>1.1944605702260316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1500*(0.98)</f>
        <v>1470</v>
      </c>
      <c r="F17" s="230"/>
      <c r="G17" s="304"/>
      <c r="I17" s="1" t="s">
        <v>326</v>
      </c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Cèdre de l'Atlas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-807.70315643025037</v>
      </c>
      <c r="U17" s="178">
        <f>'Données projet'!D16</f>
        <v>0.15608499999999997</v>
      </c>
      <c r="V17" s="177">
        <f t="shared" si="1"/>
        <v>-126.07034717141561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I18" s="1" t="s">
        <v>325</v>
      </c>
      <c r="J18" s="202"/>
      <c r="K18" s="208"/>
      <c r="L18" s="261" t="s">
        <v>255</v>
      </c>
      <c r="M18" s="263"/>
      <c r="N18" s="192">
        <v>5</v>
      </c>
      <c r="O18" s="23"/>
      <c r="P18" s="23"/>
      <c r="Q18" s="234"/>
      <c r="R18" s="23"/>
      <c r="S18" s="36" t="str">
        <f>B262</f>
        <v>Hêtre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-4663.3115282584431</v>
      </c>
      <c r="U18" s="178">
        <f>'Données projet'!D17</f>
        <v>0.15608499999999997</v>
      </c>
      <c r="V18" s="177">
        <f t="shared" si="1"/>
        <v>-727.87297988821899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0.15*1500*(0.98)</f>
        <v>220.5</v>
      </c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>Pin maritime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1756.0451144968436</v>
      </c>
      <c r="U19" s="178">
        <f>'Données projet'!D18</f>
        <v>0.15608499999999997</v>
      </c>
      <c r="V19" s="177">
        <f t="shared" si="1"/>
        <v>274.09230169623976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1</v>
      </c>
      <c r="I20" s="191">
        <f>(1624.5+2952+1524+2625+749.7+2576+390+2625+4275+260+444.6+1190+400+825.5+600+460.79+1540+800+0.08*(13498.41+29897.45))/'Données projet'!C5+60</f>
        <v>5040.2646519524624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20+650+675</f>
        <v>1345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20+650</f>
        <v>670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29</v>
      </c>
      <c r="B23" s="181">
        <f>'Données projet'!D36</f>
        <v>26.5</v>
      </c>
      <c r="C23" s="193">
        <v>5</v>
      </c>
      <c r="D23" s="182">
        <f>B23*C23</f>
        <v>132.5</v>
      </c>
      <c r="E23" s="193"/>
      <c r="F23" s="230"/>
      <c r="H23" s="190">
        <v>4</v>
      </c>
      <c r="I23" s="191">
        <v>20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-47678.690961538501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34</v>
      </c>
      <c r="B24" s="181">
        <f>'Données projet'!D37</f>
        <v>23.1</v>
      </c>
      <c r="C24" s="193">
        <v>32</v>
      </c>
      <c r="D24" s="182">
        <f t="shared" ref="D24:D42" si="2">B24*C24</f>
        <v>739.2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42</v>
      </c>
      <c r="B25" s="181">
        <f>'Données projet'!D38</f>
        <v>47.2</v>
      </c>
      <c r="C25" s="193">
        <v>32</v>
      </c>
      <c r="D25" s="182">
        <f t="shared" si="2"/>
        <v>1510.4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0">
        <f ca="1">T23-T24</f>
        <v>-47678.690961538501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79.7</v>
      </c>
      <c r="C26" s="193">
        <v>32</v>
      </c>
      <c r="D26" s="182">
        <f t="shared" si="2"/>
        <v>2550.4</v>
      </c>
      <c r="E26" s="193"/>
      <c r="F26" s="233"/>
      <c r="G26" s="229"/>
      <c r="H26" s="190">
        <v>7</v>
      </c>
      <c r="I26" s="191">
        <v>20</v>
      </c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62</v>
      </c>
      <c r="B27" s="181">
        <f>'Données projet'!D40</f>
        <v>15.5</v>
      </c>
      <c r="C27" s="193">
        <v>32</v>
      </c>
      <c r="D27" s="182">
        <f t="shared" si="2"/>
        <v>496</v>
      </c>
      <c r="E27" s="193"/>
      <c r="F27" s="233"/>
      <c r="G27" s="229"/>
      <c r="H27" s="190">
        <v>8</v>
      </c>
      <c r="I27" s="191">
        <v>20</v>
      </c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78</v>
      </c>
      <c r="B28" s="181">
        <f>'Données projet'!D41</f>
        <v>534.9</v>
      </c>
      <c r="C28" s="193">
        <v>32</v>
      </c>
      <c r="D28" s="182">
        <f t="shared" si="2"/>
        <v>17116.8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1500*(0.27)</f>
        <v>405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1500*(0.27)*0.15</f>
        <v>60.75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50.01</v>
      </c>
      <c r="C54" s="191">
        <v>5</v>
      </c>
      <c r="D54" s="179">
        <f>B54*C54</f>
        <v>250.04999999999998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54.89</v>
      </c>
      <c r="C55" s="191">
        <v>8.5</v>
      </c>
      <c r="D55" s="179">
        <f t="shared" ref="D55:D73" si="4">B55*C55</f>
        <v>466.565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26</v>
      </c>
      <c r="B56" s="181">
        <f>'Données projet'!D64</f>
        <v>55.94</v>
      </c>
      <c r="C56" s="191">
        <v>8.5</v>
      </c>
      <c r="D56" s="179">
        <f t="shared" si="4"/>
        <v>475.49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32</v>
      </c>
      <c r="B57" s="181">
        <f>'Données projet'!D65</f>
        <v>79.400000000000006</v>
      </c>
      <c r="C57" s="191">
        <v>15.5</v>
      </c>
      <c r="D57" s="179">
        <f t="shared" si="4"/>
        <v>1230.7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116.49</v>
      </c>
      <c r="C58" s="191">
        <v>15.5</v>
      </c>
      <c r="D58" s="179">
        <f t="shared" si="4"/>
        <v>1805.595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48</v>
      </c>
      <c r="B59" s="181">
        <f>'Données projet'!D67</f>
        <v>106.15</v>
      </c>
      <c r="C59" s="191">
        <v>15.5</v>
      </c>
      <c r="D59" s="179">
        <f t="shared" si="4"/>
        <v>1645.325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56</v>
      </c>
      <c r="B60" s="181">
        <f>'Données projet'!D68</f>
        <v>562.74</v>
      </c>
      <c r="C60" s="191">
        <v>29.5</v>
      </c>
      <c r="D60" s="179">
        <f t="shared" si="4"/>
        <v>16600.830000000002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 t="str">
        <f>IF(O59+1&lt;=MIN('Données projet'!$E$9:$E$18),O59+1,"STOP")</f>
        <v>STOP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Tulipier de Virginie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280*(1.69)</f>
        <v>473.2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280*(1.69)*0.15</f>
        <v>70.97999999999999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>
        <v>38.75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22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24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26</v>
      </c>
      <c r="B90" s="181">
        <f>'Données projet'!D93</f>
        <v>449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Eucalyptus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1500*(1.58)</f>
        <v>2370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1500*(1.58)*0.15</f>
        <v>355.5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10</v>
      </c>
      <c r="B116" s="181">
        <f>'Données projet'!D114</f>
        <v>0</v>
      </c>
      <c r="C116" s="191">
        <v>38.75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15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22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24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26</v>
      </c>
      <c r="B121" s="181">
        <f>'Données projet'!D119</f>
        <v>449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Douglas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1600*0.76</f>
        <v>1216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0.15*E141</f>
        <v>182.4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21</v>
      </c>
      <c r="B147" s="175">
        <f>'Données projet'!D140</f>
        <v>64.58</v>
      </c>
      <c r="C147" s="191">
        <v>11</v>
      </c>
      <c r="D147" s="182">
        <f>B147*C147</f>
        <v>710.38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28</v>
      </c>
      <c r="B148" s="175">
        <f>'Données projet'!D141</f>
        <v>67.61</v>
      </c>
      <c r="C148" s="191">
        <v>11</v>
      </c>
      <c r="D148" s="182">
        <f t="shared" ref="D148:D166" si="10">B148*C148</f>
        <v>743.71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35</v>
      </c>
      <c r="B149" s="175">
        <f>'Données projet'!D142</f>
        <v>86.68</v>
      </c>
      <c r="C149" s="191">
        <v>23</v>
      </c>
      <c r="D149" s="182">
        <f t="shared" si="10"/>
        <v>1993.64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42</v>
      </c>
      <c r="B150" s="175">
        <f>'Données projet'!D143</f>
        <v>99.98</v>
      </c>
      <c r="C150" s="191">
        <v>23</v>
      </c>
      <c r="D150" s="182">
        <f t="shared" si="10"/>
        <v>2299.54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49</v>
      </c>
      <c r="B151" s="175">
        <f>'Données projet'!D144</f>
        <v>112.61</v>
      </c>
      <c r="C151" s="191">
        <v>23</v>
      </c>
      <c r="D151" s="182">
        <f t="shared" si="10"/>
        <v>2590.0300000000002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56</v>
      </c>
      <c r="B152" s="175">
        <f>'Données projet'!D145</f>
        <v>94.57</v>
      </c>
      <c r="C152" s="191">
        <v>47</v>
      </c>
      <c r="D152" s="182">
        <f t="shared" si="10"/>
        <v>4444.79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63</v>
      </c>
      <c r="B153" s="175">
        <f>'Données projet'!D146</f>
        <v>99.49</v>
      </c>
      <c r="C153" s="191">
        <v>47</v>
      </c>
      <c r="D153" s="182">
        <f t="shared" si="10"/>
        <v>4676.03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70</v>
      </c>
      <c r="B154" s="175">
        <f>'Données projet'!D147</f>
        <v>586.05999999999995</v>
      </c>
      <c r="C154" s="191">
        <v>47</v>
      </c>
      <c r="D154" s="182">
        <f t="shared" si="10"/>
        <v>27544.819999999996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Chêne sessile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1600*3.81</f>
        <v>6096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f>0.15*E172</f>
        <v>914.4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60</v>
      </c>
      <c r="B178" s="181">
        <f>'Données projet'!D166</f>
        <v>69.84</v>
      </c>
      <c r="C178" s="193">
        <v>62</v>
      </c>
      <c r="D178" s="179">
        <f>B178*C178</f>
        <v>4330.08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69</v>
      </c>
      <c r="B179" s="181">
        <f>'Données projet'!D167</f>
        <v>39.35</v>
      </c>
      <c r="C179" s="193">
        <v>62</v>
      </c>
      <c r="D179" s="179">
        <f t="shared" ref="D179:D197" si="11">B179*C179</f>
        <v>2439.7000000000003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77</v>
      </c>
      <c r="B180" s="181">
        <f>'Données projet'!D168</f>
        <v>31.56</v>
      </c>
      <c r="C180" s="193">
        <v>62</v>
      </c>
      <c r="D180" s="179">
        <f t="shared" si="11"/>
        <v>1956.72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86</v>
      </c>
      <c r="B181" s="181">
        <f>'Données projet'!D169</f>
        <v>34.46</v>
      </c>
      <c r="C181" s="193">
        <v>62</v>
      </c>
      <c r="D181" s="179">
        <f t="shared" si="11"/>
        <v>2136.52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95</v>
      </c>
      <c r="B182" s="181">
        <f>'Données projet'!D170</f>
        <v>38.770000000000003</v>
      </c>
      <c r="C182" s="193">
        <v>62</v>
      </c>
      <c r="D182" s="179">
        <f t="shared" si="11"/>
        <v>2403.7400000000002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104</v>
      </c>
      <c r="B183" s="181">
        <f>'Données projet'!D171</f>
        <v>35.979999999999997</v>
      </c>
      <c r="C183" s="193">
        <v>62</v>
      </c>
      <c r="D183" s="179">
        <f t="shared" si="11"/>
        <v>2230.7599999999998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113</v>
      </c>
      <c r="B184" s="181">
        <f>'Données projet'!D172</f>
        <v>37.82</v>
      </c>
      <c r="C184" s="193">
        <v>62</v>
      </c>
      <c r="D184" s="179">
        <f t="shared" si="11"/>
        <v>2344.84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122</v>
      </c>
      <c r="B185" s="181">
        <f>'Données projet'!D173</f>
        <v>41.63</v>
      </c>
      <c r="C185" s="193">
        <v>62</v>
      </c>
      <c r="D185" s="179">
        <f t="shared" si="11"/>
        <v>2581.06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132</v>
      </c>
      <c r="B186" s="181">
        <f>'Données projet'!D174</f>
        <v>44.19</v>
      </c>
      <c r="C186" s="193">
        <v>62</v>
      </c>
      <c r="D186" s="179">
        <f t="shared" si="11"/>
        <v>2739.7799999999997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144</v>
      </c>
      <c r="B187" s="181">
        <f>'Données projet'!D175</f>
        <v>55.05</v>
      </c>
      <c r="C187" s="193">
        <v>62</v>
      </c>
      <c r="D187" s="179">
        <f t="shared" si="11"/>
        <v>3413.1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156</v>
      </c>
      <c r="B188" s="181">
        <f>'Données projet'!D176</f>
        <v>59.1</v>
      </c>
      <c r="C188" s="193">
        <v>62</v>
      </c>
      <c r="D188" s="179">
        <f t="shared" si="11"/>
        <v>3664.2000000000003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168</v>
      </c>
      <c r="B189" s="181">
        <f>'Données projet'!D177</f>
        <v>63.91</v>
      </c>
      <c r="C189" s="193">
        <v>62</v>
      </c>
      <c r="D189" s="179">
        <f t="shared" si="11"/>
        <v>3962.4199999999996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180</v>
      </c>
      <c r="B190" s="181">
        <f>'Données projet'!D178</f>
        <v>154.91999999999999</v>
      </c>
      <c r="C190" s="193">
        <v>62</v>
      </c>
      <c r="D190" s="179">
        <f t="shared" si="11"/>
        <v>9605.0399999999991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184</v>
      </c>
      <c r="B191" s="181">
        <f>'Données projet'!D179</f>
        <v>88.94</v>
      </c>
      <c r="C191" s="193">
        <v>62</v>
      </c>
      <c r="D191" s="179">
        <f t="shared" si="11"/>
        <v>5514.28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188</v>
      </c>
      <c r="B192" s="181">
        <f>'Données projet'!D180</f>
        <v>63.4</v>
      </c>
      <c r="C192" s="193">
        <v>62</v>
      </c>
      <c r="D192" s="179">
        <f t="shared" si="11"/>
        <v>3930.7999999999997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191</v>
      </c>
      <c r="B193" s="181">
        <f>'Données projet'!D181</f>
        <v>126.3</v>
      </c>
      <c r="C193" s="193">
        <v>62</v>
      </c>
      <c r="D193" s="179">
        <f t="shared" si="11"/>
        <v>7830.5999999999995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Séquoia toujours vert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1600*1.64</f>
        <v>2624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f>0.15*E203</f>
        <v>393.59999999999997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18</v>
      </c>
      <c r="B209" s="181">
        <f>'Données projet'!D192</f>
        <v>74.819999999999993</v>
      </c>
      <c r="C209" s="193">
        <v>5</v>
      </c>
      <c r="D209" s="179">
        <f>B209*C209</f>
        <v>374.09999999999997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24</v>
      </c>
      <c r="B210" s="181">
        <f>'Données projet'!D193</f>
        <v>51.39</v>
      </c>
      <c r="C210" s="193">
        <v>5</v>
      </c>
      <c r="D210" s="179">
        <f t="shared" ref="D210:D228" si="12">B210*C210</f>
        <v>256.95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30</v>
      </c>
      <c r="B211" s="181">
        <f>'Données projet'!D194</f>
        <v>80.97</v>
      </c>
      <c r="C211" s="193">
        <v>5</v>
      </c>
      <c r="D211" s="179">
        <f t="shared" si="12"/>
        <v>404.85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36</v>
      </c>
      <c r="B212" s="181">
        <f>'Données projet'!D195</f>
        <v>85.88</v>
      </c>
      <c r="C212" s="193">
        <v>5</v>
      </c>
      <c r="D212" s="179">
        <f t="shared" si="12"/>
        <v>429.4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42</v>
      </c>
      <c r="B213" s="181">
        <f>'Données projet'!D196</f>
        <v>91.25</v>
      </c>
      <c r="C213" s="193">
        <v>22.5</v>
      </c>
      <c r="D213" s="179">
        <f t="shared" si="12"/>
        <v>2053.125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48</v>
      </c>
      <c r="B214" s="181">
        <f>'Données projet'!D197</f>
        <v>101.34</v>
      </c>
      <c r="C214" s="193">
        <v>22.5</v>
      </c>
      <c r="D214" s="179">
        <f t="shared" si="12"/>
        <v>2280.15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54</v>
      </c>
      <c r="B215" s="181">
        <f>'Données projet'!D198</f>
        <v>707.75</v>
      </c>
      <c r="C215" s="193">
        <v>29.5</v>
      </c>
      <c r="D215" s="179">
        <f t="shared" si="12"/>
        <v>20878.625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Cèdre de l'Atlas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1600*1.29</f>
        <v>2064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f>0.15*E234</f>
        <v>309.59999999999997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51</v>
      </c>
      <c r="B240" s="181">
        <f>'Données projet'!D218</f>
        <v>171.3</v>
      </c>
      <c r="C240" s="193">
        <v>43.5</v>
      </c>
      <c r="D240" s="179">
        <f>B240*C240</f>
        <v>7451.55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61</v>
      </c>
      <c r="B241" s="181">
        <f>'Données projet'!D219</f>
        <v>100.2</v>
      </c>
      <c r="C241" s="193">
        <v>43.5</v>
      </c>
      <c r="D241" s="179">
        <f t="shared" ref="D241:D259" si="13">B241*C241</f>
        <v>4358.7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73</v>
      </c>
      <c r="B242" s="181">
        <f>'Données projet'!D220</f>
        <v>102.1</v>
      </c>
      <c r="C242" s="193">
        <v>43.5</v>
      </c>
      <c r="D242" s="179">
        <f t="shared" si="13"/>
        <v>4441.3499999999995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85</v>
      </c>
      <c r="B243" s="181">
        <f>'Données projet'!D221</f>
        <v>94.69</v>
      </c>
      <c r="C243" s="193">
        <v>43.5</v>
      </c>
      <c r="D243" s="179">
        <f t="shared" si="13"/>
        <v>4119.0150000000003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97</v>
      </c>
      <c r="B244" s="181">
        <f>'Données projet'!D222</f>
        <v>89.6</v>
      </c>
      <c r="C244" s="193">
        <v>43.5</v>
      </c>
      <c r="D244" s="179">
        <f t="shared" si="13"/>
        <v>3897.6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109</v>
      </c>
      <c r="B245" s="181">
        <f>'Données projet'!D223</f>
        <v>91.09</v>
      </c>
      <c r="C245" s="193">
        <v>43.5</v>
      </c>
      <c r="D245" s="179">
        <f t="shared" si="13"/>
        <v>3962.415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121</v>
      </c>
      <c r="B246" s="181">
        <f>'Données projet'!D224</f>
        <v>233.54</v>
      </c>
      <c r="C246" s="193">
        <v>43.5</v>
      </c>
      <c r="D246" s="179">
        <f t="shared" si="13"/>
        <v>10158.99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131</v>
      </c>
      <c r="B247" s="181">
        <f>'Données projet'!D225</f>
        <v>294.08999999999997</v>
      </c>
      <c r="C247" s="193">
        <v>43.5</v>
      </c>
      <c r="D247" s="179">
        <f t="shared" si="13"/>
        <v>12792.914999999999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Hêtre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f>1600*2.85</f>
        <v>4560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f>0.15*E265</f>
        <v>684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57</v>
      </c>
      <c r="B271" s="181">
        <f>'Données projet'!D244</f>
        <v>141.91999999999999</v>
      </c>
      <c r="C271" s="193">
        <v>17</v>
      </c>
      <c r="D271" s="179">
        <f>B271*C271</f>
        <v>2412.64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66</v>
      </c>
      <c r="B272" s="181">
        <f>'Données projet'!D245</f>
        <v>71.91</v>
      </c>
      <c r="C272" s="193">
        <v>29</v>
      </c>
      <c r="D272" s="179">
        <f t="shared" ref="D272:D290" si="14">B272*C272</f>
        <v>2085.39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75</v>
      </c>
      <c r="B273" s="181">
        <f>'Données projet'!D246</f>
        <v>68.540000000000006</v>
      </c>
      <c r="C273" s="193">
        <v>29</v>
      </c>
      <c r="D273" s="179">
        <f t="shared" si="14"/>
        <v>1987.66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84</v>
      </c>
      <c r="B274" s="181">
        <f>'Données projet'!D247</f>
        <v>60.45</v>
      </c>
      <c r="C274" s="193">
        <v>29</v>
      </c>
      <c r="D274" s="179">
        <f t="shared" si="14"/>
        <v>1753.0500000000002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93</v>
      </c>
      <c r="B275" s="181">
        <f>'Données projet'!D248</f>
        <v>62.39</v>
      </c>
      <c r="C275" s="193">
        <v>29</v>
      </c>
      <c r="D275" s="179">
        <f t="shared" si="14"/>
        <v>1809.31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105</v>
      </c>
      <c r="B276" s="181">
        <f>'Données projet'!D249</f>
        <v>77.41</v>
      </c>
      <c r="C276" s="193">
        <v>29</v>
      </c>
      <c r="D276" s="179">
        <f t="shared" si="14"/>
        <v>2244.89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117</v>
      </c>
      <c r="B277" s="181">
        <f>'Données projet'!D250</f>
        <v>68.06</v>
      </c>
      <c r="C277" s="193">
        <v>29</v>
      </c>
      <c r="D277" s="179">
        <f t="shared" si="14"/>
        <v>1973.74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129</v>
      </c>
      <c r="B278" s="181">
        <f>'Données projet'!D251</f>
        <v>128.76</v>
      </c>
      <c r="C278" s="193">
        <v>29</v>
      </c>
      <c r="D278" s="179">
        <f t="shared" si="14"/>
        <v>3734.04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134</v>
      </c>
      <c r="B279" s="181">
        <f>'Données projet'!D252</f>
        <v>93.94</v>
      </c>
      <c r="C279" s="193">
        <v>29</v>
      </c>
      <c r="D279" s="179">
        <f t="shared" si="14"/>
        <v>2724.2599999999998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139</v>
      </c>
      <c r="B280" s="181">
        <f>'Données projet'!D253</f>
        <v>79.77</v>
      </c>
      <c r="C280" s="193">
        <v>29</v>
      </c>
      <c r="D280" s="179">
        <f t="shared" si="14"/>
        <v>2313.33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143</v>
      </c>
      <c r="B281" s="181">
        <f>'Données projet'!D254</f>
        <v>128.80000000000001</v>
      </c>
      <c r="C281" s="193">
        <v>29</v>
      </c>
      <c r="D281" s="179">
        <f t="shared" si="14"/>
        <v>3735.2000000000003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Pin maritime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f>1600*0.41</f>
        <v>656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>
        <f>0.15*E296</f>
        <v>98.399999999999991</v>
      </c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15</v>
      </c>
      <c r="B302" s="181">
        <f>'Données projet'!D270</f>
        <v>50.01</v>
      </c>
      <c r="C302" s="191">
        <v>5</v>
      </c>
      <c r="D302" s="182">
        <f>B302*C302</f>
        <v>250.04999999999998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20</v>
      </c>
      <c r="B303" s="181">
        <f>'Données projet'!D271</f>
        <v>54.89</v>
      </c>
      <c r="C303" s="191">
        <v>8.5</v>
      </c>
      <c r="D303" s="182">
        <f t="shared" ref="D303:D321" si="15">B303*C303</f>
        <v>466.565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26</v>
      </c>
      <c r="B304" s="181">
        <f>'Données projet'!D272</f>
        <v>55.94</v>
      </c>
      <c r="C304" s="191">
        <v>8.5</v>
      </c>
      <c r="D304" s="182">
        <f t="shared" si="15"/>
        <v>475.49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32</v>
      </c>
      <c r="B305" s="181">
        <f>'Données projet'!D273</f>
        <v>79.400000000000006</v>
      </c>
      <c r="C305" s="191">
        <v>15.5</v>
      </c>
      <c r="D305" s="182">
        <f t="shared" si="15"/>
        <v>1230.7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40</v>
      </c>
      <c r="B306" s="181">
        <f>'Données projet'!D274</f>
        <v>116.49</v>
      </c>
      <c r="C306" s="191">
        <v>15.5</v>
      </c>
      <c r="D306" s="182">
        <f t="shared" si="15"/>
        <v>1805.595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48</v>
      </c>
      <c r="B307" s="181">
        <f>'Données projet'!D275</f>
        <v>106.15</v>
      </c>
      <c r="C307" s="191">
        <v>15.5</v>
      </c>
      <c r="D307" s="182">
        <f t="shared" si="15"/>
        <v>1645.325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56</v>
      </c>
      <c r="B308" s="181">
        <f>'Données projet'!D276</f>
        <v>562.74</v>
      </c>
      <c r="C308" s="191">
        <v>29.5</v>
      </c>
      <c r="D308" s="182">
        <f t="shared" si="15"/>
        <v>16600.830000000002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7" ma:contentTypeDescription="Crée un document." ma:contentTypeScope="" ma:versionID="3bd3d46e7d1c2b124539364519b822a4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9b027e34df67e7c08c2f98aeacc90b63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C605AA-A7A7-45E6-92B0-1C22FC3B65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Augustin Le Corre</cp:lastModifiedBy>
  <dcterms:created xsi:type="dcterms:W3CDTF">2021-02-01T08:22:39Z</dcterms:created>
  <dcterms:modified xsi:type="dcterms:W3CDTF">2023-12-04T14:39:41Z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