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0" documentId="8_{1639C890-B870-48B7-93FF-C4FDA41281F0}" xr6:coauthVersionLast="47" xr6:coauthVersionMax="47" xr10:uidLastSave="{00000000-0000-0000-0000-000000000000}"/>
  <bookViews>
    <workbookView xWindow="-120" yWindow="-120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X113" i="2"/>
  <c r="EW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G155" i="2"/>
  <c r="EX155" i="2"/>
  <c r="EY154" i="2"/>
  <c r="ED154" i="2"/>
  <c r="DI154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HI156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G157" i="2"/>
  <c r="EB157" i="2"/>
  <c r="HH157" i="2"/>
  <c r="EA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G158" i="2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I160" i="2"/>
  <c r="HH160" i="2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D160" i="2"/>
  <c r="EB161" i="2"/>
  <c r="EX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G162" i="2"/>
  <c r="EB162" i="2"/>
  <c r="HH162" i="2"/>
  <c r="EY161" i="2"/>
  <c r="DI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D162" i="2"/>
  <c r="HH163" i="2"/>
  <c r="EY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HH164" i="2"/>
  <c r="DI163" i="2"/>
  <c r="ED163" i="2"/>
  <c r="EY163" i="2"/>
  <c r="FS164" i="2"/>
  <c r="EV164" i="2"/>
  <c r="EA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I167" i="2"/>
  <c r="HJ166" i="2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EC168" i="2"/>
  <c r="DG168" i="2"/>
  <c r="HH168" i="2"/>
  <c r="EV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EX169" i="2"/>
  <c r="EA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Y171" i="2"/>
  <c r="ED171" i="2"/>
  <c r="EB172" i="2"/>
  <c r="HI172" i="2"/>
  <c r="EV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FS175" i="2"/>
  <c r="EB175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FS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H178" i="2"/>
  <c r="HG178" i="2"/>
  <c r="ED177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G179" i="2" l="1"/>
  <c r="EA179" i="2"/>
  <c r="ED178" i="2"/>
  <c r="EV179" i="2"/>
  <c r="HH179" i="2"/>
  <c r="HI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D179" i="2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FS183" i="2"/>
  <c r="EY182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HH185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FR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Y186" i="2"/>
  <c r="HG187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HG190" i="2"/>
  <c r="HH190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H192" i="2"/>
  <c r="HG192" i="2"/>
  <c r="HI192" i="2"/>
  <c r="EV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D192" i="2"/>
  <c r="EY192" i="2"/>
  <c r="HI193" i="2"/>
  <c r="EX193" i="2"/>
  <c r="DI192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CN193" i="2"/>
  <c r="EB194" i="2"/>
  <c r="HG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EY194" i="2"/>
  <c r="HG195" i="2"/>
  <c r="EB195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FS199" i="2"/>
  <c r="EW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ED200" i="2"/>
  <c r="EB201" i="2"/>
  <c r="HJ200" i="2"/>
  <c r="FS201" i="2"/>
  <c r="DI200" i="2"/>
  <c r="HG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Z6" i="2" l="1"/>
  <c r="EY201" i="2"/>
  <c r="FS202" i="2"/>
  <c r="ED201" i="2"/>
  <c r="EW202" i="2"/>
  <c r="HG202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32" i="2" a="1"/>
  <c r="FY32" i="2" s="1"/>
  <c r="FY71" i="2" a="1"/>
  <c r="FY71" i="2" s="1"/>
  <c r="FY69" i="2" a="1"/>
  <c r="FY69" i="2" s="1"/>
  <c r="FY143" i="2" a="1"/>
  <c r="FY143" i="2" s="1"/>
  <c r="FY116" i="2" a="1"/>
  <c r="FY116" i="2" s="1"/>
  <c r="FY78" i="2" a="1"/>
  <c r="FY78" i="2" s="1"/>
  <c r="FY178" i="2" a="1"/>
  <c r="FY178" i="2" s="1"/>
  <c r="FY62" i="2" a="1"/>
  <c r="FY62" i="2" s="1"/>
  <c r="FY164" i="2" a="1"/>
  <c r="FY164" i="2" s="1"/>
  <c r="FY172" i="2" a="1"/>
  <c r="FY172" i="2" s="1"/>
  <c r="BC117" i="2" a="1"/>
  <c r="BC117" i="2" s="1"/>
  <c r="GT181" i="2" a="1"/>
  <c r="GT181" i="2" s="1"/>
  <c r="GT121" i="2" a="1"/>
  <c r="GT121" i="2" s="1"/>
  <c r="GT147" i="2" a="1"/>
  <c r="GT147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82" i="2" a="1"/>
  <c r="FY82" i="2" s="1"/>
  <c r="FY30" i="2" a="1"/>
  <c r="FY30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7" i="2" a="1"/>
  <c r="BC7" i="2" s="1"/>
  <c r="BC18" i="2" a="1"/>
  <c r="BC18" i="2" s="1"/>
  <c r="CS120" i="2" a="1"/>
  <c r="CS120" i="2" s="1"/>
  <c r="GT21" i="2" a="1"/>
  <c r="GT21" i="2" s="1"/>
  <c r="GT74" i="2" a="1"/>
  <c r="GT74" i="2" s="1"/>
  <c r="GT190" i="2" a="1"/>
  <c r="GT190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70" i="2" a="1"/>
  <c r="DN70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AX200" i="2"/>
  <c r="BC55" i="2" l="1" a="1"/>
  <c r="BC55" i="2" s="1"/>
  <c r="BC126" i="2" a="1"/>
  <c r="BC126" i="2" s="1"/>
  <c r="FY186" i="2" a="1"/>
  <c r="FY186" i="2" s="1"/>
  <c r="FY35" i="2" a="1"/>
  <c r="FY35" i="2" s="1"/>
  <c r="BC58" i="2" a="1"/>
  <c r="BC58" i="2" s="1"/>
  <c r="GT138" i="2" a="1"/>
  <c r="GT138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GT107" i="2" a="1"/>
  <c r="GT107" i="2" s="1"/>
  <c r="GT38" i="2" a="1"/>
  <c r="GT38" i="2" s="1"/>
  <c r="GT189" i="2" a="1"/>
  <c r="GT189" i="2" s="1"/>
  <c r="GT11" i="2" a="1"/>
  <c r="GT11" i="2" s="1"/>
  <c r="GT33" i="2" a="1"/>
  <c r="GT33" i="2" s="1"/>
  <c r="GT51" i="2" a="1"/>
  <c r="GT51" i="2" s="1"/>
  <c r="GT115" i="2" a="1"/>
  <c r="GT115" i="2" s="1"/>
  <c r="HJ202" i="2"/>
  <c r="GT191" i="2" a="1"/>
  <c r="GT191" i="2" s="1"/>
  <c r="GT174" i="2" a="1"/>
  <c r="GT174" i="2" s="1"/>
  <c r="GT126" i="2" a="1"/>
  <c r="GT126" i="2" s="1"/>
  <c r="GT198" i="2" a="1"/>
  <c r="GT198" i="2" s="1"/>
  <c r="GT102" i="2" a="1"/>
  <c r="GT102" i="2" s="1"/>
  <c r="GT133" i="2" a="1"/>
  <c r="GT133" i="2" s="1"/>
  <c r="GT68" i="2" a="1"/>
  <c r="GT68" i="2" s="1"/>
  <c r="FY121" i="2" a="1"/>
  <c r="FY121" i="2" s="1"/>
  <c r="FY182" i="2" a="1"/>
  <c r="FY182" i="2" s="1"/>
  <c r="FY149" i="2" a="1"/>
  <c r="FY149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Y80" i="2" a="1"/>
  <c r="FY80" i="2" s="1"/>
  <c r="FY58" i="2" a="1"/>
  <c r="FY58" i="2" s="1"/>
  <c r="FY169" i="2" a="1"/>
  <c r="FY169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FY50" i="2" a="1"/>
  <c r="FY50" i="2" s="1"/>
  <c r="FD48" i="2" a="1"/>
  <c r="FD48" i="2" s="1"/>
  <c r="FD44" i="2" a="1"/>
  <c r="FD44" i="2" s="1"/>
  <c r="FY167" i="2" a="1"/>
  <c r="FY167" i="2" s="1"/>
  <c r="FY42" i="2" a="1"/>
  <c r="FY42" i="2" s="1"/>
  <c r="FY115" i="2" a="1"/>
  <c r="FY115" i="2" s="1"/>
  <c r="FY104" i="2" a="1"/>
  <c r="FY104" i="2" s="1"/>
  <c r="FY24" i="2" a="1"/>
  <c r="FY24" i="2" s="1"/>
  <c r="FY190" i="2" a="1"/>
  <c r="FY190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FY142" i="2" a="1"/>
  <c r="FY142" i="2" s="1"/>
  <c r="FY196" i="2" a="1"/>
  <c r="FY196" i="2" s="1"/>
  <c r="FY86" i="2" a="1"/>
  <c r="FY86" i="2" s="1"/>
  <c r="FY34" i="2" a="1"/>
  <c r="FY34" i="2" s="1"/>
  <c r="FY124" i="2" a="1"/>
  <c r="FY124" i="2" s="1"/>
  <c r="FY72" i="2" a="1"/>
  <c r="FY7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FS203" i="2"/>
  <c r="FD188" i="2" a="1"/>
  <c r="FD188" i="2" s="1"/>
  <c r="FD60" i="2" a="1"/>
  <c r="FD60" i="2" s="1"/>
  <c r="FD59" i="2" a="1"/>
  <c r="FD59" i="2" s="1"/>
  <c r="FD144" i="2" a="1"/>
  <c r="FD144" i="2" s="1"/>
  <c r="FD21" i="2" a="1"/>
  <c r="FD21" i="2" s="1"/>
  <c r="EY202" i="2"/>
  <c r="BC38" i="2" a="1"/>
  <c r="BC38" i="2" s="1"/>
  <c r="BC32" i="2" a="1"/>
  <c r="BC32" i="2" s="1"/>
  <c r="BC130" i="2" a="1"/>
  <c r="BC130" i="2" s="1"/>
  <c r="BC181" i="2" a="1"/>
  <c r="BC181" i="2" s="1"/>
  <c r="BC82" i="2" a="1"/>
  <c r="BC82" i="2" s="1"/>
  <c r="BC34" i="2" a="1"/>
  <c r="BC34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185" i="2" a="1"/>
  <c r="BC185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AH151" i="2" a="1"/>
  <c r="AH151" i="2" s="1"/>
  <c r="AH163" i="2" a="1"/>
  <c r="AH163" i="2" s="1"/>
  <c r="AH62" i="2" a="1"/>
  <c r="AH62" i="2" s="1"/>
  <c r="AH166" i="2" a="1"/>
  <c r="AH166" i="2" s="1"/>
  <c r="DN167" i="2" a="1"/>
  <c r="DN167" i="2" s="1"/>
  <c r="DN115" i="2" a="1"/>
  <c r="DN115" i="2" s="1"/>
  <c r="DN132" i="2" a="1"/>
  <c r="DN132" i="2" s="1"/>
  <c r="DN49" i="2" a="1"/>
  <c r="DN49" i="2" s="1"/>
  <c r="DN63" i="2" a="1"/>
  <c r="DN63" i="2" s="1"/>
  <c r="DN133" i="2" a="1"/>
  <c r="DN133" i="2" s="1"/>
  <c r="DN135" i="2" a="1"/>
  <c r="DN135" i="2" s="1"/>
  <c r="DN46" i="2" a="1"/>
  <c r="DN46" i="2" s="1"/>
  <c r="DN65" i="2" a="1"/>
  <c r="DN65" i="2" s="1"/>
  <c r="DN16" i="2" a="1"/>
  <c r="DN16" i="2" s="1"/>
  <c r="DN168" i="2" a="1"/>
  <c r="DN168" i="2" s="1"/>
  <c r="DN177" i="2" a="1"/>
  <c r="DN177" i="2" s="1"/>
  <c r="DN187" i="2" a="1"/>
  <c r="DN187" i="2" s="1"/>
  <c r="DN176" i="2" a="1"/>
  <c r="DN176" i="2" s="1"/>
  <c r="DN31" i="2" a="1"/>
  <c r="DN31" i="2" s="1"/>
  <c r="DN164" i="2" a="1"/>
  <c r="DN164" i="2" s="1"/>
  <c r="DN80" i="2" a="1"/>
  <c r="DN80" i="2" s="1"/>
  <c r="DN29" i="2" a="1"/>
  <c r="DN29" i="2" s="1"/>
  <c r="DN45" i="2" a="1"/>
  <c r="DN45" i="2" s="1"/>
  <c r="DN30" i="2" a="1"/>
  <c r="DN30" i="2" s="1"/>
  <c r="DN190" i="2" a="1"/>
  <c r="DN190" i="2" s="1"/>
  <c r="DN55" i="2" a="1"/>
  <c r="DN55" i="2" s="1"/>
  <c r="DN162" i="2" a="1"/>
  <c r="DN162" i="2" s="1"/>
  <c r="DN38" i="2" a="1"/>
  <c r="DN38" i="2" s="1"/>
  <c r="DN41" i="2" a="1"/>
  <c r="DN41" i="2" s="1"/>
  <c r="BX107" i="2" a="1"/>
  <c r="BX107" i="2" s="1"/>
  <c r="BP203" i="2"/>
  <c r="HG203" i="2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D203" i="2"/>
  <c r="DI203" i="2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55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11" i="2" l="1"/>
  <c r="GE78" i="2"/>
  <c r="GE123" i="2"/>
  <c r="GE8" i="2"/>
  <c r="GE10" i="2"/>
  <c r="GE4" i="2"/>
  <c r="GE75" i="2"/>
  <c r="GE107" i="2"/>
  <c r="GE120" i="2"/>
  <c r="GE153" i="2"/>
  <c r="GE44" i="2"/>
  <c r="GE52" i="2"/>
  <c r="GE119" i="2"/>
  <c r="GE138" i="2"/>
  <c r="GE201" i="2"/>
  <c r="GE90" i="2"/>
  <c r="GE12" i="2"/>
  <c r="GE145" i="2"/>
  <c r="GE37" i="2"/>
  <c r="GE202" i="2"/>
  <c r="GE16" i="2"/>
  <c r="GE133" i="2"/>
  <c r="GE33" i="2"/>
  <c r="GE65" i="2"/>
  <c r="GE76" i="2"/>
  <c r="GE183" i="2"/>
  <c r="GE63" i="2"/>
  <c r="GE87" i="2"/>
  <c r="GE19" i="2"/>
  <c r="GE95" i="2"/>
  <c r="GE184" i="2"/>
  <c r="GE46" i="2"/>
  <c r="GE169" i="2"/>
  <c r="GE157" i="2"/>
  <c r="GE73" i="2"/>
  <c r="GE136" i="2"/>
  <c r="GE140" i="2"/>
  <c r="GE161" i="2"/>
  <c r="GE166" i="2"/>
  <c r="GE79" i="2"/>
  <c r="GE148" i="2"/>
  <c r="GE197" i="2"/>
  <c r="GE48" i="2"/>
  <c r="GE132" i="2"/>
  <c r="GE96" i="2"/>
  <c r="GE81" i="2"/>
  <c r="GE194" i="2"/>
  <c r="GE186" i="2"/>
  <c r="GE168" i="2"/>
  <c r="GE71" i="2"/>
  <c r="GE30" i="2"/>
  <c r="GE77" i="2"/>
  <c r="GE122" i="2"/>
  <c r="GE94" i="2"/>
  <c r="GE174" i="2"/>
  <c r="GE167" i="2"/>
  <c r="GE35" i="2"/>
  <c r="GE51" i="2"/>
  <c r="GE83" i="2"/>
  <c r="GE196" i="2"/>
  <c r="GE193" i="2"/>
  <c r="GE20" i="2"/>
  <c r="GE105" i="2"/>
  <c r="GE26" i="2"/>
  <c r="GE89" i="2"/>
  <c r="GE200" i="2"/>
  <c r="GE165" i="2"/>
  <c r="GE177" i="2"/>
  <c r="GE130" i="2"/>
  <c r="GE61" i="2"/>
  <c r="GE67" i="2"/>
  <c r="GE127" i="2"/>
  <c r="GE154" i="2"/>
  <c r="GE128" i="2"/>
  <c r="GE104" i="2"/>
  <c r="GE84" i="2"/>
  <c r="GE59" i="2"/>
  <c r="GE147" i="2"/>
  <c r="GE91" i="2"/>
  <c r="GE113" i="2"/>
  <c r="GE188" i="2"/>
  <c r="GE58" i="2"/>
  <c r="GE116" i="2"/>
  <c r="GE29" i="2"/>
  <c r="GE13" i="2"/>
  <c r="GE108" i="2"/>
  <c r="GE74" i="2"/>
  <c r="GE198" i="2"/>
  <c r="GE191" i="2"/>
  <c r="GE124" i="2"/>
  <c r="GE106" i="2"/>
  <c r="GE99" i="2"/>
  <c r="GE203" i="2"/>
  <c r="GE172" i="2"/>
  <c r="GE32" i="2"/>
  <c r="GE162" i="2"/>
  <c r="GE47" i="2"/>
  <c r="GE199" i="2"/>
  <c r="GE60" i="2"/>
  <c r="GE97" i="2"/>
  <c r="GE137" i="2"/>
  <c r="GE121" i="2"/>
  <c r="GE18" i="2"/>
  <c r="GE36" i="2"/>
  <c r="GE5" i="2"/>
  <c r="GE21" i="2"/>
  <c r="GE101" i="2"/>
  <c r="GE155" i="2"/>
  <c r="GE163" i="2"/>
  <c r="GE181" i="2"/>
  <c r="GE41" i="2"/>
  <c r="GE173" i="2"/>
  <c r="GE164" i="2"/>
  <c r="GE100" i="2"/>
  <c r="GE15" i="2"/>
  <c r="GE150" i="2"/>
  <c r="GE27" i="2"/>
  <c r="GE69" i="2"/>
  <c r="GE131" i="2"/>
  <c r="GE114" i="2"/>
  <c r="GE3" i="2"/>
  <c r="C14" i="4" s="1"/>
  <c r="E14" i="4" s="1"/>
  <c r="F14" i="4" s="1"/>
  <c r="G14" i="4" s="1"/>
  <c r="L14" i="4" s="1"/>
  <c r="GE129" i="2"/>
  <c r="GE176" i="2"/>
  <c r="GE68" i="2"/>
  <c r="GE139" i="2"/>
  <c r="GE152" i="2"/>
  <c r="GE159" i="2"/>
  <c r="GE151" i="2"/>
  <c r="GE192" i="2"/>
  <c r="GE118" i="2"/>
  <c r="GE34" i="2"/>
  <c r="GE170" i="2"/>
  <c r="GE190" i="2"/>
  <c r="GE149" i="2"/>
  <c r="GE156" i="2"/>
  <c r="GE158" i="2"/>
  <c r="GE43" i="2"/>
  <c r="GE28" i="2"/>
  <c r="GE102" i="2"/>
  <c r="GE80" i="2"/>
  <c r="GE195" i="2"/>
  <c r="GE126" i="2"/>
  <c r="GE134" i="2"/>
  <c r="GE57" i="2"/>
  <c r="GE98" i="2"/>
  <c r="GE49" i="2"/>
  <c r="GE82" i="2"/>
  <c r="GE143" i="2"/>
  <c r="GE53" i="2"/>
  <c r="GE111" i="2"/>
  <c r="GE180" i="2"/>
  <c r="GE179" i="2"/>
  <c r="GE171" i="2"/>
  <c r="GE112" i="2"/>
  <c r="GE88" i="2"/>
  <c r="GE38" i="2"/>
  <c r="GE146" i="2"/>
  <c r="GE189" i="2"/>
  <c r="GE110" i="2"/>
  <c r="GE115" i="2"/>
  <c r="GE135" i="2"/>
  <c r="GE39" i="2"/>
  <c r="GE14" i="2"/>
  <c r="GE187" i="2"/>
  <c r="GE72" i="2"/>
  <c r="GE144" i="2"/>
  <c r="GE93" i="2"/>
  <c r="GE182" i="2"/>
  <c r="GE62" i="2"/>
  <c r="GE31" i="2"/>
  <c r="GE125" i="2"/>
  <c r="GE64" i="2"/>
  <c r="GE66" i="2"/>
  <c r="GE178" i="2"/>
  <c r="GE160" i="2"/>
  <c r="GE7" i="2"/>
  <c r="GE185" i="2"/>
  <c r="GE85" i="2"/>
  <c r="GE92" i="2"/>
  <c r="GE142" i="2"/>
  <c r="GE86" i="2"/>
  <c r="GE40" i="2"/>
  <c r="GE23" i="2"/>
  <c r="GE9" i="2"/>
  <c r="GE117" i="2"/>
  <c r="GE22" i="2"/>
  <c r="GE175" i="2"/>
  <c r="GE70" i="2"/>
  <c r="GE54" i="2"/>
  <c r="GE56" i="2"/>
  <c r="GE45" i="2"/>
  <c r="GE109" i="2"/>
  <c r="GE24" i="2"/>
  <c r="GE17" i="2"/>
  <c r="GE55" i="2"/>
  <c r="GE42" i="2"/>
  <c r="GE50" i="2"/>
  <c r="GE141" i="2"/>
  <c r="GE25" i="2"/>
  <c r="GE6" i="2"/>
  <c r="GE103" i="2"/>
  <c r="GZ180" i="2"/>
  <c r="GZ102" i="2"/>
  <c r="GZ112" i="2"/>
  <c r="GZ170" i="2"/>
  <c r="GZ43" i="2"/>
  <c r="GZ159" i="2"/>
  <c r="GZ21" i="2"/>
  <c r="GZ81" i="2"/>
  <c r="GZ77" i="2"/>
  <c r="GZ146" i="2"/>
  <c r="GZ74" i="2"/>
  <c r="GZ192" i="2"/>
  <c r="GZ188" i="2"/>
  <c r="GZ117" i="2"/>
  <c r="GZ186" i="2"/>
  <c r="GZ105" i="2"/>
  <c r="GZ42" i="2"/>
  <c r="GZ160" i="2"/>
  <c r="GZ14" i="2"/>
  <c r="GZ151" i="2"/>
  <c r="GZ70" i="2"/>
  <c r="GZ82" i="2"/>
  <c r="GZ10" i="2"/>
  <c r="GZ63" i="2"/>
  <c r="GZ181" i="2"/>
  <c r="GZ103" i="2"/>
  <c r="GZ122" i="2"/>
  <c r="GZ175" i="2"/>
  <c r="GZ37" i="2"/>
  <c r="GZ161" i="2"/>
  <c r="GZ15" i="2"/>
  <c r="GZ18" i="2"/>
  <c r="GZ71" i="2"/>
  <c r="GZ147" i="2"/>
  <c r="GZ67" i="2"/>
  <c r="GZ72" i="2"/>
  <c r="GZ182" i="2"/>
  <c r="GZ44" i="2"/>
  <c r="GZ115" i="2"/>
  <c r="GZ184" i="2"/>
  <c r="GZ95" i="2"/>
  <c r="GZ28" i="2"/>
  <c r="GZ12" i="2"/>
  <c r="GZ149" i="2"/>
  <c r="GZ68" i="2"/>
  <c r="GZ137" i="2"/>
  <c r="GZ199" i="2"/>
  <c r="GZ61" i="2"/>
  <c r="GZ130" i="2"/>
  <c r="GZ203" i="2"/>
  <c r="GZ120" i="2"/>
  <c r="GZ173" i="2"/>
  <c r="GZ163" i="2"/>
  <c r="GZ108" i="2"/>
  <c r="GZ75" i="2"/>
  <c r="GZ93" i="2"/>
  <c r="GZ59" i="2"/>
  <c r="GZ33" i="2"/>
  <c r="GZ86" i="2"/>
  <c r="GZ89" i="2"/>
  <c r="GZ142" i="2"/>
  <c r="GZ4" i="2"/>
  <c r="GZ171" i="2"/>
  <c r="GZ200" i="2"/>
  <c r="GZ54" i="2"/>
  <c r="GZ48" i="2"/>
  <c r="GZ101" i="2"/>
  <c r="GZ113" i="2"/>
  <c r="GZ156" i="2"/>
  <c r="GZ168" i="2"/>
  <c r="GZ22" i="2"/>
  <c r="GZ25" i="2"/>
  <c r="GZ78" i="2"/>
  <c r="GZ35" i="2"/>
  <c r="GZ124" i="2"/>
  <c r="GZ193" i="2"/>
  <c r="GZ189" i="2"/>
  <c r="GZ118" i="2"/>
  <c r="GZ107" i="2"/>
  <c r="GZ106" i="2"/>
  <c r="GZ157" i="2"/>
  <c r="GZ169" i="2"/>
  <c r="GZ23" i="2"/>
  <c r="GZ26" i="2"/>
  <c r="GZ79" i="2"/>
  <c r="GZ140" i="2"/>
  <c r="GZ125" i="2"/>
  <c r="GZ194" i="2"/>
  <c r="GZ190" i="2"/>
  <c r="GZ36" i="2"/>
  <c r="GZ38" i="2"/>
  <c r="GZ155" i="2"/>
  <c r="GZ177" i="2"/>
  <c r="GZ24" i="2"/>
  <c r="GZ20" i="2"/>
  <c r="GZ80" i="2"/>
  <c r="GZ76" i="2"/>
  <c r="GZ145" i="2"/>
  <c r="GZ73" i="2"/>
  <c r="GZ183" i="2"/>
  <c r="GZ8" i="2"/>
  <c r="GZ116" i="2"/>
  <c r="GZ185" i="2"/>
  <c r="GZ104" i="2"/>
  <c r="GZ166" i="2"/>
  <c r="GZ167" i="2"/>
  <c r="GZ29" i="2"/>
  <c r="GZ98" i="2"/>
  <c r="GZ85" i="2"/>
  <c r="GZ154" i="2"/>
  <c r="GZ16" i="2"/>
  <c r="GZ135" i="2"/>
  <c r="GZ196" i="2"/>
  <c r="GZ66" i="2"/>
  <c r="GZ119" i="2"/>
  <c r="GZ56" i="2"/>
  <c r="GZ109" i="2"/>
  <c r="GZ178" i="2"/>
  <c r="GZ164" i="2"/>
  <c r="GZ34" i="2"/>
  <c r="GZ87" i="2"/>
  <c r="GZ90" i="2"/>
  <c r="GZ143" i="2"/>
  <c r="GZ5" i="2"/>
  <c r="GZ132" i="2"/>
  <c r="GZ201" i="2"/>
  <c r="GZ55" i="2"/>
  <c r="GZ49" i="2"/>
  <c r="GZ45" i="2"/>
  <c r="GZ114" i="2"/>
  <c r="GZ165" i="2"/>
  <c r="GZ11" i="2"/>
  <c r="GZ96" i="2"/>
  <c r="GZ27" i="2"/>
  <c r="GZ152" i="2"/>
  <c r="GZ6" i="2"/>
  <c r="GZ133" i="2"/>
  <c r="GZ202" i="2"/>
  <c r="GZ64" i="2"/>
  <c r="GZ50" i="2"/>
  <c r="GZ46" i="2"/>
  <c r="GZ51" i="2"/>
  <c r="GZ158" i="2"/>
  <c r="GZ32" i="2"/>
  <c r="GZ195" i="2"/>
  <c r="GZ88" i="2"/>
  <c r="GZ141" i="2"/>
  <c r="GZ126" i="2"/>
  <c r="GZ123" i="2"/>
  <c r="GZ191" i="2"/>
  <c r="GZ53" i="2"/>
  <c r="GZ39" i="2"/>
  <c r="GZ100" i="2"/>
  <c r="GZ65" i="2"/>
  <c r="GZ47" i="2"/>
  <c r="GZ40" i="2"/>
  <c r="GZ41" i="2"/>
  <c r="GZ94" i="2"/>
  <c r="GZ13" i="2"/>
  <c r="GZ150" i="2"/>
  <c r="GZ69" i="2"/>
  <c r="GZ138" i="2"/>
  <c r="GZ9" i="2"/>
  <c r="GZ62" i="2"/>
  <c r="GZ179" i="2"/>
  <c r="GZ52" i="2"/>
  <c r="GZ121" i="2"/>
  <c r="GZ174" i="2"/>
  <c r="GZ176" i="2"/>
  <c r="GZ30" i="2"/>
  <c r="GZ91" i="2"/>
  <c r="GZ144" i="2"/>
  <c r="GZ187" i="2"/>
  <c r="GZ17" i="2"/>
  <c r="GZ127" i="2"/>
  <c r="GZ197" i="2"/>
  <c r="GZ19" i="2"/>
  <c r="GZ128" i="2"/>
  <c r="GZ57" i="2"/>
  <c r="GZ110" i="2"/>
  <c r="GZ99" i="2"/>
  <c r="GZ31" i="2"/>
  <c r="GZ92" i="2"/>
  <c r="GZ131" i="2"/>
  <c r="GZ148" i="2"/>
  <c r="GZ83" i="2"/>
  <c r="GZ136" i="2"/>
  <c r="GZ198" i="2"/>
  <c r="GZ60" i="2"/>
  <c r="GZ129" i="2"/>
  <c r="GZ58" i="2"/>
  <c r="GZ111" i="2"/>
  <c r="GZ172" i="2"/>
  <c r="GZ162" i="2"/>
  <c r="GZ97" i="2"/>
  <c r="GZ84" i="2"/>
  <c r="GZ153" i="2"/>
  <c r="GZ7" i="2"/>
  <c r="GZ134" i="2"/>
  <c r="GZ139" i="2"/>
  <c r="GZ3" i="2"/>
  <c r="C15" i="4" s="1"/>
  <c r="E15" i="4" s="1"/>
  <c r="F15" i="4" s="1"/>
  <c r="G15" i="4" s="1"/>
  <c r="L15" i="4" s="1"/>
  <c r="FJ96" i="2"/>
  <c r="FJ133" i="2"/>
  <c r="FJ194" i="2"/>
  <c r="FJ148" i="2"/>
  <c r="FJ169" i="2"/>
  <c r="FJ94" i="2"/>
  <c r="FJ67" i="2"/>
  <c r="FJ89" i="2"/>
  <c r="FJ201" i="2"/>
  <c r="FJ108" i="2"/>
  <c r="FJ176" i="2"/>
  <c r="FJ177" i="2"/>
  <c r="FJ196" i="2"/>
  <c r="FJ118" i="2"/>
  <c r="FJ173" i="2"/>
  <c r="FJ187" i="2"/>
  <c r="FJ134" i="2"/>
  <c r="FJ78" i="2"/>
  <c r="FJ163" i="2"/>
  <c r="FJ157" i="2"/>
  <c r="FJ9" i="2"/>
  <c r="FJ29" i="2"/>
  <c r="FJ139" i="2"/>
  <c r="FJ202" i="2"/>
  <c r="FJ61" i="2"/>
  <c r="FJ158" i="2"/>
  <c r="FJ99" i="2"/>
  <c r="FJ192" i="2"/>
  <c r="FJ18" i="2"/>
  <c r="FJ66" i="2"/>
  <c r="FJ11" i="2"/>
  <c r="FJ112" i="2"/>
  <c r="FJ140" i="2"/>
  <c r="FJ21" i="2"/>
  <c r="FJ180" i="2"/>
  <c r="FJ4" i="2"/>
  <c r="FJ107" i="2"/>
  <c r="FJ14" i="2"/>
  <c r="FJ60" i="2"/>
  <c r="FJ183" i="2"/>
  <c r="FJ132" i="2"/>
  <c r="FJ125" i="2"/>
  <c r="FJ35" i="2"/>
  <c r="FJ199" i="2"/>
  <c r="FJ75" i="2"/>
  <c r="FJ193" i="2"/>
  <c r="FJ93" i="2"/>
  <c r="FJ131" i="2"/>
  <c r="FJ123" i="2"/>
  <c r="FJ70" i="2"/>
  <c r="FJ145" i="2"/>
  <c r="FJ76" i="2"/>
  <c r="FJ22" i="2"/>
  <c r="FJ127" i="2"/>
  <c r="FJ46" i="2"/>
  <c r="FJ162" i="2"/>
  <c r="FJ26" i="2"/>
  <c r="FJ181" i="2"/>
  <c r="FJ144" i="2"/>
  <c r="FJ52" i="2"/>
  <c r="FJ165" i="2"/>
  <c r="FJ170" i="2"/>
  <c r="FJ149" i="2"/>
  <c r="FJ151" i="2"/>
  <c r="FJ17" i="2"/>
  <c r="FJ167" i="2"/>
  <c r="FJ62" i="2"/>
  <c r="FJ19" i="2"/>
  <c r="FJ65" i="2"/>
  <c r="FJ27" i="2"/>
  <c r="FJ197" i="2"/>
  <c r="FJ135" i="2"/>
  <c r="FJ91" i="2"/>
  <c r="FJ8" i="2"/>
  <c r="FJ142" i="2"/>
  <c r="FJ53" i="2"/>
  <c r="FJ188" i="2"/>
  <c r="FJ77" i="2"/>
  <c r="FJ64" i="2"/>
  <c r="FJ160" i="2"/>
  <c r="FJ110" i="2"/>
  <c r="FJ136" i="2"/>
  <c r="FJ84" i="2"/>
  <c r="FJ73" i="2"/>
  <c r="FJ156" i="2"/>
  <c r="FJ54" i="2"/>
  <c r="FJ175" i="2"/>
  <c r="FJ49" i="2"/>
  <c r="FJ47" i="2"/>
  <c r="FJ100" i="2"/>
  <c r="FJ172" i="2"/>
  <c r="FJ23" i="2"/>
  <c r="FJ48" i="2"/>
  <c r="FJ137" i="2"/>
  <c r="FJ33" i="2"/>
  <c r="FJ90" i="2"/>
  <c r="FJ182" i="2"/>
  <c r="FJ34" i="2"/>
  <c r="FJ120" i="2"/>
  <c r="FJ147" i="2"/>
  <c r="FJ40" i="2"/>
  <c r="FJ12" i="2"/>
  <c r="FJ41" i="2"/>
  <c r="FJ143" i="2"/>
  <c r="FJ168" i="2"/>
  <c r="FJ159" i="2"/>
  <c r="FJ44" i="2"/>
  <c r="FJ20" i="2"/>
  <c r="FJ71" i="2"/>
  <c r="FJ185" i="2"/>
  <c r="FJ141" i="2"/>
  <c r="FJ150" i="2"/>
  <c r="FJ102" i="2"/>
  <c r="FJ198" i="2"/>
  <c r="FJ146" i="2"/>
  <c r="FJ58" i="2"/>
  <c r="FJ126" i="2"/>
  <c r="FJ86" i="2"/>
  <c r="FJ63" i="2"/>
  <c r="FJ103" i="2"/>
  <c r="FJ57" i="2"/>
  <c r="FJ113" i="2"/>
  <c r="FJ28" i="2"/>
  <c r="FJ130" i="2"/>
  <c r="FJ129" i="2"/>
  <c r="FJ68" i="2"/>
  <c r="FJ153" i="2"/>
  <c r="FJ97" i="2"/>
  <c r="FJ30" i="2"/>
  <c r="FJ82" i="2"/>
  <c r="FJ178" i="2"/>
  <c r="FJ92" i="2"/>
  <c r="FJ59" i="2"/>
  <c r="FJ16" i="2"/>
  <c r="FJ186" i="2"/>
  <c r="FJ128" i="2"/>
  <c r="FJ111" i="2"/>
  <c r="FJ72" i="2"/>
  <c r="FJ25" i="2"/>
  <c r="FJ95" i="2"/>
  <c r="FJ98" i="2"/>
  <c r="FJ83" i="2"/>
  <c r="FJ164" i="2"/>
  <c r="FJ191" i="2"/>
  <c r="FJ45" i="2"/>
  <c r="FJ124" i="2"/>
  <c r="FJ32" i="2"/>
  <c r="FJ119" i="2"/>
  <c r="FJ15" i="2"/>
  <c r="FJ38" i="2"/>
  <c r="FJ200" i="2"/>
  <c r="FJ50" i="2"/>
  <c r="FJ51" i="2"/>
  <c r="FJ174" i="2"/>
  <c r="FJ179" i="2"/>
  <c r="FJ55" i="2"/>
  <c r="FJ138" i="2"/>
  <c r="FJ81" i="2"/>
  <c r="FJ13" i="2"/>
  <c r="FJ106" i="2"/>
  <c r="FJ5" i="2"/>
  <c r="FJ114" i="2"/>
  <c r="FJ69" i="2"/>
  <c r="FJ85" i="2"/>
  <c r="FJ88" i="2"/>
  <c r="FJ36" i="2"/>
  <c r="FJ74" i="2"/>
  <c r="FJ10" i="2"/>
  <c r="FJ39" i="2"/>
  <c r="FJ43" i="2"/>
  <c r="FJ87" i="2"/>
  <c r="FJ166" i="2"/>
  <c r="FJ122" i="2"/>
  <c r="FJ109" i="2"/>
  <c r="FJ101" i="2"/>
  <c r="FJ104" i="2"/>
  <c r="FJ121" i="2"/>
  <c r="FJ7" i="2"/>
  <c r="FJ105" i="2"/>
  <c r="FJ31" i="2"/>
  <c r="FJ6" i="2"/>
  <c r="FJ184" i="2"/>
  <c r="FJ115" i="2"/>
  <c r="FJ195" i="2"/>
  <c r="FJ37" i="2"/>
  <c r="FJ203" i="2"/>
  <c r="FJ116" i="2"/>
  <c r="FJ79" i="2"/>
  <c r="FJ171" i="2"/>
  <c r="FJ80" i="2"/>
  <c r="FJ24" i="2"/>
  <c r="FJ161" i="2"/>
  <c r="FJ3" i="2"/>
  <c r="C13" i="4" s="1"/>
  <c r="E13" i="4" s="1"/>
  <c r="F13" i="4" s="1"/>
  <c r="G13" i="4" s="1"/>
  <c r="L13" i="4" s="1"/>
  <c r="FJ152" i="2"/>
  <c r="FJ154" i="2"/>
  <c r="FJ189" i="2"/>
  <c r="FJ56" i="2"/>
  <c r="FJ190" i="2"/>
  <c r="FJ42" i="2"/>
  <c r="FJ117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CY24" i="2" l="1"/>
  <c r="CY136" i="2"/>
  <c r="CY93" i="2"/>
  <c r="CY153" i="2"/>
  <c r="CY154" i="2"/>
  <c r="CY103" i="2"/>
  <c r="CY101" i="2"/>
  <c r="CY170" i="2"/>
  <c r="CY70" i="2"/>
  <c r="CY168" i="2"/>
  <c r="CY14" i="2"/>
  <c r="CY81" i="2"/>
  <c r="CY37" i="2"/>
  <c r="CY122" i="2"/>
  <c r="CY102" i="2"/>
  <c r="CY123" i="2"/>
  <c r="CY131" i="2"/>
  <c r="CY52" i="2"/>
  <c r="CY58" i="2"/>
  <c r="CY76" i="2"/>
  <c r="CY201" i="2"/>
  <c r="CY97" i="2"/>
  <c r="CY179" i="2"/>
  <c r="CY20" i="2"/>
  <c r="CY156" i="2"/>
  <c r="CY5" i="2"/>
  <c r="CY51" i="2"/>
  <c r="CY64" i="2"/>
  <c r="CY177" i="2"/>
  <c r="CY141" i="2"/>
  <c r="CY67" i="2"/>
  <c r="CY10" i="2"/>
  <c r="CY82" i="2"/>
  <c r="CY107" i="2"/>
  <c r="CY36" i="2"/>
  <c r="CY105" i="2"/>
  <c r="CY100" i="2"/>
  <c r="CY137" i="2"/>
  <c r="CY128" i="2"/>
  <c r="CY135" i="2"/>
  <c r="CY109" i="2"/>
  <c r="CY119" i="2"/>
  <c r="CY199" i="2"/>
  <c r="CY127" i="2"/>
  <c r="CY167" i="2"/>
  <c r="CY158" i="2"/>
  <c r="CY190" i="2"/>
  <c r="CY138" i="2"/>
  <c r="CY17" i="2"/>
  <c r="CY175" i="2"/>
  <c r="CY140" i="2"/>
  <c r="CY34" i="2"/>
  <c r="CY176" i="2"/>
  <c r="CY95" i="2"/>
  <c r="CY124" i="2"/>
  <c r="CY183" i="2"/>
  <c r="CY115" i="2"/>
  <c r="CY75" i="2"/>
  <c r="CY66" i="2"/>
  <c r="CY118" i="2"/>
  <c r="CY94" i="2"/>
  <c r="CY71" i="2"/>
  <c r="CY41" i="2"/>
  <c r="CY132" i="2"/>
  <c r="CY198" i="2"/>
  <c r="CY83" i="2"/>
  <c r="CY110" i="2"/>
  <c r="CY28" i="2"/>
  <c r="CY21" i="2"/>
  <c r="CY145" i="2"/>
  <c r="CY181" i="2"/>
  <c r="CY87" i="2"/>
  <c r="CY121" i="2"/>
  <c r="CY120" i="2"/>
  <c r="CY18" i="2"/>
  <c r="CY157" i="2"/>
  <c r="CY111" i="2"/>
  <c r="CY169" i="2"/>
  <c r="CY15" i="2"/>
  <c r="CY195" i="2"/>
  <c r="CY85" i="2"/>
  <c r="CY133" i="2"/>
  <c r="CY6" i="2"/>
  <c r="CY116" i="2"/>
  <c r="CY56" i="2"/>
  <c r="CY54" i="2"/>
  <c r="CY25" i="2"/>
  <c r="CY151" i="2"/>
  <c r="CY27" i="2"/>
  <c r="CY126" i="2"/>
  <c r="CY180" i="2"/>
  <c r="CY166" i="2"/>
  <c r="CY46" i="2"/>
  <c r="CY139" i="2"/>
  <c r="CY7" i="2"/>
  <c r="CY4" i="2"/>
  <c r="CY108" i="2"/>
  <c r="CY62" i="2"/>
  <c r="CY92" i="2"/>
  <c r="CY88" i="2"/>
  <c r="CY114" i="2"/>
  <c r="CY90" i="2"/>
  <c r="CY84" i="2"/>
  <c r="CY112" i="2"/>
  <c r="CY193" i="2"/>
  <c r="CY80" i="2"/>
  <c r="CY200" i="2"/>
  <c r="CY42" i="2"/>
  <c r="CY61" i="2"/>
  <c r="CY184" i="2"/>
  <c r="CY77" i="2"/>
  <c r="CY148" i="2"/>
  <c r="CY78" i="2"/>
  <c r="CY8" i="2"/>
  <c r="CY152" i="2"/>
  <c r="CY173" i="2"/>
  <c r="CY144" i="2"/>
  <c r="CY178" i="2"/>
  <c r="CY129" i="2"/>
  <c r="CY63" i="2"/>
  <c r="CY104" i="2"/>
  <c r="CY31" i="2"/>
  <c r="CY79" i="2"/>
  <c r="CY159" i="2"/>
  <c r="CY146" i="2"/>
  <c r="CY43" i="2"/>
  <c r="CY171" i="2"/>
  <c r="CY130" i="2"/>
  <c r="CY35" i="2"/>
  <c r="CY143" i="2"/>
  <c r="CY53" i="2"/>
  <c r="CY125" i="2"/>
  <c r="CY38" i="2"/>
  <c r="CY13" i="2"/>
  <c r="CY197" i="2"/>
  <c r="CY65" i="2"/>
  <c r="CY68" i="2"/>
  <c r="CY106" i="2"/>
  <c r="CY172" i="2"/>
  <c r="CY72" i="2"/>
  <c r="CY49" i="2"/>
  <c r="CY134" i="2"/>
  <c r="CY16" i="2"/>
  <c r="CY45" i="2"/>
  <c r="CY188" i="2"/>
  <c r="CY161" i="2"/>
  <c r="CY47" i="2"/>
  <c r="CY89" i="2"/>
  <c r="CY59" i="2"/>
  <c r="CY192" i="2"/>
  <c r="CY147" i="2"/>
  <c r="CY39" i="2"/>
  <c r="CY40" i="2"/>
  <c r="CY142" i="2"/>
  <c r="CY60" i="2"/>
  <c r="CY11" i="2"/>
  <c r="CY185" i="2"/>
  <c r="CY69" i="2"/>
  <c r="CY191" i="2"/>
  <c r="CY150" i="2"/>
  <c r="CY203" i="2"/>
  <c r="CY9" i="2"/>
  <c r="CY165" i="2"/>
  <c r="CY160" i="2"/>
  <c r="CY50" i="2"/>
  <c r="CY22" i="2"/>
  <c r="CY91" i="2"/>
  <c r="CY194" i="2"/>
  <c r="CY117" i="2"/>
  <c r="CY149" i="2"/>
  <c r="CY12" i="2"/>
  <c r="CY73" i="2"/>
  <c r="CY186" i="2"/>
  <c r="CY29" i="2"/>
  <c r="CY86" i="2"/>
  <c r="CY189" i="2"/>
  <c r="CY96" i="2"/>
  <c r="CY57" i="2"/>
  <c r="CY196" i="2"/>
  <c r="CY155" i="2"/>
  <c r="CY44" i="2"/>
  <c r="CY182" i="2"/>
  <c r="CY26" i="2"/>
  <c r="CY174" i="2"/>
  <c r="CY98" i="2"/>
  <c r="CY48" i="2"/>
  <c r="CY32" i="2"/>
  <c r="CY33" i="2"/>
  <c r="CY30" i="2"/>
  <c r="CY162" i="2"/>
  <c r="CY19" i="2"/>
  <c r="CY23" i="2"/>
  <c r="CY163" i="2"/>
  <c r="CY113" i="2"/>
  <c r="CY202" i="2"/>
  <c r="CY55" i="2"/>
  <c r="CY99" i="2"/>
  <c r="CY3" i="2"/>
  <c r="C10" i="4" s="1"/>
  <c r="E10" i="4" s="1"/>
  <c r="F10" i="4" s="1"/>
  <c r="G10" i="4" s="1"/>
  <c r="L10" i="4" s="1"/>
  <c r="CY164" i="2"/>
  <c r="CY187" i="2"/>
  <c r="CY74" i="2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<sst xmlns="http://schemas.openxmlformats.org/spreadsheetml/2006/main" count="1181" uniqueCount="326">
  <si>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</si>
  <si>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</si>
  <si>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</si>
  <si>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</si>
  <si>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</si>
  <si>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</si>
  <si>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</si>
  <si>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</si>
  <si>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</si>
  <si>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</si>
  <si>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</si>
  <si>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</si>
  <si>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</si>
  <si>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</si>
  <si>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</si>
  <si>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</si>
  <si>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</si>
  <si>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</si>
  <si>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</si>
  <si>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</si>
  <si>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</si>
  <si>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</si>
  <si>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</si>
  <si>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</si>
  <si>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</si>
  <si>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</si>
  <si>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</si>
  <si>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</si>
  <si>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</si>
  <si>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</si>
  <si>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</si>
  <si>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</si>
  <si>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</si>
  <si>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</si>
  <si>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</si>
  <si>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</si>
  <si>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</si>
  <si>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</si>
  <si>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</si>
  <si>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</si>
  <si>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</si>
  <si>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</si>
  <si>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</si>
  <si>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</si>
  <si>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</si>
  <si>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</si>
  <si>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</si>
  <si>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</si>
  <si>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</si>
  <si>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</si>
  <si>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</si>
  <si>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</si>
  <si>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</si>
  <si>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</si>
  <si>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</si>
  <si>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</si>
  <si>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</si>
  <si>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</si>
  <si>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</si>
  <si>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</si>
  <si>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</si>
  <si>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</si>
  <si>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</si>
  <si>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</si>
  <si>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</si>
  <si>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</si>
  <si>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</si>
  <si>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</si>
  <si>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</si>
  <si>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</si>
  <si>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</si>
  <si>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</si>
  <si>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</si>
  <si>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</si>
  <si>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</si>
  <si>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</si>
  <si>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</si>
  <si>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</si>
  <si>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</si>
  <si>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</si>
  <si>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</si>
  <si>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</si>
  <si>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</si>
  <si>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</si>
  <si>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</si>
  <si>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</si>
  <si>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</si>
  <si>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</si>
  <si>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</si>
  <si>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</si>
  <si>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</si>
  <si>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</si>
  <si>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</si>
  <si>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</si>
  <si>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</si>
  <si>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</si>
  <si>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</si>
  <si>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</si>
  <si>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</si>
  <si>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</si>
  <si>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</si>
  <si>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</si>
  <si>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</si>
  <si>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</si>
  <si>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</si>
  <si>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</si>
  <si>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</si>
  <si>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</si>
  <si>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</si>
  <si>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</si>
  <si>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</si>
  <si>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</si>
  <si>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</si>
  <si>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</si>
  <si>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</si>
  <si>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</si>
  <si>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</si>
  <si>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</si>
  <si>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</si>
  <si>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</si>
  <si>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</si>
  <si>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</si>
  <si>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</si>
  <si>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</si>
  <si>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</si>
  <si>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</si>
  <si>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</si>
  <si>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</si>
  <si>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</si>
  <si>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</si>
  <si>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</si>
  <si>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</si>
  <si>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</si>
  <si>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</si>
  <si>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</si>
  <si>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</si>
  <si>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</si>
  <si>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</si>
  <si>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</si>
  <si>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</si>
  <si>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</si>
  <si>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</si>
  <si>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</si>
  <si>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</si>
  <si>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</si>
  <si>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</si>
  <si>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</si>
  <si>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</si>
  <si>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</si>
  <si>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</si>
  <si>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</si>
  <si>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</si>
  <si>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</si>
  <si>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</si>
  <si>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</si>
  <si>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</si>
  <si>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</si>
  <si>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</si>
  <si>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</si>
  <si>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</si>
  <si>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</si>
  <si>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</si>
  <si>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</si>
  <si>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</si>
  <si>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</si>
  <si>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</si>
  <si>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</si>
  <si>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</si>
  <si>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</si>
  <si>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</si>
  <si>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</si>
  <si>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</si>
  <si>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</si>
  <si>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</si>
  <si>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</si>
  <si>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</si>
  <si>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</si>
  <si>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</si>
  <si>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</si>
  <si>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</si>
  <si>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</si>
  <si>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</si>
  <si>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</si>
  <si>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</si>
  <si>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</si>
  <si>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</si>
  <si>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</si>
  <si>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</si>
  <si>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</si>
  <si>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</si>
  <si>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</si>
  <si>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</si>
  <si>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</si>
  <si>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</si>
  <si>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</si>
  <si>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</si>
  <si>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</si>
  <si>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</si>
  <si>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</si>
  <si>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</si>
  <si>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</si>
  <si>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</si>
  <si>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</si>
  <si>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</si>
  <si>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</si>
  <si>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</si>
  <si>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</si>
  <si>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</si>
  <si>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</si>
  <si>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</si>
  <si>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</si>
  <si>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</si>
  <si>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</si>
  <si>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</si>
  <si>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</si>
  <si>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</si>
  <si>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</si>
  <si>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</si>
  <si>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</si>
  <si>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</si>
  <si>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</si>
  <si>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</si>
  <si>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</si>
  <si>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</si>
  <si>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</si>
  <si>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</si>
  <si>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</si>
  <si>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</si>
  <si>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</si>
  <si>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</si>
  <si>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</si>
  <si>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</si>
  <si>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</si>
  <si>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</si>
  <si>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</si>
  <si>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</si>
  <si>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</si>
  <si>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</si>
  <si>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</si>
  <si>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</si>
  <si>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</si>
  <si>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</si>
  <si>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</si>
  <si>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</si>
  <si>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</si>
  <si>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</si>
  <si>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</si>
  <si>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</si>
  <si>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</si>
  <si>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</si>
  <si>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</si>
  <si>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</si>
  <si>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</si>
  <si>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</si>
  <si>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</si>
  <si>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</si>
  <si>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</si>
  <si>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</si>
  <si>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</si>
  <si>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</si>
  <si>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</si>
  <si>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</si>
  <si>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</si>
  <si>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</si>
  <si>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</si>
  <si>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</si>
  <si>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</si>
  <si>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</si>
  <si>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</si>
  <si>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</si>
  <si>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</si>
  <si>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</si>
  <si>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</si>
  <si>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</si>
  <si>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</si>
  <si>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</si>
  <si>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</si>
  <si>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</si>
  <si>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</si>
  <si>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</si>
  <si>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</si>
  <si>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</si>
  <si>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</si>
  <si>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</si>
  <si>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</si>
  <si>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</si>
  <si>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</si>
  <si>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</si>
  <si>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</si>
  <si>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</si>
  <si>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</si>
  <si>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</si>
  <si>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</si>
  <si>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</si>
  <si>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</si>
  <si>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</si>
  <si>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</si>
  <si>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</si>
  <si>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</si>
  <si>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</si>
  <si>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</si>
  <si>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</si>
  <si>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</si>
  <si>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</si>
  <si>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</si>
  <si>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</si>
  <si>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</si>
  <si>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</si>
  <si>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</si>
  <si>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</si>
  <si>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</si>
  <si>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</si>
  <si>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</si>
  <si>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</si>
  <si>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</si>
  <si>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</si>
  <si>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</si>
  <si>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</si>
  <si>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</si>
  <si>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</si>
  <si>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</si>
  <si>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</si>
  <si>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</si>
  <si>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</si>
  <si>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Erable de Montpellier</t>
  </si>
  <si>
    <t>De montpellier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</si>
</sst>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119.94393082981507</c:v>
                </c:pt>
                <c:pt idx="32">
                  <c:v>129.83298609190555</c:v>
                </c:pt>
                <c:pt idx="33">
                  <c:v>139.70382844505215</c:v>
                </c:pt>
                <c:pt idx="34">
                  <c:v>149.55792775717683</c:v>
                </c:pt>
                <c:pt idx="35">
                  <c:v>159.39654402501068</c:v>
                </c:pt>
                <c:pt idx="36">
                  <c:v>144.43580369901198</c:v>
                </c:pt>
                <c:pt idx="37">
                  <c:v>155.06938697591292</c:v>
                </c:pt>
                <c:pt idx="38">
                  <c:v>165.68564301412417</c:v>
                </c:pt>
                <c:pt idx="39">
                  <c:v>176.28583963282651</c:v>
                </c:pt>
                <c:pt idx="40">
                  <c:v>186.87107951156952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197.83360065109454</c:v>
                </c:pt>
                <c:pt idx="47">
                  <c:v>208.78202813507096</c:v>
                </c:pt>
                <c:pt idx="48">
                  <c:v>219.71720575536781</c:v>
                </c:pt>
                <c:pt idx="49">
                  <c:v>230.63988637237381</c:v>
                </c:pt>
                <c:pt idx="50">
                  <c:v>241.55074565033252</c:v>
                </c:pt>
                <c:pt idx="51">
                  <c:v>225.18006429243289</c:v>
                </c:pt>
                <c:pt idx="52">
                  <c:v>236.09675414607651</c:v>
                </c:pt>
                <c:pt idx="53">
                  <c:v>247.00193510423426</c:v>
                </c:pt>
                <c:pt idx="54">
                  <c:v>257.896187237346</c:v>
                </c:pt>
                <c:pt idx="55">
                  <c:v>268.780037569483</c:v>
                </c:pt>
                <c:pt idx="56">
                  <c:v>252.06130672849841</c:v>
                </c:pt>
                <c:pt idx="57">
                  <c:v>262.56193918616856</c:v>
                </c:pt>
                <c:pt idx="58">
                  <c:v>273.05309633794872</c:v>
                </c:pt>
                <c:pt idx="59">
                  <c:v>283.53519379457322</c:v>
                </c:pt>
                <c:pt idx="60">
                  <c:v>294.00861390700948</c:v>
                </c:pt>
                <c:pt idx="61">
                  <c:v>277.32465175371141</c:v>
                </c:pt>
                <c:pt idx="62">
                  <c:v>287.80316958954148</c:v>
                </c:pt>
                <c:pt idx="63">
                  <c:v>298.27315720720395</c:v>
                </c:pt>
                <c:pt idx="64">
                  <c:v>308.73495641743983</c:v>
                </c:pt>
                <c:pt idx="65">
                  <c:v>319.18888396087686</c:v>
                </c:pt>
                <c:pt idx="66">
                  <c:v>301.76131730306923</c:v>
                </c:pt>
                <c:pt idx="67">
                  <c:v>311.445977545365</c:v>
                </c:pt>
                <c:pt idx="68">
                  <c:v>321.12395650175074</c:v>
                </c:pt>
                <c:pt idx="69">
                  <c:v>330.79548404889391</c:v>
                </c:pt>
                <c:pt idx="70">
                  <c:v>340.46077551603139</c:v>
                </c:pt>
                <c:pt idx="71">
                  <c:v>323.0587710327315</c:v>
                </c:pt>
                <c:pt idx="72">
                  <c:v>332.72903457884451</c:v>
                </c:pt>
                <c:pt idx="73">
                  <c:v>342.393103483792</c:v>
                </c:pt>
                <c:pt idx="74">
                  <c:v>352.05117734371055</c:v>
                </c:pt>
                <c:pt idx="75">
                  <c:v>361.70344390352278</c:v>
                </c:pt>
                <c:pt idx="76">
                  <c:v>343.55238507891909</c:v>
                </c:pt>
                <c:pt idx="77">
                  <c:v>352.43737829470524</c:v>
                </c:pt>
                <c:pt idx="78">
                  <c:v>361.31746248867267</c:v>
                </c:pt>
                <c:pt idx="79">
                  <c:v>370.19277539866533</c:v>
                </c:pt>
                <c:pt idx="80">
                  <c:v>379.06344761508905</c:v>
                </c:pt>
                <c:pt idx="81">
                  <c:v>360.54547259299096</c:v>
                </c:pt>
                <c:pt idx="82">
                  <c:v>369.03539178839691</c:v>
                </c:pt>
                <c:pt idx="83">
                  <c:v>377.52104986809326</c:v>
                </c:pt>
                <c:pt idx="84">
                  <c:v>386.00255617832909</c:v>
                </c:pt>
                <c:pt idx="85">
                  <c:v>394.4800148650682</c:v>
                </c:pt>
                <c:pt idx="86">
                  <c:v>375.5928596226683</c:v>
                </c:pt>
                <c:pt idx="87">
                  <c:v>383.68982380189919</c:v>
                </c:pt>
                <c:pt idx="88">
                  <c:v>391.78307456466774</c:v>
                </c:pt>
                <c:pt idx="89">
                  <c:v>399.87269948886461</c:v>
                </c:pt>
                <c:pt idx="90">
                  <c:v>407.95878231757433</c:v>
                </c:pt>
                <c:pt idx="91">
                  <c:v>388.31498751962249</c:v>
                </c:pt>
                <c:pt idx="92">
                  <c:v>395.63572388568315</c:v>
                </c:pt>
                <c:pt idx="93">
                  <c:v>402.95352523018437</c:v>
                </c:pt>
                <c:pt idx="94">
                  <c:v>410.2684524106769</c:v>
                </c:pt>
                <c:pt idx="95">
                  <c:v>417.58056393601947</c:v>
                </c:pt>
                <c:pt idx="96">
                  <c:v>397.56174311317301</c:v>
                </c:pt>
                <c:pt idx="97">
                  <c:v>404.49374675366954</c:v>
                </c:pt>
                <c:pt idx="98">
                  <c:v>411.42318205612014</c:v>
                </c:pt>
                <c:pt idx="99">
                  <c:v>418.35009841196273</c:v>
                </c:pt>
                <c:pt idx="100">
                  <c:v>425.27454344239959</c:v>
                </c:pt>
                <c:pt idx="101">
                  <c:v>404.49374675366954</c:v>
                </c:pt>
                <c:pt idx="102">
                  <c:v>410.65337008044474</c:v>
                </c:pt>
                <c:pt idx="103">
                  <c:v>416.81099888731961</c:v>
                </c:pt>
                <c:pt idx="104">
                  <c:v>422.96666682108594</c:v>
                </c:pt>
                <c:pt idx="105">
                  <c:v>429.12040646848044</c:v>
                </c:pt>
                <c:pt idx="106">
                  <c:v>407.95878231757428</c:v>
                </c:pt>
                <c:pt idx="107">
                  <c:v>413.73243167051163</c:v>
                </c:pt>
                <c:pt idx="108">
                  <c:v>419.50434294248186</c:v>
                </c:pt>
                <c:pt idx="109">
                  <c:v>425.27454344239953</c:v>
                </c:pt>
                <c:pt idx="110">
                  <c:v>431.04305967701981</c:v>
                </c:pt>
                <c:pt idx="111">
                  <c:v>411.03827995947955</c:v>
                </c:pt>
                <c:pt idx="112">
                  <c:v>416.04140320133564</c:v>
                </c:pt>
                <c:pt idx="113">
                  <c:v>421.0432292429137</c:v>
                </c:pt>
                <c:pt idx="114">
                  <c:v>426.04377568397166</c:v>
                </c:pt>
                <c:pt idx="115">
                  <c:v>431.04305967701981</c:v>
                </c:pt>
                <c:pt idx="116">
                  <c:v>411.80807637868742</c:v>
                </c:pt>
                <c:pt idx="117">
                  <c:v>417.58056393601925</c:v>
                </c:pt>
                <c:pt idx="118">
                  <c:v>423.35133170920295</c:v>
                </c:pt>
                <c:pt idx="119">
                  <c:v>429.12040646848033</c:v>
                </c:pt>
                <c:pt idx="120">
                  <c:v>434.88781420496616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8.0726688341261168E-13</c:v>
                </c:pt>
                <c:pt idx="82">
                  <c:v>8.0726688341261168E-13</c:v>
                </c:pt>
                <c:pt idx="83">
                  <c:v>8.0726688341261168E-13</c:v>
                </c:pt>
                <c:pt idx="84">
                  <c:v>8.0726688341261168E-13</c:v>
                </c:pt>
                <c:pt idx="85">
                  <c:v>8.0726688341261168E-13</c:v>
                </c:pt>
                <c:pt idx="86">
                  <c:v>8.0726688341261168E-13</c:v>
                </c:pt>
                <c:pt idx="87">
                  <c:v>8.0726688341261168E-13</c:v>
                </c:pt>
                <c:pt idx="88">
                  <c:v>8.0726688341261168E-13</c:v>
                </c:pt>
                <c:pt idx="89">
                  <c:v>8.0726688341261168E-13</c:v>
                </c:pt>
                <c:pt idx="90">
                  <c:v>8.0726688341261168E-13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132.72079240284057</c:v>
                </c:pt>
                <c:pt idx="19">
                  <c:v>155.8126359599346</c:v>
                </c:pt>
                <c:pt idx="20">
                  <c:v>178.82306978803445</c:v>
                </c:pt>
                <c:pt idx="21">
                  <c:v>201.76405533830518</c:v>
                </c:pt>
                <c:pt idx="22">
                  <c:v>224.64460356442851</c:v>
                </c:pt>
                <c:pt idx="23">
                  <c:v>247.47173636577637</c:v>
                </c:pt>
                <c:pt idx="24">
                  <c:v>197.8580544671477</c:v>
                </c:pt>
                <c:pt idx="25">
                  <c:v>222.74503213678972</c:v>
                </c:pt>
                <c:pt idx="26">
                  <c:v>246.29146195068498</c:v>
                </c:pt>
                <c:pt idx="27">
                  <c:v>269.7867654657652</c:v>
                </c:pt>
                <c:pt idx="28">
                  <c:v>293.23601965253823</c:v>
                </c:pt>
                <c:pt idx="29">
                  <c:v>316.64342288321137</c:v>
                </c:pt>
                <c:pt idx="30">
                  <c:v>269.1846368228488</c:v>
                </c:pt>
                <c:pt idx="31">
                  <c:v>291.76806273215965</c:v>
                </c:pt>
                <c:pt idx="32">
                  <c:v>314.31245737703142</c:v>
                </c:pt>
                <c:pt idx="33">
                  <c:v>336.82101245116922</c:v>
                </c:pt>
                <c:pt idx="34">
                  <c:v>359.29645830338882</c:v>
                </c:pt>
                <c:pt idx="35">
                  <c:v>382.32591187841672</c:v>
                </c:pt>
                <c:pt idx="36">
                  <c:v>405.32521445817457</c:v>
                </c:pt>
                <c:pt idx="37">
                  <c:v>329.49956410258034</c:v>
                </c:pt>
                <c:pt idx="38">
                  <c:v>350.6176658470888</c:v>
                </c:pt>
                <c:pt idx="39">
                  <c:v>371.70788157726429</c:v>
                </c:pt>
                <c:pt idx="40">
                  <c:v>392.77201509777075</c:v>
                </c:pt>
                <c:pt idx="41">
                  <c:v>413.81166103638043</c:v>
                </c:pt>
                <c:pt idx="42">
                  <c:v>434.82823872135873</c:v>
                </c:pt>
                <c:pt idx="43">
                  <c:v>455.82301916703295</c:v>
                </c:pt>
                <c:pt idx="44">
                  <c:v>476.72831676952779</c:v>
                </c:pt>
                <c:pt idx="45">
                  <c:v>396.25755139272502</c:v>
                </c:pt>
                <c:pt idx="46">
                  <c:v>414.9035395171382</c:v>
                </c:pt>
                <c:pt idx="47">
                  <c:v>433.53146186188638</c:v>
                </c:pt>
                <c:pt idx="48">
                  <c:v>452.14220350684337</c:v>
                </c:pt>
                <c:pt idx="49">
                  <c:v>470.73657076305057</c:v>
                </c:pt>
                <c:pt idx="50">
                  <c:v>489.31530108112497</c:v>
                </c:pt>
                <c:pt idx="51">
                  <c:v>507.87907137683516</c:v>
                </c:pt>
                <c:pt idx="52">
                  <c:v>526.42850507644687</c:v>
                </c:pt>
                <c:pt idx="53">
                  <c:v>447.55932636655058</c:v>
                </c:pt>
                <c:pt idx="54">
                  <c:v>464.23574904580886</c:v>
                </c:pt>
                <c:pt idx="55">
                  <c:v>480.89940004934402</c:v>
                </c:pt>
                <c:pt idx="56">
                  <c:v>497.55078403848262</c:v>
                </c:pt>
                <c:pt idx="57">
                  <c:v>514.19036915679919</c:v>
                </c:pt>
                <c:pt idx="58">
                  <c:v>530.8185907931454</c:v>
                </c:pt>
                <c:pt idx="59">
                  <c:v>547.43585484879588</c:v>
                </c:pt>
                <c:pt idx="60">
                  <c:v>564.04254058742833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3.5516969532643903</c:v>
                </c:pt>
                <c:pt idx="2">
                  <c:v>4.3266051417155262</c:v>
                </c:pt>
                <c:pt idx="3">
                  <c:v>5.27121251908404</c:v>
                </c:pt>
                <c:pt idx="4">
                  <c:v>6.4228118605264584</c:v>
                </c:pt>
                <c:pt idx="5">
                  <c:v>7.8269180191037195</c:v>
                </c:pt>
                <c:pt idx="6">
                  <c:v>9.5390861418443098</c:v>
                </c:pt>
                <c:pt idx="7">
                  <c:v>11.627133077910649</c:v>
                </c:pt>
                <c:pt idx="8">
                  <c:v>14.17385161415301</c:v>
                </c:pt>
                <c:pt idx="9">
                  <c:v>17.280327146544401</c:v>
                </c:pt>
                <c:pt idx="10">
                  <c:v>21.069990829094035</c:v>
                </c:pt>
                <c:pt idx="11">
                  <c:v>25.693573132583566</c:v>
                </c:pt>
                <c:pt idx="12">
                  <c:v>31.335158315197802</c:v>
                </c:pt>
                <c:pt idx="13">
                  <c:v>38.219585050939777</c:v>
                </c:pt>
                <c:pt idx="14">
                  <c:v>46.621493209972876</c:v>
                </c:pt>
                <c:pt idx="15">
                  <c:v>56.876383778568247</c:v>
                </c:pt>
                <c:pt idx="16">
                  <c:v>69.3941408887123</c:v>
                </c:pt>
                <c:pt idx="17">
                  <c:v>84.675565257846088</c:v>
                </c:pt>
                <c:pt idx="18">
                  <c:v>103.33259113084416</c:v>
                </c:pt>
                <c:pt idx="19">
                  <c:v>126.11300910581747</c:v>
                </c:pt>
                <c:pt idx="20">
                  <c:v>153.93070118029485</c:v>
                </c:pt>
                <c:pt idx="21">
                  <c:v>187.90261952781535</c:v>
                </c:pt>
                <c:pt idx="22">
                  <c:v>229.3940161568687</c:v>
                </c:pt>
                <c:pt idx="23">
                  <c:v>280.07376804303095</c:v>
                </c:pt>
                <c:pt idx="24">
                  <c:v>341.98205543593468</c:v>
                </c:pt>
                <c:pt idx="25">
                  <c:v>253.71250857177745</c:v>
                </c:pt>
                <c:pt idx="26">
                  <c:v>286.4407009904204</c:v>
                </c:pt>
                <c:pt idx="27">
                  <c:v>319.08519371194211</c:v>
                </c:pt>
                <c:pt idx="28">
                  <c:v>351.65574711570935</c:v>
                </c:pt>
                <c:pt idx="29">
                  <c:v>384.16016521561534</c:v>
                </c:pt>
                <c:pt idx="30">
                  <c:v>416.60482373987071</c:v>
                </c:pt>
                <c:pt idx="31">
                  <c:v>354.1183201150298</c:v>
                </c:pt>
                <c:pt idx="32">
                  <c:v>383.82479261965858</c:v>
                </c:pt>
                <c:pt idx="33">
                  <c:v>417.2417141311567</c:v>
                </c:pt>
                <c:pt idx="34">
                  <c:v>450.60096112475793</c:v>
                </c:pt>
                <c:pt idx="35">
                  <c:v>483.90739741834113</c:v>
                </c:pt>
                <c:pt idx="36">
                  <c:v>517.16516329635363</c:v>
                </c:pt>
                <c:pt idx="37">
                  <c:v>550.37782368933517</c:v>
                </c:pt>
                <c:pt idx="38">
                  <c:v>583.5484787178442</c:v>
                </c:pt>
                <c:pt idx="39">
                  <c:v>483.99692918058872</c:v>
                </c:pt>
                <c:pt idx="40">
                  <c:v>515.95408799014319</c:v>
                </c:pt>
                <c:pt idx="41">
                  <c:v>547.86949303478889</c:v>
                </c:pt>
                <c:pt idx="42">
                  <c:v>578.9561487544388</c:v>
                </c:pt>
                <c:pt idx="43">
                  <c:v>610.00799870373567</c:v>
                </c:pt>
                <c:pt idx="44">
                  <c:v>641.02706095028282</c:v>
                </c:pt>
                <c:pt idx="45">
                  <c:v>672.01514261380589</c:v>
                </c:pt>
                <c:pt idx="46">
                  <c:v>702.97387081781142</c:v>
                </c:pt>
                <c:pt idx="47">
                  <c:v>575.35691439808045</c:v>
                </c:pt>
                <c:pt idx="48">
                  <c:v>605.58761243506979</c:v>
                </c:pt>
                <c:pt idx="49">
                  <c:v>635.78698422087973</c:v>
                </c:pt>
                <c:pt idx="50">
                  <c:v>665.95672463845517</c:v>
                </c:pt>
                <c:pt idx="51">
                  <c:v>694.06270383793526</c:v>
                </c:pt>
                <c:pt idx="52">
                  <c:v>722.14537824646277</c:v>
                </c:pt>
                <c:pt idx="53">
                  <c:v>750.20578022427355</c:v>
                </c:pt>
                <c:pt idx="54">
                  <c:v>778.24485872603066</c:v>
                </c:pt>
                <c:pt idx="55">
                  <c:v>628.46977389825258</c:v>
                </c:pt>
                <c:pt idx="56">
                  <c:v>653.19103204655005</c:v>
                </c:pt>
                <c:pt idx="57">
                  <c:v>677.89301472267243</c:v>
                </c:pt>
                <c:pt idx="58">
                  <c:v>702.57652222588729</c:v>
                </c:pt>
                <c:pt idx="59">
                  <c:v>727.24229411095405</c:v>
                </c:pt>
                <c:pt idx="60">
                  <c:v>750.84092826425319</c:v>
                </c:pt>
                <c:pt idx="61">
                  <c:v>774.42449437882988</c:v>
                </c:pt>
                <c:pt idx="62">
                  <c:v>797.99351528379111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1.7365288585798071</c:v>
                </c:pt>
                <c:pt idx="2">
                  <c:v>1.9857790195977572</c:v>
                </c:pt>
                <c:pt idx="3">
                  <c:v>2.2709354181957848</c:v>
                </c:pt>
                <c:pt idx="4">
                  <c:v>2.5971884173465303</c:v>
                </c:pt>
                <c:pt idx="5">
                  <c:v>2.970481087970132</c:v>
                </c:pt>
                <c:pt idx="6">
                  <c:v>3.3976186955553911</c:v>
                </c:pt>
                <c:pt idx="7">
                  <c:v>3.8863941567984415</c:v>
                </c:pt>
                <c:pt idx="8">
                  <c:v>4.4457318016754677</c:v>
                </c:pt>
                <c:pt idx="9">
                  <c:v>5.0858521186960717</c:v>
                </c:pt>
                <c:pt idx="10">
                  <c:v>5.8184605537010974</c:v>
                </c:pt>
                <c:pt idx="11">
                  <c:v>6.6569638828747459</c:v>
                </c:pt>
                <c:pt idx="12">
                  <c:v>7.6167181971281517</c:v>
                </c:pt>
                <c:pt idx="13">
                  <c:v>8.7153131274256328</c:v>
                </c:pt>
                <c:pt idx="14">
                  <c:v>9.9728976201482755</c:v>
                </c:pt>
                <c:pt idx="15">
                  <c:v>11.412553351054504</c:v>
                </c:pt>
                <c:pt idx="16">
                  <c:v>15.158767563897795</c:v>
                </c:pt>
                <c:pt idx="17">
                  <c:v>18.877338267611329</c:v>
                </c:pt>
                <c:pt idx="18">
                  <c:v>22.574543543183726</c:v>
                </c:pt>
                <c:pt idx="19">
                  <c:v>26.718309989095129</c:v>
                </c:pt>
                <c:pt idx="20">
                  <c:v>30.843963924565561</c:v>
                </c:pt>
                <c:pt idx="21">
                  <c:v>35.779981908230639</c:v>
                </c:pt>
                <c:pt idx="22">
                  <c:v>40.697340594727457</c:v>
                </c:pt>
                <c:pt idx="23">
                  <c:v>45.598622999404462</c:v>
                </c:pt>
                <c:pt idx="24">
                  <c:v>51.244584403007543</c:v>
                </c:pt>
                <c:pt idx="25">
                  <c:v>56.874084011807788</c:v>
                </c:pt>
                <c:pt idx="26">
                  <c:v>63.0874598444125</c:v>
                </c:pt>
                <c:pt idx="27">
                  <c:v>69.284963933229065</c:v>
                </c:pt>
                <c:pt idx="28">
                  <c:v>76.236418893599691</c:v>
                </c:pt>
                <c:pt idx="29">
                  <c:v>83.17173237589725</c:v>
                </c:pt>
                <c:pt idx="30">
                  <c:v>90.092443410109254</c:v>
                </c:pt>
                <c:pt idx="31">
                  <c:v>98.183437633868849</c:v>
                </c:pt>
                <c:pt idx="32">
                  <c:v>106.2578646390574</c:v>
                </c:pt>
                <c:pt idx="33">
                  <c:v>114.31716321374144</c:v>
                </c:pt>
                <c:pt idx="34">
                  <c:v>122.36255218645294</c:v>
                </c:pt>
                <c:pt idx="35">
                  <c:v>130.39507663908543</c:v>
                </c:pt>
                <c:pt idx="36">
                  <c:v>138.41564209755924</c:v>
                </c:pt>
                <c:pt idx="37">
                  <c:v>108.71496356951415</c:v>
                </c:pt>
                <c:pt idx="38">
                  <c:v>116.12659168742881</c:v>
                </c:pt>
                <c:pt idx="39">
                  <c:v>123.52665717455488</c:v>
                </c:pt>
                <c:pt idx="40">
                  <c:v>130.91595166549749</c:v>
                </c:pt>
                <c:pt idx="41">
                  <c:v>138.2951699337498</c:v>
                </c:pt>
                <c:pt idx="42">
                  <c:v>145.66492639701752</c:v>
                </c:pt>
                <c:pt idx="43">
                  <c:v>153.02576809862674</c:v>
                </c:pt>
                <c:pt idx="44">
                  <c:v>160.37818505437852</c:v>
                </c:pt>
                <c:pt idx="45">
                  <c:v>167.72261859841026</c:v>
                </c:pt>
                <c:pt idx="46">
                  <c:v>175.78467715859449</c:v>
                </c:pt>
                <c:pt idx="47">
                  <c:v>183.83805662988053</c:v>
                </c:pt>
                <c:pt idx="48">
                  <c:v>191.88319135935092</c:v>
                </c:pt>
                <c:pt idx="49">
                  <c:v>199.9204762430368</c:v>
                </c:pt>
                <c:pt idx="50">
                  <c:v>207.9502717865131</c:v>
                </c:pt>
                <c:pt idx="51">
                  <c:v>215.97290834173984</c:v>
                </c:pt>
                <c:pt idx="52">
                  <c:v>223.98868968050897</c:v>
                </c:pt>
                <c:pt idx="53">
                  <c:v>141.31684787553695</c:v>
                </c:pt>
                <c:pt idx="54">
                  <c:v>147.40158468106509</c:v>
                </c:pt>
                <c:pt idx="55">
                  <c:v>153.48032276119591</c:v>
                </c:pt>
                <c:pt idx="56">
                  <c:v>159.55333369863573</c:v>
                </c:pt>
                <c:pt idx="57">
                  <c:v>165.62086667018562</c:v>
                </c:pt>
                <c:pt idx="58">
                  <c:v>171.68315106713302</c:v>
                </c:pt>
                <c:pt idx="59">
                  <c:v>178.0214712994285</c:v>
                </c:pt>
                <c:pt idx="60">
                  <c:v>184.35450059957654</c:v>
                </c:pt>
                <c:pt idx="61">
                  <c:v>190.68244669099238</c:v>
                </c:pt>
                <c:pt idx="62">
                  <c:v>197.00550235934858</c:v>
                </c:pt>
                <c:pt idx="63">
                  <c:v>203.32384698261285</c:v>
                </c:pt>
                <c:pt idx="64">
                  <c:v>209.63764786063476</c:v>
                </c:pt>
                <c:pt idx="65">
                  <c:v>216.22896978602731</c:v>
                </c:pt>
                <c:pt idx="66">
                  <c:v>222.8156700896341</c:v>
                </c:pt>
                <c:pt idx="67">
                  <c:v>229.397904877256</c:v>
                </c:pt>
                <c:pt idx="68">
                  <c:v>235.97582055103649</c:v>
                </c:pt>
                <c:pt idx="69">
                  <c:v>242.54955467242237</c:v>
                </c:pt>
                <c:pt idx="70">
                  <c:v>249.11923672655436</c:v>
                </c:pt>
                <c:pt idx="71">
                  <c:v>255.75414767680783</c:v>
                </c:pt>
                <c:pt idx="72">
                  <c:v>262.38516433031623</c:v>
                </c:pt>
                <c:pt idx="73">
                  <c:v>269.01239912242971</c:v>
                </c:pt>
                <c:pt idx="74">
                  <c:v>275.6359584890792</c:v>
                </c:pt>
                <c:pt idx="75">
                  <c:v>142.92305263975348</c:v>
                </c:pt>
                <c:pt idx="76">
                  <c:v>147.24874449981021</c:v>
                </c:pt>
                <c:pt idx="77">
                  <c:v>151.57140084536584</c:v>
                </c:pt>
                <c:pt idx="78">
                  <c:v>155.89112068873536</c:v>
                </c:pt>
                <c:pt idx="79">
                  <c:v>160.20799709284978</c:v>
                </c:pt>
                <c:pt idx="80">
                  <c:v>164.52211768317849</c:v>
                </c:pt>
                <c:pt idx="81">
                  <c:v>168.99860527466819</c:v>
                </c:pt>
                <c:pt idx="82">
                  <c:v>173.47229831726341</c:v>
                </c:pt>
                <c:pt idx="83">
                  <c:v>177.94327922333582</c:v>
                </c:pt>
                <c:pt idx="84">
                  <c:v>182.41162591601582</c:v>
                </c:pt>
                <c:pt idx="85">
                  <c:v>186.87741218028009</c:v>
                </c:pt>
                <c:pt idx="86">
                  <c:v>191.34070797865547</c:v>
                </c:pt>
                <c:pt idx="87">
                  <c:v>194.71031036693921</c:v>
                </c:pt>
                <c:pt idx="88">
                  <c:v>198.07855726134417</c:v>
                </c:pt>
                <c:pt idx="89">
                  <c:v>201.44547502432837</c:v>
                </c:pt>
                <c:pt idx="90">
                  <c:v>204.81108906297979</c:v>
                </c:pt>
                <c:pt idx="91">
                  <c:v>1.9405750156381857E-12</c:v>
                </c:pt>
                <c:pt idx="92">
                  <c:v>1.9405750156381857E-12</c:v>
                </c:pt>
                <c:pt idx="93">
                  <c:v>1.9405750156381857E-12</c:v>
                </c:pt>
                <c:pt idx="94">
                  <c:v>1.9405750156381857E-12</c:v>
                </c:pt>
                <c:pt idx="95">
                  <c:v>1.9405750156381857E-12</c:v>
                </c:pt>
                <c:pt idx="96">
                  <c:v>1.9405750156381857E-12</c:v>
                </c:pt>
                <c:pt idx="97">
                  <c:v>1.9405750156381857E-12</c:v>
                </c:pt>
                <c:pt idx="98">
                  <c:v>1.9405750156381857E-12</c:v>
                </c:pt>
                <c:pt idx="99">
                  <c:v>1.9405750156381857E-12</c:v>
                </c:pt>
                <c:pt idx="100">
                  <c:v>1.9405750156381857E-12</c:v>
                </c:pt>
                <c:pt idx="101">
                  <c:v>1.9405750156381857E-12</c:v>
                </c:pt>
                <c:pt idx="102">
                  <c:v>1.9405750156381857E-12</c:v>
                </c:pt>
                <c:pt idx="103">
                  <c:v>1.9405750156381857E-12</c:v>
                </c:pt>
                <c:pt idx="104">
                  <c:v>1.9405750156381857E-12</c:v>
                </c:pt>
                <c:pt idx="105">
                  <c:v>1.9405750156381857E-12</c:v>
                </c:pt>
                <c:pt idx="106">
                  <c:v>1.9405750156381857E-12</c:v>
                </c:pt>
                <c:pt idx="107">
                  <c:v>1.9405750156381857E-12</c:v>
                </c:pt>
                <c:pt idx="108">
                  <c:v>1.9405750156381857E-12</c:v>
                </c:pt>
                <c:pt idx="109">
                  <c:v>1.9405750156381857E-12</c:v>
                </c:pt>
                <c:pt idx="110">
                  <c:v>1.9405750156381857E-12</c:v>
                </c:pt>
                <c:pt idx="111">
                  <c:v>1.9405750156381857E-12</c:v>
                </c:pt>
                <c:pt idx="112">
                  <c:v>1.9405750156381857E-12</c:v>
                </c:pt>
                <c:pt idx="113">
                  <c:v>1.9405750156381857E-12</c:v>
                </c:pt>
                <c:pt idx="114">
                  <c:v>1.9405750156381857E-12</c:v>
                </c:pt>
                <c:pt idx="115">
                  <c:v>1.9405750156381857E-12</c:v>
                </c:pt>
                <c:pt idx="116">
                  <c:v>1.9405750156381857E-12</c:v>
                </c:pt>
                <c:pt idx="117">
                  <c:v>1.9405750156381857E-12</c:v>
                </c:pt>
                <c:pt idx="118">
                  <c:v>1.9405750156381857E-12</c:v>
                </c:pt>
                <c:pt idx="119">
                  <c:v>1.9405750156381857E-12</c:v>
                </c:pt>
                <c:pt idx="120">
                  <c:v>1.9405750156381857E-12</c:v>
                </c:pt>
                <c:pt idx="121">
                  <c:v>1.9405750156381857E-12</c:v>
                </c:pt>
                <c:pt idx="122">
                  <c:v>1.9405750156381857E-12</c:v>
                </c:pt>
                <c:pt idx="123">
                  <c:v>1.9405750156381857E-12</c:v>
                </c:pt>
                <c:pt idx="124">
                  <c:v>1.9405750156381857E-12</c:v>
                </c:pt>
                <c:pt idx="125">
                  <c:v>1.9405750156381857E-12</c:v>
                </c:pt>
                <c:pt idx="126">
                  <c:v>1.9405750156381857E-12</c:v>
                </c:pt>
                <c:pt idx="127">
                  <c:v>1.9405750156381857E-12</c:v>
                </c:pt>
                <c:pt idx="128">
                  <c:v>1.9405750156381857E-12</c:v>
                </c:pt>
                <c:pt idx="129">
                  <c:v>1.9405750156381857E-12</c:v>
                </c:pt>
                <c:pt idx="130">
                  <c:v>1.9405750156381857E-12</c:v>
                </c:pt>
                <c:pt idx="131">
                  <c:v>1.9405750156381857E-12</c:v>
                </c:pt>
                <c:pt idx="132">
                  <c:v>1.9405750156381857E-12</c:v>
                </c:pt>
                <c:pt idx="133">
                  <c:v>1.9405750156381857E-12</c:v>
                </c:pt>
                <c:pt idx="134">
                  <c:v>1.9405750156381857E-12</c:v>
                </c:pt>
                <c:pt idx="135">
                  <c:v>1.9405750156381857E-12</c:v>
                </c:pt>
                <c:pt idx="136">
                  <c:v>1.9405750156381857E-12</c:v>
                </c:pt>
                <c:pt idx="137">
                  <c:v>1.9405750156381857E-12</c:v>
                </c:pt>
                <c:pt idx="138">
                  <c:v>1.9405750156381857E-12</c:v>
                </c:pt>
                <c:pt idx="139">
                  <c:v>1.9405750156381857E-12</c:v>
                </c:pt>
                <c:pt idx="140">
                  <c:v>1.9405750156381857E-12</c:v>
                </c:pt>
                <c:pt idx="141">
                  <c:v>1.9405750156381857E-12</c:v>
                </c:pt>
                <c:pt idx="142">
                  <c:v>1.9405750156381857E-12</c:v>
                </c:pt>
                <c:pt idx="143">
                  <c:v>1.9405750156381857E-12</c:v>
                </c:pt>
                <c:pt idx="144">
                  <c:v>1.9405750156381857E-12</c:v>
                </c:pt>
                <c:pt idx="145">
                  <c:v>1.9405750156381857E-12</c:v>
                </c:pt>
                <c:pt idx="146">
                  <c:v>1.9405750156381857E-12</c:v>
                </c:pt>
                <c:pt idx="147">
                  <c:v>1.9405750156381857E-12</c:v>
                </c:pt>
                <c:pt idx="148">
                  <c:v>1.9405750156381857E-12</c:v>
                </c:pt>
                <c:pt idx="149">
                  <c:v>1.9405750156381857E-12</c:v>
                </c:pt>
                <c:pt idx="150">
                  <c:v>1.9405750156381857E-12</c:v>
                </c:pt>
                <c:pt idx="151">
                  <c:v>1.9405750156381857E-12</c:v>
                </c:pt>
                <c:pt idx="152">
                  <c:v>1.9405750156381857E-12</c:v>
                </c:pt>
                <c:pt idx="153">
                  <c:v>1.9405750156381857E-12</c:v>
                </c:pt>
                <c:pt idx="154">
                  <c:v>1.9405750156381857E-12</c:v>
                </c:pt>
                <c:pt idx="155">
                  <c:v>1.9405750156381857E-12</c:v>
                </c:pt>
                <c:pt idx="156">
                  <c:v>1.9405750156381857E-12</c:v>
                </c:pt>
                <c:pt idx="157">
                  <c:v>1.9405750156381857E-12</c:v>
                </c:pt>
                <c:pt idx="158">
                  <c:v>1.9405750156381857E-12</c:v>
                </c:pt>
                <c:pt idx="159">
                  <c:v>1.9405750156381857E-12</c:v>
                </c:pt>
                <c:pt idx="160">
                  <c:v>1.9405750156381857E-12</c:v>
                </c:pt>
                <c:pt idx="161">
                  <c:v>1.9405750156381857E-12</c:v>
                </c:pt>
                <c:pt idx="162">
                  <c:v>1.9405750156381857E-12</c:v>
                </c:pt>
                <c:pt idx="163">
                  <c:v>1.9405750156381857E-12</c:v>
                </c:pt>
                <c:pt idx="164">
                  <c:v>1.9405750156381857E-12</c:v>
                </c:pt>
                <c:pt idx="165">
                  <c:v>1.9405750156381857E-12</c:v>
                </c:pt>
                <c:pt idx="166">
                  <c:v>1.9405750156381857E-12</c:v>
                </c:pt>
                <c:pt idx="167">
                  <c:v>1.9405750156381857E-12</c:v>
                </c:pt>
                <c:pt idx="168">
                  <c:v>1.9405750156381857E-12</c:v>
                </c:pt>
                <c:pt idx="169">
                  <c:v>1.9405750156381857E-12</c:v>
                </c:pt>
                <c:pt idx="170">
                  <c:v>1.9405750156381857E-12</c:v>
                </c:pt>
                <c:pt idx="171">
                  <c:v>1.9405750156381857E-12</c:v>
                </c:pt>
                <c:pt idx="172">
                  <c:v>1.9405750156381857E-12</c:v>
                </c:pt>
                <c:pt idx="173">
                  <c:v>1.9405750156381857E-12</c:v>
                </c:pt>
                <c:pt idx="174">
                  <c:v>1.9405750156381857E-12</c:v>
                </c:pt>
                <c:pt idx="175">
                  <c:v>1.9405750156381857E-12</c:v>
                </c:pt>
                <c:pt idx="176">
                  <c:v>1.9405750156381857E-12</c:v>
                </c:pt>
                <c:pt idx="177">
                  <c:v>1.9405750156381857E-12</c:v>
                </c:pt>
                <c:pt idx="178">
                  <c:v>1.9405750156381857E-12</c:v>
                </c:pt>
                <c:pt idx="179">
                  <c:v>1.9405750156381857E-12</c:v>
                </c:pt>
                <c:pt idx="180">
                  <c:v>1.9405750156381857E-12</c:v>
                </c:pt>
                <c:pt idx="181">
                  <c:v>1.9405750156381857E-12</c:v>
                </c:pt>
                <c:pt idx="182">
                  <c:v>1.9405750156381857E-12</c:v>
                </c:pt>
                <c:pt idx="183">
                  <c:v>1.9405750156381857E-12</c:v>
                </c:pt>
                <c:pt idx="184">
                  <c:v>1.9405750156381857E-12</c:v>
                </c:pt>
                <c:pt idx="185">
                  <c:v>1.9405750156381857E-12</c:v>
                </c:pt>
                <c:pt idx="186">
                  <c:v>1.9405750156381857E-12</c:v>
                </c:pt>
                <c:pt idx="187">
                  <c:v>1.9405750156381857E-12</c:v>
                </c:pt>
                <c:pt idx="188">
                  <c:v>1.9405750156381857E-12</c:v>
                </c:pt>
                <c:pt idx="189">
                  <c:v>1.9405750156381857E-12</c:v>
                </c:pt>
                <c:pt idx="190">
                  <c:v>1.9405750156381857E-12</c:v>
                </c:pt>
                <c:pt idx="191">
                  <c:v>1.9405750156381857E-12</c:v>
                </c:pt>
                <c:pt idx="192">
                  <c:v>1.9405750156381857E-12</c:v>
                </c:pt>
                <c:pt idx="193">
                  <c:v>1.9405750156381857E-12</c:v>
                </c:pt>
                <c:pt idx="194">
                  <c:v>1.9405750156381857E-12</c:v>
                </c:pt>
                <c:pt idx="195">
                  <c:v>1.9405750156381857E-12</c:v>
                </c:pt>
                <c:pt idx="196">
                  <c:v>1.9405750156381857E-12</c:v>
                </c:pt>
                <c:pt idx="197">
                  <c:v>1.9405750156381857E-12</c:v>
                </c:pt>
                <c:pt idx="198">
                  <c:v>1.9405750156381857E-12</c:v>
                </c:pt>
                <c:pt idx="199">
                  <c:v>1.9405750156381857E-12</c:v>
                </c:pt>
                <c:pt idx="200">
                  <c:v>1.9405750156381857E-12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1.4384690396415918</c:v>
                </c:pt>
                <c:pt idx="2">
                  <c:v>1.6447409712877299</c:v>
                </c:pt>
                <c:pt idx="3">
                  <c:v>1.88070050944335</c:v>
                </c:pt>
                <c:pt idx="4">
                  <c:v>2.1506353017490412</c:v>
                </c:pt>
                <c:pt idx="5">
                  <c:v>2.45945426542636</c:v>
                </c:pt>
                <c:pt idx="6">
                  <c:v>2.8127778822076075</c:v>
                </c:pt>
                <c:pt idx="7">
                  <c:v>3.2170416537823594</c:v>
                </c:pt>
                <c:pt idx="8">
                  <c:v>3.6796146409118591</c:v>
                </c:pt>
                <c:pt idx="9">
                  <c:v>4.2089352910653242</c:v>
                </c:pt>
                <c:pt idx="10">
                  <c:v>4.8146670824890752</c:v>
                </c:pt>
                <c:pt idx="11">
                  <c:v>5.5078768831129246</c:v>
                </c:pt>
                <c:pt idx="12">
                  <c:v>6.301239347607642</c:v>
                </c:pt>
                <c:pt idx="13">
                  <c:v>7.2092711632402393</c:v>
                </c:pt>
                <c:pt idx="14">
                  <c:v>8.2485995141185828</c:v>
                </c:pt>
                <c:pt idx="15">
                  <c:v>9.4382697745163444</c:v>
                </c:pt>
                <c:pt idx="16">
                  <c:v>10.800098177321425</c:v>
                </c:pt>
                <c:pt idx="17">
                  <c:v>12.359076047138066</c:v>
                </c:pt>
                <c:pt idx="18">
                  <c:v>14.143833155125259</c:v>
                </c:pt>
                <c:pt idx="19">
                  <c:v>16.187168862553072</c:v>
                </c:pt>
                <c:pt idx="20">
                  <c:v>18.526660993283034</c:v>
                </c:pt>
                <c:pt idx="21">
                  <c:v>21.205363836005709</c:v>
                </c:pt>
                <c:pt idx="22">
                  <c:v>24.272608352727918</c:v>
                </c:pt>
                <c:pt idx="23">
                  <c:v>27.784919592406251</c:v>
                </c:pt>
                <c:pt idx="24">
                  <c:v>31.807068514166122</c:v>
                </c:pt>
                <c:pt idx="25">
                  <c:v>36.413277954999586</c:v>
                </c:pt>
                <c:pt idx="26">
                  <c:v>41.68860538014254</c:v>
                </c:pt>
                <c:pt idx="27">
                  <c:v>47.730528385521446</c:v>
                </c:pt>
                <c:pt idx="28">
                  <c:v>54.650762743892862</c:v>
                </c:pt>
                <c:pt idx="29">
                  <c:v>62.577347172073843</c:v>
                </c:pt>
                <c:pt idx="30">
                  <c:v>71.657034029195515</c:v>
                </c:pt>
                <c:pt idx="31">
                  <c:v>77.591191382232182</c:v>
                </c:pt>
                <c:pt idx="32">
                  <c:v>83.513812306165747</c:v>
                </c:pt>
                <c:pt idx="33">
                  <c:v>89.425832462194421</c:v>
                </c:pt>
                <c:pt idx="34">
                  <c:v>95.328053297130324</c:v>
                </c:pt>
                <c:pt idx="35">
                  <c:v>101.22116860955673</c:v>
                </c:pt>
                <c:pt idx="36">
                  <c:v>107.92467862983034</c:v>
                </c:pt>
                <c:pt idx="37">
                  <c:v>114.61793823683753</c:v>
                </c:pt>
                <c:pt idx="38">
                  <c:v>121.30163168437396</c:v>
                </c:pt>
                <c:pt idx="39">
                  <c:v>127.97636148020774</c:v>
                </c:pt>
                <c:pt idx="40">
                  <c:v>134.64266200421727</c:v>
                </c:pt>
                <c:pt idx="41">
                  <c:v>142.30203839788922</c:v>
                </c:pt>
                <c:pt idx="42">
                  <c:v>149.95153558064891</c:v>
                </c:pt>
                <c:pt idx="43">
                  <c:v>157.59172941307193</c:v>
                </c:pt>
                <c:pt idx="44">
                  <c:v>165.22313525582095</c:v>
                </c:pt>
                <c:pt idx="45">
                  <c:v>172.84621688953038</c:v>
                </c:pt>
                <c:pt idx="46">
                  <c:v>180.46139377551765</c:v>
                </c:pt>
                <c:pt idx="47">
                  <c:v>188.06904702443725</c:v>
                </c:pt>
                <c:pt idx="48">
                  <c:v>195.66952434688926</c:v>
                </c:pt>
                <c:pt idx="49">
                  <c:v>203.26314419327298</c:v>
                </c:pt>
                <c:pt idx="50">
                  <c:v>210.85019924163907</c:v>
                </c:pt>
                <c:pt idx="51">
                  <c:v>219.19876297137725</c:v>
                </c:pt>
                <c:pt idx="52">
                  <c:v>227.54002316596657</c:v>
                </c:pt>
                <c:pt idx="53">
                  <c:v>235.87428562823507</c:v>
                </c:pt>
                <c:pt idx="54">
                  <c:v>244.20183276042599</c:v>
                </c:pt>
                <c:pt idx="55">
                  <c:v>252.52292610941558</c:v>
                </c:pt>
                <c:pt idx="56">
                  <c:v>260.83780855853132</c:v>
                </c:pt>
                <c:pt idx="57">
                  <c:v>269.14670622498016</c:v>
                </c:pt>
                <c:pt idx="58">
                  <c:v>277.44983011048612</c:v>
                </c:pt>
                <c:pt idx="59">
                  <c:v>285.74737754381937</c:v>
                </c:pt>
                <c:pt idx="60">
                  <c:v>294.03953344686215</c:v>
                </c:pt>
                <c:pt idx="61">
                  <c:v>302.67652378269435</c:v>
                </c:pt>
                <c:pt idx="62">
                  <c:v>311.30803054986296</c:v>
                </c:pt>
                <c:pt idx="63">
                  <c:v>319.93422735481352</c:v>
                </c:pt>
                <c:pt idx="64">
                  <c:v>328.55527767062773</c:v>
                </c:pt>
                <c:pt idx="65">
                  <c:v>337.17133568470018</c:v>
                </c:pt>
                <c:pt idx="66">
                  <c:v>345.78254705519066</c:v>
                </c:pt>
                <c:pt idx="67">
                  <c:v>354.38904958814368</c:v>
                </c:pt>
                <c:pt idx="68">
                  <c:v>235.70700417786563</c:v>
                </c:pt>
                <c:pt idx="69">
                  <c:v>242.80763504840397</c:v>
                </c:pt>
                <c:pt idx="70">
                  <c:v>249.90354389745141</c:v>
                </c:pt>
                <c:pt idx="71">
                  <c:v>256.99488389555574</c:v>
                </c:pt>
                <c:pt idx="72">
                  <c:v>264.08179905915631</c:v>
                </c:pt>
                <c:pt idx="73">
                  <c:v>271.16442503413901</c:v>
                </c:pt>
                <c:pt idx="74">
                  <c:v>278.24288979315997</c:v>
                </c:pt>
                <c:pt idx="75">
                  <c:v>285.31731425822636</c:v>
                </c:pt>
                <c:pt idx="76">
                  <c:v>292.42278569665888</c:v>
                </c:pt>
                <c:pt idx="77">
                  <c:v>299.52440236140274</c:v>
                </c:pt>
                <c:pt idx="78">
                  <c:v>306.62226864280859</c:v>
                </c:pt>
                <c:pt idx="79">
                  <c:v>313.71648369848918</c:v>
                </c:pt>
                <c:pt idx="80">
                  <c:v>320.80714183065197</c:v>
                </c:pt>
                <c:pt idx="81">
                  <c:v>327.8943328282997</c:v>
                </c:pt>
                <c:pt idx="82">
                  <c:v>334.9781422782774</c:v>
                </c:pt>
                <c:pt idx="83">
                  <c:v>246.21906266994486</c:v>
                </c:pt>
                <c:pt idx="84">
                  <c:v>252.33418577246178</c:v>
                </c:pt>
                <c:pt idx="85">
                  <c:v>258.44595146896279</c:v>
                </c:pt>
                <c:pt idx="86">
                  <c:v>264.55445047608447</c:v>
                </c:pt>
                <c:pt idx="87">
                  <c:v>270.65976897313618</c:v>
                </c:pt>
                <c:pt idx="88">
                  <c:v>276.76198892858332</c:v>
                </c:pt>
                <c:pt idx="89">
                  <c:v>282.86118839619786</c:v>
                </c:pt>
                <c:pt idx="90">
                  <c:v>288.95744178430238</c:v>
                </c:pt>
                <c:pt idx="91">
                  <c:v>294.97095059653299</c:v>
                </c:pt>
                <c:pt idx="92">
                  <c:v>300.98172445533879</c:v>
                </c:pt>
                <c:pt idx="93">
                  <c:v>306.98982575743543</c:v>
                </c:pt>
                <c:pt idx="94">
                  <c:v>312.99531425473646</c:v>
                </c:pt>
                <c:pt idx="95">
                  <c:v>318.99824721619717</c:v>
                </c:pt>
                <c:pt idx="96">
                  <c:v>324.99867957682721</c:v>
                </c:pt>
                <c:pt idx="97">
                  <c:v>330.99666407511285</c:v>
                </c:pt>
                <c:pt idx="98">
                  <c:v>336.99225137995012</c:v>
                </c:pt>
                <c:pt idx="99">
                  <c:v>276.45609740640793</c:v>
                </c:pt>
                <c:pt idx="100">
                  <c:v>281.83318425437011</c:v>
                </c:pt>
                <c:pt idx="101">
                  <c:v>287.20797206298306</c:v>
                </c:pt>
                <c:pt idx="102">
                  <c:v>292.58050999214294</c:v>
                </c:pt>
                <c:pt idx="103">
                  <c:v>297.95084524633563</c:v>
                </c:pt>
                <c:pt idx="104">
                  <c:v>303.31902318705937</c:v>
                </c:pt>
                <c:pt idx="105">
                  <c:v>308.68508743686579</c:v>
                </c:pt>
                <c:pt idx="106">
                  <c:v>314.04907997577868</c:v>
                </c:pt>
                <c:pt idx="107">
                  <c:v>319.41104123077611</c:v>
                </c:pt>
                <c:pt idx="108">
                  <c:v>324.6053263071405</c:v>
                </c:pt>
                <c:pt idx="109">
                  <c:v>329.79777455747143</c:v>
                </c:pt>
                <c:pt idx="110">
                  <c:v>334.98841902096547</c:v>
                </c:pt>
                <c:pt idx="111">
                  <c:v>340.17729162804136</c:v>
                </c:pt>
                <c:pt idx="112">
                  <c:v>345.36442325427856</c:v>
                </c:pt>
                <c:pt idx="113">
                  <c:v>350.5498437709428</c:v>
                </c:pt>
                <c:pt idx="114">
                  <c:v>355.73358209236403</c:v>
                </c:pt>
                <c:pt idx="115">
                  <c:v>360.91566622040438</c:v>
                </c:pt>
                <c:pt idx="116">
                  <c:v>298.60733667216209</c:v>
                </c:pt>
                <c:pt idx="117">
                  <c:v>303.13238491616863</c:v>
                </c:pt>
                <c:pt idx="118">
                  <c:v>307.65593020181518</c:v>
                </c:pt>
                <c:pt idx="119">
                  <c:v>312.1779977810076</c:v>
                </c:pt>
                <c:pt idx="120">
                  <c:v>316.69861211324741</c:v>
                </c:pt>
                <c:pt idx="121">
                  <c:v>321.21779690171235</c:v>
                </c:pt>
                <c:pt idx="122">
                  <c:v>325.73557512719862</c:v>
                </c:pt>
                <c:pt idx="123">
                  <c:v>330.25196908007928</c:v>
                </c:pt>
                <c:pt idx="124">
                  <c:v>334.7670003904214</c:v>
                </c:pt>
                <c:pt idx="125">
                  <c:v>339.28069005639162</c:v>
                </c:pt>
                <c:pt idx="126">
                  <c:v>343.7930584710698</c:v>
                </c:pt>
                <c:pt idx="127">
                  <c:v>348.1678413944133</c:v>
                </c:pt>
                <c:pt idx="128">
                  <c:v>352.54141791218541</c:v>
                </c:pt>
                <c:pt idx="129">
                  <c:v>356.91380512369943</c:v>
                </c:pt>
                <c:pt idx="130">
                  <c:v>361.2850196745639</c:v>
                </c:pt>
                <c:pt idx="131">
                  <c:v>365.65507777418969</c:v>
                </c:pt>
                <c:pt idx="132">
                  <c:v>370.02399521241608</c:v>
                </c:pt>
                <c:pt idx="133">
                  <c:v>374.39178737531006</c:v>
                </c:pt>
                <c:pt idx="134">
                  <c:v>378.75846926018841</c:v>
                </c:pt>
                <c:pt idx="135">
                  <c:v>383.12405548991177</c:v>
                </c:pt>
                <c:pt idx="136">
                  <c:v>315.06789337176684</c:v>
                </c:pt>
                <c:pt idx="137">
                  <c:v>318.90465606699485</c:v>
                </c:pt>
                <c:pt idx="138">
                  <c:v>322.74039680057996</c:v>
                </c:pt>
                <c:pt idx="139">
                  <c:v>326.57512945258168</c:v>
                </c:pt>
                <c:pt idx="140">
                  <c:v>330.4088675499703</c:v>
                </c:pt>
                <c:pt idx="141">
                  <c:v>334.24162427969645</c:v>
                </c:pt>
                <c:pt idx="142">
                  <c:v>338.07341250112887</c:v>
                </c:pt>
                <c:pt idx="143">
                  <c:v>341.90424475789831</c:v>
                </c:pt>
                <c:pt idx="144">
                  <c:v>345.73413328918241</c:v>
                </c:pt>
                <c:pt idx="145">
                  <c:v>349.46498170782326</c:v>
                </c:pt>
                <c:pt idx="146">
                  <c:v>353.19495628235285</c:v>
                </c:pt>
                <c:pt idx="147">
                  <c:v>356.92406755742587</c:v>
                </c:pt>
                <c:pt idx="148">
                  <c:v>360.65232583905555</c:v>
                </c:pt>
                <c:pt idx="149">
                  <c:v>364.37974120248077</c:v>
                </c:pt>
                <c:pt idx="150">
                  <c:v>368.10632349969683</c:v>
                </c:pt>
                <c:pt idx="151">
                  <c:v>191.60910777632728</c:v>
                </c:pt>
                <c:pt idx="152">
                  <c:v>194.59729759262066</c:v>
                </c:pt>
                <c:pt idx="153">
                  <c:v>197.58442069541221</c:v>
                </c:pt>
                <c:pt idx="154">
                  <c:v>200.57049553153618</c:v>
                </c:pt>
                <c:pt idx="155">
                  <c:v>203.55553995228263</c:v>
                </c:pt>
                <c:pt idx="156">
                  <c:v>206.53957124128442</c:v>
                </c:pt>
                <c:pt idx="157">
                  <c:v>208.94038875651324</c:v>
                </c:pt>
                <c:pt idx="158">
                  <c:v>211.34056940342035</c:v>
                </c:pt>
                <c:pt idx="159">
                  <c:v>213.74012145601523</c:v>
                </c:pt>
                <c:pt idx="160">
                  <c:v>216.13905298686771</c:v>
                </c:pt>
                <c:pt idx="161">
                  <c:v>218.53737187424778</c:v>
                </c:pt>
                <c:pt idx="162">
                  <c:v>220.93508580893453</c:v>
                </c:pt>
                <c:pt idx="163">
                  <c:v>223.33220230071356</c:v>
                </c:pt>
                <c:pt idx="164">
                  <c:v>225.72872868458023</c:v>
                </c:pt>
                <c:pt idx="165">
                  <c:v>228.12467212666479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1.9324798676638124</c:v>
                </c:pt>
                <c:pt idx="2">
                  <c:v>2.4915376442848012</c:v>
                </c:pt>
                <c:pt idx="3">
                  <c:v>3.2129835858204441</c:v>
                </c:pt>
                <c:pt idx="4">
                  <c:v>4.1441658321994082</c:v>
                </c:pt>
                <c:pt idx="5">
                  <c:v>5.3462870529369964</c:v>
                </c:pt>
                <c:pt idx="6">
                  <c:v>6.8984717607089578</c:v>
                </c:pt>
                <c:pt idx="7">
                  <c:v>8.9030312942019592</c:v>
                </c:pt>
                <c:pt idx="8">
                  <c:v>11.492280115361567</c:v>
                </c:pt>
                <c:pt idx="9">
                  <c:v>14.837361752863318</c:v>
                </c:pt>
                <c:pt idx="10">
                  <c:v>19.159678470580406</c:v>
                </c:pt>
                <c:pt idx="11">
                  <c:v>26.550087766677184</c:v>
                </c:pt>
                <c:pt idx="12">
                  <c:v>33.882056907881221</c:v>
                </c:pt>
                <c:pt idx="13">
                  <c:v>41.170175059809658</c:v>
                </c:pt>
                <c:pt idx="14">
                  <c:v>48.423359087959454</c:v>
                </c:pt>
                <c:pt idx="15">
                  <c:v>55.647607276796499</c:v>
                </c:pt>
                <c:pt idx="16">
                  <c:v>65.66963202476957</c:v>
                </c:pt>
                <c:pt idx="17">
                  <c:v>75.652088144923269</c:v>
                </c:pt>
                <c:pt idx="18">
                  <c:v>85.600950019065678</c:v>
                </c:pt>
                <c:pt idx="19">
                  <c:v>95.520682327282842</c:v>
                </c:pt>
                <c:pt idx="20">
                  <c:v>105.41474277495716</c:v>
                </c:pt>
                <c:pt idx="21">
                  <c:v>116.54987803247786</c:v>
                </c:pt>
                <c:pt idx="22">
                  <c:v>127.6590125833185</c:v>
                </c:pt>
                <c:pt idx="23">
                  <c:v>138.74473085893524</c:v>
                </c:pt>
                <c:pt idx="24">
                  <c:v>149.80916964259004</c:v>
                </c:pt>
                <c:pt idx="25">
                  <c:v>160.85412369998792</c:v>
                </c:pt>
                <c:pt idx="26">
                  <c:v>171.88112078004022</c:v>
                </c:pt>
                <c:pt idx="27">
                  <c:v>182.89147630569161</c:v>
                </c:pt>
                <c:pt idx="28">
                  <c:v>193.8863341726244</c:v>
                </c:pt>
                <c:pt idx="29">
                  <c:v>204.86669778911278</c:v>
                </c:pt>
                <c:pt idx="30">
                  <c:v>215.83345410032075</c:v>
                </c:pt>
                <c:pt idx="31">
                  <c:v>225.54324923059619</c:v>
                </c:pt>
                <c:pt idx="32">
                  <c:v>235.24347020965658</c:v>
                </c:pt>
                <c:pt idx="33">
                  <c:v>244.93456783259703</c:v>
                </c:pt>
                <c:pt idx="34">
                  <c:v>254.6169542749949</c:v>
                </c:pt>
                <c:pt idx="35">
                  <c:v>264.29100777629338</c:v>
                </c:pt>
                <c:pt idx="36">
                  <c:v>272.22271442732273</c:v>
                </c:pt>
                <c:pt idx="37">
                  <c:v>280.14922482220192</c:v>
                </c:pt>
                <c:pt idx="38">
                  <c:v>288.07070687308465</c:v>
                </c:pt>
                <c:pt idx="39">
                  <c:v>295.98731849411683</c:v>
                </c:pt>
                <c:pt idx="40">
                  <c:v>303.89920845414656</c:v>
                </c:pt>
                <c:pt idx="41">
                  <c:v>310.32423951642642</c:v>
                </c:pt>
                <c:pt idx="42">
                  <c:v>316.74631788611873</c:v>
                </c:pt>
                <c:pt idx="43">
                  <c:v>323.1655119457771</c:v>
                </c:pt>
                <c:pt idx="44">
                  <c:v>329.58188713650594</c:v>
                </c:pt>
                <c:pt idx="45">
                  <c:v>335.99550614056949</c:v>
                </c:pt>
                <c:pt idx="46">
                  <c:v>340.68067325095222</c:v>
                </c:pt>
                <c:pt idx="47">
                  <c:v>345.36442325427873</c:v>
                </c:pt>
                <c:pt idx="48">
                  <c:v>350.04677810724985</c:v>
                </c:pt>
                <c:pt idx="49">
                  <c:v>354.72775913045047</c:v>
                </c:pt>
                <c:pt idx="50">
                  <c:v>359.40738703512096</c:v>
                </c:pt>
                <c:pt idx="51">
                  <c:v>363.10088755293287</c:v>
                </c:pt>
                <c:pt idx="52">
                  <c:v>366.793566925947</c:v>
                </c:pt>
                <c:pt idx="53">
                  <c:v>370.48543459961519</c:v>
                </c:pt>
                <c:pt idx="54">
                  <c:v>374.17649981551693</c:v>
                </c:pt>
                <c:pt idx="55">
                  <c:v>377.86677161777317</c:v>
                </c:pt>
                <c:pt idx="56">
                  <c:v>380.5724718145168</c:v>
                </c:pt>
                <c:pt idx="57">
                  <c:v>383.27775352337579</c:v>
                </c:pt>
                <c:pt idx="58">
                  <c:v>385.98262011959815</c:v>
                </c:pt>
                <c:pt idx="59">
                  <c:v>388.68707492719483</c:v>
                </c:pt>
                <c:pt idx="60">
                  <c:v>391.39112122007674</c:v>
                </c:pt>
                <c:pt idx="61">
                  <c:v>1.0345173963676741E-12</c:v>
                </c:pt>
                <c:pt idx="62">
                  <c:v>1.0345173963676741E-12</c:v>
                </c:pt>
                <c:pt idx="63">
                  <c:v>1.0345173963676741E-12</c:v>
                </c:pt>
                <c:pt idx="64">
                  <c:v>1.0345173963676741E-12</c:v>
                </c:pt>
                <c:pt idx="65">
                  <c:v>1.0345173963676741E-12</c:v>
                </c:pt>
                <c:pt idx="66">
                  <c:v>1.0345173963676741E-12</c:v>
                </c:pt>
                <c:pt idx="67">
                  <c:v>1.0345173963676741E-12</c:v>
                </c:pt>
                <c:pt idx="68">
                  <c:v>1.0345173963676741E-12</c:v>
                </c:pt>
                <c:pt idx="69">
                  <c:v>1.0345173963676741E-12</c:v>
                </c:pt>
                <c:pt idx="70">
                  <c:v>1.0345173963676741E-12</c:v>
                </c:pt>
                <c:pt idx="71">
                  <c:v>1.0345173963676741E-12</c:v>
                </c:pt>
                <c:pt idx="72">
                  <c:v>1.0345173963676741E-12</c:v>
                </c:pt>
                <c:pt idx="73">
                  <c:v>1.0345173963676741E-12</c:v>
                </c:pt>
                <c:pt idx="74">
                  <c:v>1.0345173963676741E-12</c:v>
                </c:pt>
                <c:pt idx="75">
                  <c:v>1.0345173963676741E-12</c:v>
                </c:pt>
                <c:pt idx="76">
                  <c:v>1.0345173963676741E-12</c:v>
                </c:pt>
                <c:pt idx="77">
                  <c:v>1.0345173963676741E-12</c:v>
                </c:pt>
                <c:pt idx="78">
                  <c:v>1.0345173963676741E-12</c:v>
                </c:pt>
                <c:pt idx="79">
                  <c:v>1.0345173963676741E-12</c:v>
                </c:pt>
                <c:pt idx="80">
                  <c:v>1.0345173963676741E-12</c:v>
                </c:pt>
                <c:pt idx="81">
                  <c:v>1.0345173963676741E-12</c:v>
                </c:pt>
                <c:pt idx="82">
                  <c:v>1.0345173963676741E-12</c:v>
                </c:pt>
                <c:pt idx="83">
                  <c:v>1.0345173963676741E-12</c:v>
                </c:pt>
                <c:pt idx="84">
                  <c:v>1.0345173963676741E-12</c:v>
                </c:pt>
                <c:pt idx="85">
                  <c:v>1.0345173963676741E-12</c:v>
                </c:pt>
                <c:pt idx="86">
                  <c:v>1.0345173963676741E-12</c:v>
                </c:pt>
                <c:pt idx="87">
                  <c:v>1.0345173963676741E-12</c:v>
                </c:pt>
                <c:pt idx="88">
                  <c:v>1.0345173963676741E-12</c:v>
                </c:pt>
                <c:pt idx="89">
                  <c:v>1.0345173963676741E-12</c:v>
                </c:pt>
                <c:pt idx="90">
                  <c:v>1.0345173963676741E-12</c:v>
                </c:pt>
                <c:pt idx="91">
                  <c:v>1.0345173963676741E-12</c:v>
                </c:pt>
                <c:pt idx="92">
                  <c:v>1.0345173963676741E-12</c:v>
                </c:pt>
                <c:pt idx="93">
                  <c:v>1.0345173963676741E-12</c:v>
                </c:pt>
                <c:pt idx="94">
                  <c:v>1.0345173963676741E-12</c:v>
                </c:pt>
                <c:pt idx="95">
                  <c:v>1.0345173963676741E-12</c:v>
                </c:pt>
                <c:pt idx="96">
                  <c:v>1.0345173963676741E-12</c:v>
                </c:pt>
                <c:pt idx="97">
                  <c:v>1.0345173963676741E-12</c:v>
                </c:pt>
                <c:pt idx="98">
                  <c:v>1.0345173963676741E-12</c:v>
                </c:pt>
                <c:pt idx="99">
                  <c:v>1.0345173963676741E-12</c:v>
                </c:pt>
                <c:pt idx="100">
                  <c:v>1.0345173963676741E-12</c:v>
                </c:pt>
                <c:pt idx="101">
                  <c:v>1.0345173963676741E-12</c:v>
                </c:pt>
                <c:pt idx="102">
                  <c:v>1.0345173963676741E-12</c:v>
                </c:pt>
                <c:pt idx="103">
                  <c:v>1.0345173963676741E-12</c:v>
                </c:pt>
                <c:pt idx="104">
                  <c:v>1.0345173963676741E-12</c:v>
                </c:pt>
                <c:pt idx="105">
                  <c:v>1.0345173963676741E-12</c:v>
                </c:pt>
                <c:pt idx="106">
                  <c:v>1.0345173963676741E-12</c:v>
                </c:pt>
                <c:pt idx="107">
                  <c:v>1.0345173963676741E-12</c:v>
                </c:pt>
                <c:pt idx="108">
                  <c:v>1.0345173963676741E-12</c:v>
                </c:pt>
                <c:pt idx="109">
                  <c:v>1.0345173963676741E-12</c:v>
                </c:pt>
                <c:pt idx="110">
                  <c:v>1.0345173963676741E-12</c:v>
                </c:pt>
                <c:pt idx="111">
                  <c:v>1.0345173963676741E-12</c:v>
                </c:pt>
                <c:pt idx="112">
                  <c:v>1.0345173963676741E-12</c:v>
                </c:pt>
                <c:pt idx="113">
                  <c:v>1.0345173963676741E-12</c:v>
                </c:pt>
                <c:pt idx="114">
                  <c:v>1.0345173963676741E-12</c:v>
                </c:pt>
                <c:pt idx="115">
                  <c:v>1.0345173963676741E-12</c:v>
                </c:pt>
                <c:pt idx="116">
                  <c:v>1.0345173963676741E-12</c:v>
                </c:pt>
                <c:pt idx="117">
                  <c:v>1.0345173963676741E-12</c:v>
                </c:pt>
                <c:pt idx="118">
                  <c:v>1.0345173963676741E-12</c:v>
                </c:pt>
                <c:pt idx="119">
                  <c:v>1.0345173963676741E-12</c:v>
                </c:pt>
                <c:pt idx="120">
                  <c:v>1.0345173963676741E-12</c:v>
                </c:pt>
                <c:pt idx="121">
                  <c:v>1.0345173963676741E-12</c:v>
                </c:pt>
                <c:pt idx="122">
                  <c:v>1.0345173963676741E-12</c:v>
                </c:pt>
                <c:pt idx="123">
                  <c:v>1.0345173963676741E-12</c:v>
                </c:pt>
                <c:pt idx="124">
                  <c:v>1.0345173963676741E-12</c:v>
                </c:pt>
                <c:pt idx="125">
                  <c:v>1.0345173963676741E-12</c:v>
                </c:pt>
                <c:pt idx="126">
                  <c:v>1.0345173963676741E-12</c:v>
                </c:pt>
                <c:pt idx="127">
                  <c:v>1.0345173963676741E-12</c:v>
                </c:pt>
                <c:pt idx="128">
                  <c:v>1.0345173963676741E-12</c:v>
                </c:pt>
                <c:pt idx="129">
                  <c:v>1.0345173963676741E-12</c:v>
                </c:pt>
                <c:pt idx="130">
                  <c:v>1.0345173963676741E-12</c:v>
                </c:pt>
                <c:pt idx="131">
                  <c:v>1.0345173963676741E-12</c:v>
                </c:pt>
                <c:pt idx="132">
                  <c:v>1.0345173963676741E-12</c:v>
                </c:pt>
                <c:pt idx="133">
                  <c:v>1.0345173963676741E-12</c:v>
                </c:pt>
                <c:pt idx="134">
                  <c:v>1.0345173963676741E-12</c:v>
                </c:pt>
                <c:pt idx="135">
                  <c:v>1.0345173963676741E-12</c:v>
                </c:pt>
                <c:pt idx="136">
                  <c:v>1.0345173963676741E-12</c:v>
                </c:pt>
                <c:pt idx="137">
                  <c:v>1.0345173963676741E-12</c:v>
                </c:pt>
                <c:pt idx="138">
                  <c:v>1.0345173963676741E-12</c:v>
                </c:pt>
                <c:pt idx="139">
                  <c:v>1.0345173963676741E-12</c:v>
                </c:pt>
                <c:pt idx="140">
                  <c:v>1.0345173963676741E-12</c:v>
                </c:pt>
                <c:pt idx="141">
                  <c:v>1.0345173963676741E-12</c:v>
                </c:pt>
                <c:pt idx="142">
                  <c:v>1.0345173963676741E-12</c:v>
                </c:pt>
                <c:pt idx="143">
                  <c:v>1.0345173963676741E-12</c:v>
                </c:pt>
                <c:pt idx="144">
                  <c:v>1.0345173963676741E-12</c:v>
                </c:pt>
                <c:pt idx="145">
                  <c:v>1.0345173963676741E-12</c:v>
                </c:pt>
                <c:pt idx="146">
                  <c:v>1.0345173963676741E-12</c:v>
                </c:pt>
                <c:pt idx="147">
                  <c:v>1.0345173963676741E-12</c:v>
                </c:pt>
                <c:pt idx="148">
                  <c:v>1.0345173963676741E-12</c:v>
                </c:pt>
                <c:pt idx="149">
                  <c:v>1.0345173963676741E-12</c:v>
                </c:pt>
                <c:pt idx="150">
                  <c:v>1.0345173963676741E-12</c:v>
                </c:pt>
                <c:pt idx="151">
                  <c:v>1.0345173963676741E-12</c:v>
                </c:pt>
                <c:pt idx="152">
                  <c:v>1.0345173963676741E-12</c:v>
                </c:pt>
                <c:pt idx="153">
                  <c:v>1.0345173963676741E-12</c:v>
                </c:pt>
                <c:pt idx="154">
                  <c:v>1.0345173963676741E-12</c:v>
                </c:pt>
                <c:pt idx="155">
                  <c:v>1.0345173963676741E-12</c:v>
                </c:pt>
                <c:pt idx="156">
                  <c:v>1.0345173963676741E-12</c:v>
                </c:pt>
                <c:pt idx="157">
                  <c:v>1.0345173963676741E-12</c:v>
                </c:pt>
                <c:pt idx="158">
                  <c:v>1.0345173963676741E-12</c:v>
                </c:pt>
                <c:pt idx="159">
                  <c:v>1.0345173963676741E-12</c:v>
                </c:pt>
                <c:pt idx="160">
                  <c:v>1.0345173963676741E-12</c:v>
                </c:pt>
                <c:pt idx="161">
                  <c:v>1.0345173963676741E-12</c:v>
                </c:pt>
                <c:pt idx="162">
                  <c:v>1.0345173963676741E-12</c:v>
                </c:pt>
                <c:pt idx="163">
                  <c:v>1.0345173963676741E-12</c:v>
                </c:pt>
                <c:pt idx="164">
                  <c:v>1.0345173963676741E-12</c:v>
                </c:pt>
                <c:pt idx="165">
                  <c:v>1.0345173963676741E-12</c:v>
                </c:pt>
                <c:pt idx="166">
                  <c:v>1.0345173963676741E-12</c:v>
                </c:pt>
                <c:pt idx="167">
                  <c:v>1.0345173963676741E-12</c:v>
                </c:pt>
                <c:pt idx="168">
                  <c:v>1.0345173963676741E-12</c:v>
                </c:pt>
                <c:pt idx="169">
                  <c:v>1.0345173963676741E-12</c:v>
                </c:pt>
                <c:pt idx="170">
                  <c:v>1.0345173963676741E-12</c:v>
                </c:pt>
                <c:pt idx="171">
                  <c:v>1.0345173963676741E-12</c:v>
                </c:pt>
                <c:pt idx="172">
                  <c:v>1.0345173963676741E-12</c:v>
                </c:pt>
                <c:pt idx="173">
                  <c:v>1.0345173963676741E-12</c:v>
                </c:pt>
                <c:pt idx="174">
                  <c:v>1.0345173963676741E-12</c:v>
                </c:pt>
                <c:pt idx="175">
                  <c:v>1.0345173963676741E-12</c:v>
                </c:pt>
                <c:pt idx="176">
                  <c:v>1.0345173963676741E-12</c:v>
                </c:pt>
                <c:pt idx="177">
                  <c:v>1.0345173963676741E-12</c:v>
                </c:pt>
                <c:pt idx="178">
                  <c:v>1.0345173963676741E-12</c:v>
                </c:pt>
                <c:pt idx="179">
                  <c:v>1.0345173963676741E-12</c:v>
                </c:pt>
                <c:pt idx="180">
                  <c:v>1.0345173963676741E-12</c:v>
                </c:pt>
                <c:pt idx="181">
                  <c:v>1.0345173963676741E-12</c:v>
                </c:pt>
                <c:pt idx="182">
                  <c:v>1.0345173963676741E-12</c:v>
                </c:pt>
                <c:pt idx="183">
                  <c:v>1.0345173963676741E-12</c:v>
                </c:pt>
                <c:pt idx="184">
                  <c:v>1.0345173963676741E-12</c:v>
                </c:pt>
                <c:pt idx="185">
                  <c:v>1.0345173963676741E-12</c:v>
                </c:pt>
                <c:pt idx="186">
                  <c:v>1.0345173963676741E-12</c:v>
                </c:pt>
                <c:pt idx="187">
                  <c:v>1.0345173963676741E-12</c:v>
                </c:pt>
                <c:pt idx="188">
                  <c:v>1.0345173963676741E-12</c:v>
                </c:pt>
                <c:pt idx="189">
                  <c:v>1.0345173963676741E-12</c:v>
                </c:pt>
                <c:pt idx="190">
                  <c:v>1.0345173963676741E-12</c:v>
                </c:pt>
                <c:pt idx="191">
                  <c:v>1.0345173963676741E-12</c:v>
                </c:pt>
                <c:pt idx="192">
                  <c:v>1.0345173963676741E-12</c:v>
                </c:pt>
                <c:pt idx="193">
                  <c:v>1.0345173963676741E-12</c:v>
                </c:pt>
                <c:pt idx="194">
                  <c:v>1.0345173963676741E-12</c:v>
                </c:pt>
                <c:pt idx="195">
                  <c:v>1.0345173963676741E-12</c:v>
                </c:pt>
                <c:pt idx="196">
                  <c:v>1.0345173963676741E-12</c:v>
                </c:pt>
                <c:pt idx="197">
                  <c:v>1.0345173963676741E-12</c:v>
                </c:pt>
                <c:pt idx="198">
                  <c:v>1.0345173963676741E-12</c:v>
                </c:pt>
                <c:pt idx="199">
                  <c:v>1.0345173963676741E-12</c:v>
                </c:pt>
                <c:pt idx="200">
                  <c:v>1.0345173963676741E-12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2.0736705930416708</c:v>
                </c:pt>
                <c:pt idx="2">
                  <c:v>2.4825249280482562</c:v>
                </c:pt>
                <c:pt idx="3">
                  <c:v>2.9722948868888355</c:v>
                </c:pt>
                <c:pt idx="4">
                  <c:v>3.5590512286161178</c:v>
                </c:pt>
                <c:pt idx="5">
                  <c:v>4.2620671532813672</c:v>
                </c:pt>
                <c:pt idx="6">
                  <c:v>5.104458426753971</c:v>
                </c:pt>
                <c:pt idx="7">
                  <c:v>6.1139518226557783</c:v>
                </c:pt>
                <c:pt idx="8">
                  <c:v>7.3238076707277555</c:v>
                </c:pt>
                <c:pt idx="9">
                  <c:v>8.773927496504955</c:v>
                </c:pt>
                <c:pt idx="10">
                  <c:v>10.512183981714756</c:v>
                </c:pt>
                <c:pt idx="11">
                  <c:v>12.59601798053852</c:v>
                </c:pt>
                <c:pt idx="12">
                  <c:v>15.094356348997385</c:v>
                </c:pt>
                <c:pt idx="13">
                  <c:v>18.089915190183103</c:v>
                </c:pt>
                <c:pt idx="14">
                  <c:v>21.681966156034065</c:v>
                </c:pt>
                <c:pt idx="15">
                  <c:v>25.989659120911373</c:v>
                </c:pt>
                <c:pt idx="16">
                  <c:v>31.156013387500014</c:v>
                </c:pt>
                <c:pt idx="17">
                  <c:v>37.352712244073444</c:v>
                </c:pt>
                <c:pt idx="18">
                  <c:v>44.785862936855693</c:v>
                </c:pt>
                <c:pt idx="19">
                  <c:v>53.702916881953875</c:v>
                </c:pt>
                <c:pt idx="20">
                  <c:v>64.400984336797691</c:v>
                </c:pt>
                <c:pt idx="21">
                  <c:v>72.736463361162052</c:v>
                </c:pt>
                <c:pt idx="22">
                  <c:v>81.047497498362148</c:v>
                </c:pt>
                <c:pt idx="23">
                  <c:v>89.336953064344087</c:v>
                </c:pt>
                <c:pt idx="24">
                  <c:v>97.607118971069283</c:v>
                </c:pt>
                <c:pt idx="25">
                  <c:v>105.85986329993615</c:v>
                </c:pt>
                <c:pt idx="26">
                  <c:v>113.80282201771517</c:v>
                </c:pt>
                <c:pt idx="27">
                  <c:v>121.73220282619435</c:v>
                </c:pt>
                <c:pt idx="28">
                  <c:v>129.64901640981779</c:v>
                </c:pt>
                <c:pt idx="29">
                  <c:v>137.5541396670844</c:v>
                </c:pt>
                <c:pt idx="30">
                  <c:v>145.44834026607319</c:v>
                </c:pt>
                <c:pt idx="31">
                  <c:v>126.42510605145078</c:v>
                </c:pt>
                <c:pt idx="32">
                  <c:v>138.13926103387726</c:v>
                </c:pt>
                <c:pt idx="33">
                  <c:v>149.82954016541174</c:v>
                </c:pt>
                <c:pt idx="34">
                  <c:v>161.49807067148296</c:v>
                </c:pt>
                <c:pt idx="35">
                  <c:v>173.146646755543</c:v>
                </c:pt>
                <c:pt idx="36">
                  <c:v>154.79121219766503</c:v>
                </c:pt>
                <c:pt idx="37">
                  <c:v>167.03353298741317</c:v>
                </c:pt>
                <c:pt idx="38">
                  <c:v>179.25468649117639</c:v>
                </c:pt>
                <c:pt idx="39">
                  <c:v>191.45632021479813</c:v>
                </c:pt>
                <c:pt idx="40">
                  <c:v>203.63985426583096</c:v>
                </c:pt>
                <c:pt idx="41">
                  <c:v>185.35784980693856</c:v>
                </c:pt>
                <c:pt idx="42">
                  <c:v>197.5502685595452</c:v>
                </c:pt>
                <c:pt idx="43">
                  <c:v>209.72522642799001</c:v>
                </c:pt>
                <c:pt idx="44">
                  <c:v>221.8838804711277</c:v>
                </c:pt>
                <c:pt idx="45">
                  <c:v>234.02725047186391</c:v>
                </c:pt>
                <c:pt idx="46">
                  <c:v>215.5170295411389</c:v>
                </c:pt>
                <c:pt idx="47">
                  <c:v>227.37914621653621</c:v>
                </c:pt>
                <c:pt idx="48">
                  <c:v>239.22710103312988</c:v>
                </c:pt>
                <c:pt idx="49">
                  <c:v>251.06169458557397</c:v>
                </c:pt>
                <c:pt idx="50">
                  <c:v>262.88364577483526</c:v>
                </c:pt>
                <c:pt idx="51">
                  <c:v>244.13570624979198</c:v>
                </c:pt>
                <c:pt idx="52">
                  <c:v>255.67660587898328</c:v>
                </c:pt>
                <c:pt idx="53">
                  <c:v>267.20572099343707</c:v>
                </c:pt>
                <c:pt idx="54">
                  <c:v>278.723631976729</c:v>
                </c:pt>
                <c:pt idx="55">
                  <c:v>290.23086730017548</c:v>
                </c:pt>
                <c:pt idx="56">
                  <c:v>270.95024442791089</c:v>
                </c:pt>
                <c:pt idx="57">
                  <c:v>281.8891646728278</c:v>
                </c:pt>
                <c:pt idx="58">
                  <c:v>292.81857421305546</c:v>
                </c:pt>
                <c:pt idx="59">
                  <c:v>303.73887825775086</c:v>
                </c:pt>
                <c:pt idx="60">
                  <c:v>314.65045048417022</c:v>
                </c:pt>
                <c:pt idx="61">
                  <c:v>294.83088185618152</c:v>
                </c:pt>
                <c:pt idx="62">
                  <c:v>305.1751026031493</c:v>
                </c:pt>
                <c:pt idx="63">
                  <c:v>315.51152888688659</c:v>
                </c:pt>
                <c:pt idx="64">
                  <c:v>325.84045219937366</c:v>
                </c:pt>
                <c:pt idx="65">
                  <c:v>336.16214403365615</c:v>
                </c:pt>
                <c:pt idx="66">
                  <c:v>315.79854343698958</c:v>
                </c:pt>
                <c:pt idx="67">
                  <c:v>325.55363652329191</c:v>
                </c:pt>
                <c:pt idx="68">
                  <c:v>335.3022729526993</c:v>
                </c:pt>
                <c:pt idx="69">
                  <c:v>345.04466702322998</c:v>
                </c:pt>
                <c:pt idx="70">
                  <c:v>354.78101993685891</c:v>
                </c:pt>
                <c:pt idx="71">
                  <c:v>333.5823848740954</c:v>
                </c:pt>
                <c:pt idx="72">
                  <c:v>342.46639395307415</c:v>
                </c:pt>
                <c:pt idx="73">
                  <c:v>351.34533779988072</c:v>
                </c:pt>
                <c:pt idx="74">
                  <c:v>360.21936255423617</c:v>
                </c:pt>
                <c:pt idx="75">
                  <c:v>369.08860656335202</c:v>
                </c:pt>
                <c:pt idx="76">
                  <c:v>347.62251685912906</c:v>
                </c:pt>
                <c:pt idx="77">
                  <c:v>356.2123385842022</c:v>
                </c:pt>
                <c:pt idx="78">
                  <c:v>364.79762541449367</c:v>
                </c:pt>
                <c:pt idx="79">
                  <c:v>373.37849919705508</c:v>
                </c:pt>
                <c:pt idx="80">
                  <c:v>381.95507571785964</c:v>
                </c:pt>
                <c:pt idx="81">
                  <c:v>360.21936255423617</c:v>
                </c:pt>
                <c:pt idx="82">
                  <c:v>368.51653895153345</c:v>
                </c:pt>
                <c:pt idx="83">
                  <c:v>376.80963918625895</c:v>
                </c:pt>
                <c:pt idx="84">
                  <c:v>385.09876568097235</c:v>
                </c:pt>
                <c:pt idx="85">
                  <c:v>393.38401608641084</c:v>
                </c:pt>
                <c:pt idx="86">
                  <c:v>371.09069104114752</c:v>
                </c:pt>
                <c:pt idx="87">
                  <c:v>378.81082287270925</c:v>
                </c:pt>
                <c:pt idx="88">
                  <c:v>386.52753101095112</c:v>
                </c:pt>
                <c:pt idx="89">
                  <c:v>394.24089349639394</c:v>
                </c:pt>
                <c:pt idx="90">
                  <c:v>401.95098506454957</c:v>
                </c:pt>
                <c:pt idx="91">
                  <c:v>375.95191824839634</c:v>
                </c:pt>
                <c:pt idx="92">
                  <c:v>379.95425300576329</c:v>
                </c:pt>
                <c:pt idx="93">
                  <c:v>383.95567048788774</c:v>
                </c:pt>
                <c:pt idx="94">
                  <c:v>387.95618161572361</c:v>
                </c:pt>
                <c:pt idx="95">
                  <c:v>391.9557970663318</c:v>
                </c:pt>
                <c:pt idx="96">
                  <c:v>395.95452728081597</c:v>
                </c:pt>
                <c:pt idx="97">
                  <c:v>399.9523824719231</c:v>
                </c:pt>
                <c:pt idx="98">
                  <c:v>403.9493726313213</c:v>
                </c:pt>
                <c:pt idx="99">
                  <c:v>407.94550753657632</c:v>
                </c:pt>
                <c:pt idx="100">
                  <c:v>411.94079675783928</c:v>
                </c:pt>
                <c:pt idx="101">
                  <c:v>385.38452794829146</c:v>
                </c:pt>
                <c:pt idx="102">
                  <c:v>388.81331711151387</c:v>
                </c:pt>
                <c:pt idx="103">
                  <c:v>392.24144988815442</c:v>
                </c:pt>
                <c:pt idx="104">
                  <c:v>395.66893283238022</c:v>
                </c:pt>
                <c:pt idx="105">
                  <c:v>399.09577237538929</c:v>
                </c:pt>
                <c:pt idx="106">
                  <c:v>402.52197482878017</c:v>
                </c:pt>
                <c:pt idx="107">
                  <c:v>405.94754638779727</c:v>
                </c:pt>
                <c:pt idx="108">
                  <c:v>409.37249313446233</c:v>
                </c:pt>
                <c:pt idx="109">
                  <c:v>412.79682104059594</c:v>
                </c:pt>
                <c:pt idx="110">
                  <c:v>416.22053597073176</c:v>
                </c:pt>
                <c:pt idx="111">
                  <c:v>391.81296896199984</c:v>
                </c:pt>
                <c:pt idx="112">
                  <c:v>394.52651032175942</c:v>
                </c:pt>
                <c:pt idx="113">
                  <c:v>397.23964710597198</c:v>
                </c:pt>
                <c:pt idx="114">
                  <c:v>399.9523824719227</c:v>
                </c:pt>
                <c:pt idx="115">
                  <c:v>402.66471953051069</c:v>
                </c:pt>
                <c:pt idx="116">
                  <c:v>405.37666134724623</c:v>
                </c:pt>
                <c:pt idx="117">
                  <c:v>408.08821094321871</c:v>
                </c:pt>
                <c:pt idx="118">
                  <c:v>410.79937129603871</c:v>
                </c:pt>
                <c:pt idx="119">
                  <c:v>413.5101453407521</c:v>
                </c:pt>
                <c:pt idx="120">
                  <c:v>416.22053597073136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8.0726688341261168E-13</c:v>
                </c:pt>
                <c:pt idx="82">
                  <c:v>8.0726688341261168E-13</c:v>
                </c:pt>
                <c:pt idx="83">
                  <c:v>8.0726688341261168E-13</c:v>
                </c:pt>
                <c:pt idx="84">
                  <c:v>8.0726688341261168E-13</c:v>
                </c:pt>
                <c:pt idx="85">
                  <c:v>8.0726688341261168E-13</c:v>
                </c:pt>
                <c:pt idx="86">
                  <c:v>8.0726688341261168E-13</c:v>
                </c:pt>
                <c:pt idx="87">
                  <c:v>8.0726688341261168E-13</c:v>
                </c:pt>
                <c:pt idx="88">
                  <c:v>8.0726688341261168E-13</c:v>
                </c:pt>
                <c:pt idx="89">
                  <c:v>8.0726688341261168E-13</c:v>
                </c:pt>
                <c:pt idx="90">
                  <c:v>8.0726688341261168E-13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4257812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28" zoomScale="80" zoomScaleNormal="80" workbookViewId="0">
      <selection activeCell="L140" sqref="L140"/>
    </sheetView>
  </sheetViews>
  <sheetFormatPr baseColWidth="10" defaultColWidth="11.42578125" defaultRowHeight="15" x14ac:dyDescent="0.25"/>
  <cols>
    <col min="1" max="1" width="13.4257812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42578125" style="23" customWidth="1"/>
    <col min="6" max="6" width="28.85546875" style="23" bestFit="1" customWidth="1"/>
    <col min="7" max="8" width="14.4257812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7.1429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0.1</v>
      </c>
      <c r="D9" s="33">
        <f t="shared" ref="D9:D18" si="0">C9*$C$5</f>
        <v>0.71429000000000009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36</v>
      </c>
      <c r="C10" s="32">
        <v>0.1</v>
      </c>
      <c r="D10" s="33">
        <f t="shared" si="0"/>
        <v>0.71429000000000009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39</v>
      </c>
      <c r="C11" s="32">
        <v>0.1</v>
      </c>
      <c r="D11" s="33">
        <f t="shared" si="0"/>
        <v>0.71429000000000009</v>
      </c>
      <c r="E11" s="34">
        <v>62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90</v>
      </c>
      <c r="C12" s="32">
        <v>0.1</v>
      </c>
      <c r="D12" s="33">
        <f t="shared" si="0"/>
        <v>0.71429000000000009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47</v>
      </c>
      <c r="C13" s="32">
        <v>0.1</v>
      </c>
      <c r="D13" s="33">
        <f t="shared" si="0"/>
        <v>0.71429000000000009</v>
      </c>
      <c r="E13" s="34">
        <v>165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32</v>
      </c>
      <c r="C14" s="32">
        <v>0.1</v>
      </c>
      <c r="D14" s="33">
        <f t="shared" si="0"/>
        <v>0.71429000000000009</v>
      </c>
      <c r="E14" s="34">
        <v>60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50</v>
      </c>
      <c r="C15" s="32">
        <v>0.1</v>
      </c>
      <c r="D15" s="33">
        <f t="shared" si="0"/>
        <v>0.71429000000000009</v>
      </c>
      <c r="E15" s="34">
        <v>120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21</v>
      </c>
      <c r="C16" s="32">
        <v>0.1</v>
      </c>
      <c r="D16" s="33">
        <f t="shared" si="0"/>
        <v>0.71429000000000009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22</v>
      </c>
      <c r="C17" s="32">
        <v>0.1</v>
      </c>
      <c r="D17" s="33">
        <f t="shared" si="0"/>
        <v>0.71429000000000009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 t="s">
        <v>21</v>
      </c>
      <c r="C18" s="32">
        <v>0.1</v>
      </c>
      <c r="D18" s="33">
        <f t="shared" si="0"/>
        <v>0.71429000000000009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G18" s="23" t="s">
        <v>324</v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0.99999999999999989</v>
      </c>
      <c r="D19" s="38">
        <f>SUM(D9:D18)</f>
        <v>7.1429000000000009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25</v>
      </c>
      <c r="B36" s="60">
        <v>30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1.2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54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4.8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35</v>
      </c>
      <c r="B38" s="60">
        <v>79</v>
      </c>
      <c r="C38" s="60">
        <v>3</v>
      </c>
      <c r="D38" s="60">
        <v>13</v>
      </c>
      <c r="E38" s="51">
        <v>0</v>
      </c>
      <c r="F38" s="51"/>
      <c r="G38" s="51"/>
      <c r="H38" s="51">
        <v>1</v>
      </c>
      <c r="I38" s="53">
        <f t="shared" si="1"/>
        <v>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93</v>
      </c>
      <c r="C39" s="60">
        <v>4</v>
      </c>
      <c r="D39" s="60">
        <v>14</v>
      </c>
      <c r="E39" s="51">
        <v>0.2</v>
      </c>
      <c r="F39" s="51"/>
      <c r="G39" s="51"/>
      <c r="H39" s="51">
        <v>0.8</v>
      </c>
      <c r="I39" s="49">
        <f t="shared" si="1"/>
        <v>5.4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45</v>
      </c>
      <c r="B40" s="60">
        <v>107</v>
      </c>
      <c r="C40" s="60">
        <v>5</v>
      </c>
      <c r="D40" s="60">
        <v>14</v>
      </c>
      <c r="E40" s="51">
        <v>0.2</v>
      </c>
      <c r="F40" s="51"/>
      <c r="G40" s="51"/>
      <c r="H40" s="51">
        <v>0.8</v>
      </c>
      <c r="I40" s="49">
        <f t="shared" si="1"/>
        <v>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50</v>
      </c>
      <c r="B41" s="60">
        <v>121</v>
      </c>
      <c r="C41" s="60">
        <v>6</v>
      </c>
      <c r="D41" s="60">
        <v>14</v>
      </c>
      <c r="E41" s="51">
        <v>0.2</v>
      </c>
      <c r="F41" s="51"/>
      <c r="G41" s="51"/>
      <c r="H41" s="51">
        <v>0.8</v>
      </c>
      <c r="I41" s="53">
        <f t="shared" si="1"/>
        <v>5.6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55</v>
      </c>
      <c r="B42" s="60">
        <v>135</v>
      </c>
      <c r="C42" s="60">
        <v>7</v>
      </c>
      <c r="D42" s="60">
        <v>14</v>
      </c>
      <c r="E42" s="51">
        <v>0.3</v>
      </c>
      <c r="F42" s="51"/>
      <c r="G42" s="51"/>
      <c r="H42" s="51">
        <v>0.7</v>
      </c>
      <c r="I42" s="53">
        <f t="shared" si="1"/>
        <v>5.6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60</v>
      </c>
      <c r="B43" s="60">
        <v>148</v>
      </c>
      <c r="C43" s="60">
        <v>8</v>
      </c>
      <c r="D43" s="60">
        <v>14</v>
      </c>
      <c r="E43" s="51">
        <v>0.3</v>
      </c>
      <c r="F43" s="51"/>
      <c r="G43" s="51"/>
      <c r="H43" s="51">
        <v>0.7</v>
      </c>
      <c r="I43" s="49">
        <f t="shared" si="1"/>
        <v>5.4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65</v>
      </c>
      <c r="B44" s="60">
        <v>161</v>
      </c>
      <c r="C44" s="60">
        <v>9</v>
      </c>
      <c r="D44" s="60">
        <v>14</v>
      </c>
      <c r="E44" s="51">
        <v>0.4</v>
      </c>
      <c r="F44" s="51"/>
      <c r="G44" s="51"/>
      <c r="H44" s="51">
        <v>0.6</v>
      </c>
      <c r="I44" s="49">
        <f t="shared" si="1"/>
        <v>5.4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70</v>
      </c>
      <c r="B45" s="60">
        <v>172</v>
      </c>
      <c r="C45" s="60">
        <v>10</v>
      </c>
      <c r="D45" s="60">
        <v>14</v>
      </c>
      <c r="E45" s="51">
        <v>0.4</v>
      </c>
      <c r="F45" s="51"/>
      <c r="G45" s="51"/>
      <c r="H45" s="51">
        <v>0.6</v>
      </c>
      <c r="I45" s="49">
        <f t="shared" si="1"/>
        <v>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75</v>
      </c>
      <c r="B46" s="60">
        <v>183</v>
      </c>
      <c r="C46" s="60">
        <v>11</v>
      </c>
      <c r="D46" s="60">
        <v>14</v>
      </c>
      <c r="E46" s="51">
        <v>0.5</v>
      </c>
      <c r="F46" s="51"/>
      <c r="G46" s="51"/>
      <c r="H46" s="51">
        <v>0.5</v>
      </c>
      <c r="I46" s="49">
        <f t="shared" si="1"/>
        <v>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80</v>
      </c>
      <c r="B47" s="60">
        <v>192</v>
      </c>
      <c r="C47" s="60">
        <v>12</v>
      </c>
      <c r="D47" s="60">
        <v>14</v>
      </c>
      <c r="E47" s="51">
        <v>0.5</v>
      </c>
      <c r="F47" s="51"/>
      <c r="G47" s="51"/>
      <c r="H47" s="51">
        <v>0.5</v>
      </c>
      <c r="I47" s="49">
        <f t="shared" si="1"/>
        <v>4.5999999999999996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85</v>
      </c>
      <c r="B48" s="60">
        <v>200</v>
      </c>
      <c r="C48" s="60">
        <v>13</v>
      </c>
      <c r="D48" s="60">
        <v>14</v>
      </c>
      <c r="E48" s="51">
        <v>0.6</v>
      </c>
      <c r="F48" s="51"/>
      <c r="G48" s="51"/>
      <c r="H48" s="51">
        <v>0.4</v>
      </c>
      <c r="I48" s="49">
        <f t="shared" si="1"/>
        <v>4.4000000000000004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90</v>
      </c>
      <c r="B49" s="60">
        <v>207</v>
      </c>
      <c r="C49" s="60">
        <v>14</v>
      </c>
      <c r="D49" s="60">
        <v>14</v>
      </c>
      <c r="E49" s="51">
        <v>0.6</v>
      </c>
      <c r="F49" s="51"/>
      <c r="G49" s="51"/>
      <c r="H49" s="51">
        <v>0.4</v>
      </c>
      <c r="I49" s="49">
        <f t="shared" si="1"/>
        <v>4.2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95</v>
      </c>
      <c r="B50" s="50">
        <v>212</v>
      </c>
      <c r="C50" s="50">
        <v>15</v>
      </c>
      <c r="D50" s="50">
        <v>14</v>
      </c>
      <c r="E50" s="51">
        <v>0.7</v>
      </c>
      <c r="F50" s="51"/>
      <c r="G50" s="51"/>
      <c r="H50" s="51">
        <v>0.3</v>
      </c>
      <c r="I50" s="49">
        <f t="shared" si="1"/>
        <v>3.8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100</v>
      </c>
      <c r="B51" s="50">
        <v>216</v>
      </c>
      <c r="C51" s="50">
        <v>16</v>
      </c>
      <c r="D51" s="50">
        <v>14</v>
      </c>
      <c r="E51" s="51">
        <v>0.7</v>
      </c>
      <c r="F51" s="51"/>
      <c r="G51" s="51"/>
      <c r="H51" s="51">
        <v>0.3</v>
      </c>
      <c r="I51" s="49">
        <f t="shared" si="1"/>
        <v>3.6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105</v>
      </c>
      <c r="B52" s="50">
        <v>218</v>
      </c>
      <c r="C52" s="50">
        <v>17</v>
      </c>
      <c r="D52" s="50">
        <v>14</v>
      </c>
      <c r="E52" s="51">
        <v>0.7</v>
      </c>
      <c r="F52" s="51"/>
      <c r="G52" s="51"/>
      <c r="H52" s="51">
        <v>0.3</v>
      </c>
      <c r="I52" s="49">
        <f t="shared" si="1"/>
        <v>3.2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110</v>
      </c>
      <c r="B53" s="50">
        <v>219</v>
      </c>
      <c r="C53" s="50">
        <v>18</v>
      </c>
      <c r="D53" s="50">
        <v>13</v>
      </c>
      <c r="E53" s="51">
        <v>0.7</v>
      </c>
      <c r="F53" s="51"/>
      <c r="G53" s="51"/>
      <c r="H53" s="51">
        <v>0.3</v>
      </c>
      <c r="I53" s="49">
        <f t="shared" si="1"/>
        <v>3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>
        <v>115</v>
      </c>
      <c r="B54" s="50">
        <v>219</v>
      </c>
      <c r="C54" s="50">
        <v>19</v>
      </c>
      <c r="D54" s="50">
        <v>13</v>
      </c>
      <c r="E54" s="51">
        <v>0.7</v>
      </c>
      <c r="F54" s="51"/>
      <c r="G54" s="51"/>
      <c r="H54" s="51">
        <v>0.3</v>
      </c>
      <c r="I54" s="49">
        <f t="shared" si="1"/>
        <v>2.6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>
        <v>120</v>
      </c>
      <c r="B55" s="50">
        <v>221</v>
      </c>
      <c r="C55" s="50">
        <v>20</v>
      </c>
      <c r="D55" s="50">
        <v>221</v>
      </c>
      <c r="E55" s="51">
        <v>0.8</v>
      </c>
      <c r="F55" s="51"/>
      <c r="G55" s="51"/>
      <c r="H55" s="51">
        <v>0.2</v>
      </c>
      <c r="I55" s="49">
        <f t="shared" si="1"/>
        <v>3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maritime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17</v>
      </c>
      <c r="B62" s="60">
        <v>122.32</v>
      </c>
      <c r="C62" s="60">
        <v>0</v>
      </c>
      <c r="D62" s="60">
        <v>41</v>
      </c>
      <c r="E62" s="51">
        <v>0</v>
      </c>
      <c r="F62" s="51">
        <v>0.56000000000000005</v>
      </c>
      <c r="G62" s="51">
        <v>0.44</v>
      </c>
      <c r="H62" s="51"/>
      <c r="I62" s="53">
        <f>IFERROR(B62/A62,"")</f>
        <v>7.1952941176470588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23</v>
      </c>
      <c r="B63" s="60">
        <v>187.68</v>
      </c>
      <c r="C63" s="60">
        <v>1</v>
      </c>
      <c r="D63" s="60">
        <v>57.75</v>
      </c>
      <c r="E63" s="51">
        <v>0.2</v>
      </c>
      <c r="F63" s="51">
        <v>0.56000000000000005</v>
      </c>
      <c r="G63" s="51">
        <v>0.35</v>
      </c>
      <c r="H63" s="51"/>
      <c r="I63" s="49">
        <f>IF(A63&lt;&gt;0,(B63-(B62-D62))/(A63-A62),"")</f>
        <v>17.72666666666667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25</v>
      </c>
      <c r="B64" s="60">
        <v>168.48</v>
      </c>
      <c r="C64" s="60">
        <v>2</v>
      </c>
      <c r="D64" s="60">
        <v>0</v>
      </c>
      <c r="E64" s="51">
        <v>0.3</v>
      </c>
      <c r="F64" s="51">
        <v>0.39</v>
      </c>
      <c r="G64" s="51">
        <v>0.31</v>
      </c>
      <c r="H64" s="51"/>
      <c r="I64" s="49">
        <f>IF(A64&lt;&gt;0,(B64-(B63-D63))/(A64-A63),"")</f>
        <v>19.274999999999991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29</v>
      </c>
      <c r="B65" s="60">
        <v>241.61</v>
      </c>
      <c r="C65" s="60">
        <v>3</v>
      </c>
      <c r="D65" s="60">
        <v>54.64</v>
      </c>
      <c r="E65" s="51">
        <v>0.4</v>
      </c>
      <c r="F65" s="51">
        <v>0.34</v>
      </c>
      <c r="G65" s="51">
        <v>0.26</v>
      </c>
      <c r="H65" s="51"/>
      <c r="I65" s="49">
        <f>IF(A65&lt;&gt;0,(B65-(B64-D64))/(A65-A64),"")</f>
        <v>18.282500000000006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34</v>
      </c>
      <c r="B66" s="60">
        <v>275</v>
      </c>
      <c r="C66" s="60">
        <v>4</v>
      </c>
      <c r="D66" s="60">
        <v>0</v>
      </c>
      <c r="E66" s="51">
        <v>0.5</v>
      </c>
      <c r="F66" s="51">
        <v>0.28000000000000003</v>
      </c>
      <c r="G66" s="51">
        <v>0.22</v>
      </c>
      <c r="H66" s="51"/>
      <c r="I66" s="49">
        <f t="shared" ref="I66:I81" si="2">IF(A66&lt;&gt;0,(B66-(B65-D65))/(A66-A65),"")</f>
        <v>17.605999999999995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36</v>
      </c>
      <c r="B67" s="60">
        <v>311.13</v>
      </c>
      <c r="C67" s="60">
        <v>5</v>
      </c>
      <c r="D67" s="60">
        <v>76</v>
      </c>
      <c r="E67" s="51">
        <v>0.6</v>
      </c>
      <c r="F67" s="51">
        <v>0.22</v>
      </c>
      <c r="G67" s="51">
        <v>0.18</v>
      </c>
      <c r="H67" s="51"/>
      <c r="I67" s="49">
        <f t="shared" si="2"/>
        <v>18.064999999999998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43</v>
      </c>
      <c r="B68" s="60">
        <v>350.87</v>
      </c>
      <c r="C68" s="60">
        <v>6</v>
      </c>
      <c r="D68" s="60">
        <v>0</v>
      </c>
      <c r="E68" s="51">
        <v>0.7</v>
      </c>
      <c r="F68" s="51">
        <v>0.17</v>
      </c>
      <c r="G68" s="51">
        <v>0.13</v>
      </c>
      <c r="H68" s="51"/>
      <c r="I68" s="49">
        <f t="shared" si="2"/>
        <v>16.534285714285716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44</v>
      </c>
      <c r="B69" s="50">
        <v>367.35</v>
      </c>
      <c r="C69" s="50">
        <v>7</v>
      </c>
      <c r="D69" s="50">
        <v>78</v>
      </c>
      <c r="E69" s="51">
        <v>0.8</v>
      </c>
      <c r="F69" s="51">
        <v>0.11</v>
      </c>
      <c r="G69" s="51">
        <v>0.09</v>
      </c>
      <c r="H69" s="51"/>
      <c r="I69" s="49">
        <f t="shared" si="2"/>
        <v>16.480000000000018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52</v>
      </c>
      <c r="B70" s="50">
        <v>406.59</v>
      </c>
      <c r="C70" s="50">
        <v>8</v>
      </c>
      <c r="D70" s="50">
        <v>75.37</v>
      </c>
      <c r="E70" s="51">
        <v>0.8</v>
      </c>
      <c r="F70" s="51">
        <v>0.11</v>
      </c>
      <c r="G70" s="51">
        <v>0.09</v>
      </c>
      <c r="H70" s="51"/>
      <c r="I70" s="49">
        <f t="shared" si="2"/>
        <v>14.654999999999994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60</v>
      </c>
      <c r="B71" s="50">
        <v>436.34</v>
      </c>
      <c r="C71" s="50">
        <v>9</v>
      </c>
      <c r="D71" s="50">
        <v>436.34</v>
      </c>
      <c r="E71" s="51">
        <v>0.8</v>
      </c>
      <c r="F71" s="51">
        <v>0.11</v>
      </c>
      <c r="G71" s="51">
        <v>0.09</v>
      </c>
      <c r="H71" s="51"/>
      <c r="I71" s="49">
        <f t="shared" si="2"/>
        <v>13.14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pignon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24</v>
      </c>
      <c r="B88" s="60">
        <v>135.71</v>
      </c>
      <c r="C88" s="60">
        <v>0</v>
      </c>
      <c r="D88" s="60">
        <v>49</v>
      </c>
      <c r="E88" s="51">
        <v>0</v>
      </c>
      <c r="F88" s="51">
        <v>0.56000000000000005</v>
      </c>
      <c r="G88" s="51">
        <v>0.44</v>
      </c>
      <c r="H88" s="87"/>
      <c r="I88" s="53">
        <f>IFERROR(B88/A88,"")</f>
        <v>5.654583333333334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166.11</v>
      </c>
      <c r="C89" s="60">
        <v>1</v>
      </c>
      <c r="D89" s="60">
        <v>37.56</v>
      </c>
      <c r="E89" s="51">
        <v>0.2</v>
      </c>
      <c r="F89" s="51">
        <v>0.56000000000000005</v>
      </c>
      <c r="G89" s="51">
        <v>0.35</v>
      </c>
      <c r="H89" s="87"/>
      <c r="I89" s="53">
        <f t="shared" ref="I89:I107" si="3">IF(A89&lt;&gt;0,(B89-(B88-D88))/(A89-A88),"")</f>
        <v>13.233333333333334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32</v>
      </c>
      <c r="B90" s="60">
        <v>152.74</v>
      </c>
      <c r="C90" s="60">
        <v>2</v>
      </c>
      <c r="D90" s="60">
        <v>0</v>
      </c>
      <c r="E90" s="87">
        <v>0.3</v>
      </c>
      <c r="F90" s="87">
        <v>0.39</v>
      </c>
      <c r="G90" s="87">
        <v>0.31</v>
      </c>
      <c r="H90" s="87"/>
      <c r="I90" s="53">
        <f t="shared" si="3"/>
        <v>12.094999999999999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38</v>
      </c>
      <c r="B91" s="60">
        <v>234.52</v>
      </c>
      <c r="C91" s="60">
        <v>3</v>
      </c>
      <c r="D91" s="60">
        <v>53.95</v>
      </c>
      <c r="E91" s="87">
        <v>0.4</v>
      </c>
      <c r="F91" s="87">
        <v>0.34</v>
      </c>
      <c r="G91" s="87">
        <v>0.26</v>
      </c>
      <c r="H91" s="87"/>
      <c r="I91" s="53">
        <f t="shared" si="3"/>
        <v>13.63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41</v>
      </c>
      <c r="B92" s="60">
        <v>219.86</v>
      </c>
      <c r="C92" s="60">
        <v>4</v>
      </c>
      <c r="D92" s="60">
        <v>0</v>
      </c>
      <c r="E92" s="87">
        <v>0.5</v>
      </c>
      <c r="F92" s="87">
        <v>0.28000000000000003</v>
      </c>
      <c r="G92" s="87">
        <v>0.22</v>
      </c>
      <c r="H92" s="87"/>
      <c r="I92" s="53">
        <f t="shared" si="3"/>
        <v>13.096666666666673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46</v>
      </c>
      <c r="B93" s="60">
        <v>283.72000000000003</v>
      </c>
      <c r="C93" s="60">
        <v>5</v>
      </c>
      <c r="D93" s="60">
        <v>65</v>
      </c>
      <c r="E93" s="87">
        <v>0.6</v>
      </c>
      <c r="F93" s="87">
        <v>0.22</v>
      </c>
      <c r="G93" s="87">
        <v>0.18</v>
      </c>
      <c r="H93" s="87"/>
      <c r="I93" s="53">
        <f t="shared" si="3"/>
        <v>12.772000000000002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50</v>
      </c>
      <c r="B94" s="60">
        <v>268.45</v>
      </c>
      <c r="C94" s="60">
        <v>6</v>
      </c>
      <c r="D94" s="60">
        <v>0</v>
      </c>
      <c r="E94" s="87">
        <v>0.7</v>
      </c>
      <c r="F94" s="87">
        <v>0.17</v>
      </c>
      <c r="G94" s="87">
        <v>0.13</v>
      </c>
      <c r="H94" s="87"/>
      <c r="I94" s="53">
        <f t="shared" si="3"/>
        <v>12.43249999999999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54</v>
      </c>
      <c r="B95" s="60">
        <v>314.82</v>
      </c>
      <c r="C95" s="60">
        <v>7</v>
      </c>
      <c r="D95" s="60">
        <v>72</v>
      </c>
      <c r="E95" s="87">
        <v>0.8</v>
      </c>
      <c r="F95" s="87">
        <v>0.11</v>
      </c>
      <c r="G95" s="87">
        <v>0.09</v>
      </c>
      <c r="H95" s="87"/>
      <c r="I95" s="53">
        <f t="shared" si="3"/>
        <v>11.592500000000001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59</v>
      </c>
      <c r="B96" s="60">
        <v>293.74</v>
      </c>
      <c r="C96" s="60">
        <v>8</v>
      </c>
      <c r="D96" s="60">
        <v>0</v>
      </c>
      <c r="E96" s="87">
        <v>0.8</v>
      </c>
      <c r="F96" s="87">
        <v>0.11</v>
      </c>
      <c r="G96" s="87">
        <v>0.09</v>
      </c>
      <c r="H96" s="87"/>
      <c r="I96" s="53">
        <f t="shared" si="3"/>
        <v>10.184000000000003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62</v>
      </c>
      <c r="B97" s="60">
        <v>322.99</v>
      </c>
      <c r="C97" s="60">
        <v>9</v>
      </c>
      <c r="D97" s="60">
        <v>322.99</v>
      </c>
      <c r="E97" s="87">
        <v>0.8</v>
      </c>
      <c r="F97" s="87">
        <v>0.11</v>
      </c>
      <c r="G97" s="87">
        <v>0.09</v>
      </c>
      <c r="H97" s="87"/>
      <c r="I97" s="53">
        <f t="shared" si="3"/>
        <v>9.75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Pin d'Alep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15</v>
      </c>
      <c r="B114" s="60">
        <v>8.09</v>
      </c>
      <c r="C114" s="50">
        <v>0</v>
      </c>
      <c r="D114" s="60">
        <v>0</v>
      </c>
      <c r="E114" s="51">
        <v>0</v>
      </c>
      <c r="F114" s="51">
        <v>0.56000000000000005</v>
      </c>
      <c r="G114" s="51">
        <v>0.44</v>
      </c>
      <c r="H114" s="51"/>
      <c r="I114" s="53">
        <f>IFERROR(B114/A114,"")</f>
        <v>0.53933333333333333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18</v>
      </c>
      <c r="B115" s="60">
        <v>16.36</v>
      </c>
      <c r="C115" s="50">
        <v>1</v>
      </c>
      <c r="D115" s="60">
        <v>0</v>
      </c>
      <c r="E115" s="51">
        <v>0</v>
      </c>
      <c r="F115" s="51">
        <v>0.56000000000000005</v>
      </c>
      <c r="G115" s="51">
        <v>0.44</v>
      </c>
      <c r="H115" s="51"/>
      <c r="I115" s="53">
        <f t="shared" ref="I115:I133" si="4">IF(A115&lt;&gt;0,(B115-(B114-D114))/(A115-A114),"")</f>
        <v>2.7566666666666664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20</v>
      </c>
      <c r="B116" s="60">
        <v>22.57</v>
      </c>
      <c r="C116" s="50">
        <v>2</v>
      </c>
      <c r="D116" s="60">
        <v>0</v>
      </c>
      <c r="E116" s="51">
        <v>0</v>
      </c>
      <c r="F116" s="51">
        <v>0.56000000000000005</v>
      </c>
      <c r="G116" s="51">
        <v>0.44</v>
      </c>
      <c r="H116" s="51"/>
      <c r="I116" s="53">
        <f t="shared" si="4"/>
        <v>3.1050000000000004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23</v>
      </c>
      <c r="B117" s="60">
        <v>33.76</v>
      </c>
      <c r="C117" s="50">
        <v>3</v>
      </c>
      <c r="D117" s="60">
        <v>0</v>
      </c>
      <c r="E117" s="51">
        <v>0</v>
      </c>
      <c r="F117" s="51">
        <v>0.56000000000000005</v>
      </c>
      <c r="G117" s="51">
        <v>0.44</v>
      </c>
      <c r="H117" s="51"/>
      <c r="I117" s="53">
        <f t="shared" si="4"/>
        <v>3.7299999999999991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25</v>
      </c>
      <c r="B118" s="60">
        <v>42.38</v>
      </c>
      <c r="C118" s="50">
        <v>4</v>
      </c>
      <c r="D118" s="60">
        <v>0</v>
      </c>
      <c r="E118" s="51">
        <v>0</v>
      </c>
      <c r="F118" s="51">
        <v>0.56000000000000005</v>
      </c>
      <c r="G118" s="51">
        <v>0.44</v>
      </c>
      <c r="H118" s="51"/>
      <c r="I118" s="53">
        <f t="shared" si="4"/>
        <v>4.3100000000000023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27</v>
      </c>
      <c r="B119" s="60">
        <v>51.92</v>
      </c>
      <c r="C119" s="50">
        <v>5</v>
      </c>
      <c r="D119" s="60">
        <v>0</v>
      </c>
      <c r="E119" s="51">
        <v>0</v>
      </c>
      <c r="F119" s="51">
        <v>0.56000000000000005</v>
      </c>
      <c r="G119" s="51">
        <v>0.44</v>
      </c>
      <c r="H119" s="51"/>
      <c r="I119" s="53">
        <f t="shared" si="4"/>
        <v>4.7699999999999996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30</v>
      </c>
      <c r="B120" s="60">
        <v>68.010000000000005</v>
      </c>
      <c r="C120" s="60">
        <v>6</v>
      </c>
      <c r="D120" s="60">
        <v>0</v>
      </c>
      <c r="E120" s="87">
        <v>0.2</v>
      </c>
      <c r="F120" s="87">
        <v>0.56000000000000005</v>
      </c>
      <c r="G120" s="87">
        <v>0.35</v>
      </c>
      <c r="H120" s="87"/>
      <c r="I120" s="53">
        <f t="shared" si="4"/>
        <v>5.3633333333333342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36</v>
      </c>
      <c r="B121" s="60">
        <v>105.71</v>
      </c>
      <c r="C121" s="60">
        <v>7</v>
      </c>
      <c r="D121" s="60">
        <v>29</v>
      </c>
      <c r="E121" s="87">
        <v>0.2</v>
      </c>
      <c r="F121" s="87">
        <v>0.45</v>
      </c>
      <c r="G121" s="87">
        <v>0.35</v>
      </c>
      <c r="H121" s="87"/>
      <c r="I121" s="53">
        <f t="shared" si="4"/>
        <v>6.2833333333333314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45</v>
      </c>
      <c r="B122" s="60">
        <v>128.74</v>
      </c>
      <c r="C122" s="60">
        <v>8</v>
      </c>
      <c r="D122" s="60">
        <v>0</v>
      </c>
      <c r="E122" s="87">
        <v>0.4</v>
      </c>
      <c r="F122" s="87">
        <v>0.34</v>
      </c>
      <c r="G122" s="87">
        <v>0.26</v>
      </c>
      <c r="H122" s="87"/>
      <c r="I122" s="53">
        <f t="shared" si="4"/>
        <v>5.7811111111111124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52</v>
      </c>
      <c r="B123" s="60">
        <v>173.21</v>
      </c>
      <c r="C123" s="60">
        <v>9</v>
      </c>
      <c r="D123" s="60">
        <v>70</v>
      </c>
      <c r="E123" s="87">
        <v>0.4</v>
      </c>
      <c r="F123" s="87">
        <v>0.34</v>
      </c>
      <c r="G123" s="87">
        <v>0.26</v>
      </c>
      <c r="H123" s="87"/>
      <c r="I123" s="53">
        <f t="shared" si="4"/>
        <v>6.3528571428571423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58</v>
      </c>
      <c r="B124" s="60">
        <v>131.86000000000001</v>
      </c>
      <c r="C124" s="60">
        <v>10</v>
      </c>
      <c r="D124" s="60">
        <v>0</v>
      </c>
      <c r="E124" s="87">
        <v>0.4</v>
      </c>
      <c r="F124" s="87">
        <v>0.34</v>
      </c>
      <c r="G124" s="87">
        <v>0.26</v>
      </c>
      <c r="H124" s="87"/>
      <c r="I124" s="53">
        <f t="shared" si="4"/>
        <v>4.7750000000000012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64</v>
      </c>
      <c r="B125" s="60">
        <v>161.84</v>
      </c>
      <c r="C125" s="60">
        <v>11</v>
      </c>
      <c r="D125" s="60">
        <v>0</v>
      </c>
      <c r="E125" s="87">
        <v>0.4</v>
      </c>
      <c r="F125" s="87">
        <v>0.34</v>
      </c>
      <c r="G125" s="87">
        <v>0.26</v>
      </c>
      <c r="H125" s="87"/>
      <c r="I125" s="53">
        <f t="shared" si="4"/>
        <v>4.9966666666666653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70</v>
      </c>
      <c r="B126" s="60">
        <v>193.16</v>
      </c>
      <c r="C126" s="60">
        <v>12</v>
      </c>
      <c r="D126" s="60">
        <v>0</v>
      </c>
      <c r="E126" s="65">
        <v>0.4</v>
      </c>
      <c r="F126" s="65">
        <v>0.34</v>
      </c>
      <c r="G126" s="65">
        <v>0.26</v>
      </c>
      <c r="H126" s="65"/>
      <c r="I126" s="53">
        <f t="shared" si="4"/>
        <v>5.2199999999999989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74</v>
      </c>
      <c r="B127" s="60">
        <v>214.26</v>
      </c>
      <c r="C127" s="60">
        <v>13</v>
      </c>
      <c r="D127" s="60">
        <v>108.41</v>
      </c>
      <c r="E127" s="65">
        <v>0.6</v>
      </c>
      <c r="F127" s="65">
        <v>0.22</v>
      </c>
      <c r="G127" s="65">
        <v>0.18</v>
      </c>
      <c r="H127" s="65"/>
      <c r="I127" s="53">
        <f t="shared" si="4"/>
        <v>5.2749999999999986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>
        <v>80</v>
      </c>
      <c r="B128" s="50">
        <v>126.22</v>
      </c>
      <c r="C128" s="50">
        <v>14</v>
      </c>
      <c r="D128" s="50">
        <v>0</v>
      </c>
      <c r="E128" s="54">
        <v>0.6</v>
      </c>
      <c r="F128" s="54">
        <v>0.22</v>
      </c>
      <c r="G128" s="54">
        <v>0.18</v>
      </c>
      <c r="H128" s="54"/>
      <c r="I128" s="53">
        <f t="shared" si="4"/>
        <v>3.3950000000000009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>
        <v>86</v>
      </c>
      <c r="B129" s="50">
        <v>147.37</v>
      </c>
      <c r="C129" s="50">
        <v>15</v>
      </c>
      <c r="D129" s="50">
        <v>0</v>
      </c>
      <c r="E129" s="54">
        <v>0.6</v>
      </c>
      <c r="F129" s="54">
        <v>0.22</v>
      </c>
      <c r="G129" s="54">
        <v>0.18</v>
      </c>
      <c r="H129" s="54"/>
      <c r="I129" s="53">
        <f t="shared" si="4"/>
        <v>3.5250000000000008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>
        <v>90</v>
      </c>
      <c r="B130" s="50">
        <v>158.02000000000001</v>
      </c>
      <c r="C130" s="50">
        <v>16</v>
      </c>
      <c r="D130" s="50">
        <v>158.02000000000001</v>
      </c>
      <c r="E130" s="54">
        <v>0.6</v>
      </c>
      <c r="F130" s="54">
        <v>0.22</v>
      </c>
      <c r="G130" s="54">
        <v>0.18</v>
      </c>
      <c r="H130" s="54"/>
      <c r="I130" s="53">
        <f t="shared" si="4"/>
        <v>2.6625000000000014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Sapin méditerranéen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30</v>
      </c>
      <c r="B140" s="60">
        <v>65.37</v>
      </c>
      <c r="C140" s="50">
        <v>1</v>
      </c>
      <c r="D140" s="60">
        <v>0</v>
      </c>
      <c r="E140" s="51">
        <v>0</v>
      </c>
      <c r="F140" s="51">
        <v>0.56000000000000005</v>
      </c>
      <c r="G140" s="51">
        <v>0.44</v>
      </c>
      <c r="H140" s="51"/>
      <c r="I140" s="57">
        <f>IFERROR(B140/A140,"")</f>
        <v>2.1790000000000003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35</v>
      </c>
      <c r="B141" s="60">
        <v>93.23</v>
      </c>
      <c r="C141" s="50">
        <v>2</v>
      </c>
      <c r="D141" s="60">
        <v>0</v>
      </c>
      <c r="E141" s="51">
        <v>0</v>
      </c>
      <c r="F141" s="51">
        <v>0.56000000000000005</v>
      </c>
      <c r="G141" s="51">
        <v>0.44</v>
      </c>
      <c r="H141" s="51"/>
      <c r="I141" s="57">
        <f t="shared" ref="I141:I159" si="5">IF(A141&lt;&gt;0,(B141-(B140-D140))/(A141-A140),"")</f>
        <v>5.5720000000000001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124.97</v>
      </c>
      <c r="C142" s="50">
        <v>3</v>
      </c>
      <c r="D142" s="60">
        <v>0</v>
      </c>
      <c r="E142" s="51">
        <v>0</v>
      </c>
      <c r="F142" s="51">
        <v>0.56000000000000005</v>
      </c>
      <c r="G142" s="51">
        <v>0.44</v>
      </c>
      <c r="H142" s="51"/>
      <c r="I142" s="57">
        <f t="shared" si="5"/>
        <v>6.347999999999999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198</v>
      </c>
      <c r="C143" s="50">
        <v>4</v>
      </c>
      <c r="D143" s="60">
        <v>0</v>
      </c>
      <c r="E143" s="51">
        <v>0</v>
      </c>
      <c r="F143" s="51">
        <v>0.56000000000000005</v>
      </c>
      <c r="G143" s="51">
        <v>0.44</v>
      </c>
      <c r="H143" s="51"/>
      <c r="I143" s="57">
        <f t="shared" si="5"/>
        <v>7.3029999999999999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278.43</v>
      </c>
      <c r="C144" s="50">
        <v>5</v>
      </c>
      <c r="D144" s="60">
        <v>0</v>
      </c>
      <c r="E144" s="51">
        <v>0</v>
      </c>
      <c r="F144" s="51">
        <v>0.56000000000000005</v>
      </c>
      <c r="G144" s="51">
        <v>0.44</v>
      </c>
      <c r="H144" s="51"/>
      <c r="I144" s="57">
        <f t="shared" si="5"/>
        <v>8.043000000000001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67</v>
      </c>
      <c r="B145" s="60">
        <v>337.11</v>
      </c>
      <c r="C145" s="50">
        <v>6</v>
      </c>
      <c r="D145" s="60">
        <v>122</v>
      </c>
      <c r="E145" s="51">
        <v>0</v>
      </c>
      <c r="F145" s="51">
        <v>0.56000000000000005</v>
      </c>
      <c r="G145" s="51">
        <v>0.44</v>
      </c>
      <c r="H145" s="51"/>
      <c r="I145" s="57">
        <f t="shared" si="5"/>
        <v>8.3828571428571443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75</v>
      </c>
      <c r="B146" s="60">
        <v>269.97000000000003</v>
      </c>
      <c r="C146" s="50">
        <v>7</v>
      </c>
      <c r="D146" s="60">
        <v>0</v>
      </c>
      <c r="E146" s="51">
        <v>0.2</v>
      </c>
      <c r="F146" s="51">
        <v>0.56000000000000005</v>
      </c>
      <c r="G146" s="51">
        <v>0.35</v>
      </c>
      <c r="H146" s="51"/>
      <c r="I146" s="57">
        <f t="shared" si="5"/>
        <v>6.8575000000000017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82</v>
      </c>
      <c r="B147" s="60">
        <v>318.20999999999998</v>
      </c>
      <c r="C147" s="50">
        <v>8</v>
      </c>
      <c r="D147" s="60">
        <v>92</v>
      </c>
      <c r="E147" s="51">
        <v>0.2</v>
      </c>
      <c r="F147" s="51">
        <v>0.45</v>
      </c>
      <c r="G147" s="51">
        <v>0.35</v>
      </c>
      <c r="H147" s="51"/>
      <c r="I147" s="57">
        <f>IF(A147&lt;&gt;0,(B147-(B146-D146))/(A147-A146),"")</f>
        <v>6.8914285714285644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90</v>
      </c>
      <c r="B148" s="60">
        <v>273.5</v>
      </c>
      <c r="C148" s="50">
        <v>9</v>
      </c>
      <c r="D148" s="60">
        <v>0</v>
      </c>
      <c r="E148" s="51">
        <v>0.4</v>
      </c>
      <c r="F148" s="51">
        <v>0.34</v>
      </c>
      <c r="G148" s="51">
        <v>0.26</v>
      </c>
      <c r="H148" s="51"/>
      <c r="I148" s="57">
        <f t="shared" si="5"/>
        <v>5.9112500000000026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98</v>
      </c>
      <c r="B149" s="60">
        <v>320.17</v>
      </c>
      <c r="C149" s="50">
        <v>10</v>
      </c>
      <c r="D149" s="60">
        <v>64</v>
      </c>
      <c r="E149" s="51">
        <v>0.4</v>
      </c>
      <c r="F149" s="51">
        <v>0.34</v>
      </c>
      <c r="G149" s="51">
        <v>0.26</v>
      </c>
      <c r="H149" s="51"/>
      <c r="I149" s="57">
        <f t="shared" si="5"/>
        <v>5.833750000000002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107</v>
      </c>
      <c r="B150" s="60">
        <v>303.07</v>
      </c>
      <c r="C150" s="50">
        <v>11</v>
      </c>
      <c r="D150" s="60">
        <v>0</v>
      </c>
      <c r="E150" s="51">
        <v>0.4</v>
      </c>
      <c r="F150" s="51">
        <v>0.34</v>
      </c>
      <c r="G150" s="51">
        <v>0.26</v>
      </c>
      <c r="H150" s="51"/>
      <c r="I150" s="57">
        <f t="shared" si="5"/>
        <v>5.2111111111111086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115</v>
      </c>
      <c r="B151" s="60">
        <v>343.47</v>
      </c>
      <c r="C151" s="50">
        <v>12</v>
      </c>
      <c r="D151" s="60">
        <v>65</v>
      </c>
      <c r="E151" s="51">
        <v>0.4</v>
      </c>
      <c r="F151" s="51">
        <v>0.34</v>
      </c>
      <c r="G151" s="51">
        <v>0.26</v>
      </c>
      <c r="H151" s="51"/>
      <c r="I151" s="57">
        <f t="shared" si="5"/>
        <v>5.0500000000000043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>
        <v>126</v>
      </c>
      <c r="B152" s="60">
        <v>326.79000000000002</v>
      </c>
      <c r="C152" s="50">
        <v>13</v>
      </c>
      <c r="D152" s="60">
        <v>0</v>
      </c>
      <c r="E152" s="54">
        <v>0.4</v>
      </c>
      <c r="F152" s="54">
        <v>0.34</v>
      </c>
      <c r="G152" s="54">
        <v>0.26</v>
      </c>
      <c r="H152" s="54"/>
      <c r="I152" s="57">
        <f t="shared" si="5"/>
        <v>4.3927272727272717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>
        <v>135</v>
      </c>
      <c r="B153" s="60">
        <v>365.13</v>
      </c>
      <c r="C153" s="50">
        <v>14</v>
      </c>
      <c r="D153" s="60">
        <v>70.010000000000005</v>
      </c>
      <c r="E153" s="54">
        <v>0.6</v>
      </c>
      <c r="F153" s="54">
        <v>0.22</v>
      </c>
      <c r="G153" s="54">
        <v>0.18</v>
      </c>
      <c r="H153" s="54"/>
      <c r="I153" s="57">
        <f t="shared" si="5"/>
        <v>4.2599999999999971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>
        <v>144</v>
      </c>
      <c r="B154" s="56">
        <v>328.68</v>
      </c>
      <c r="C154" s="50">
        <v>15</v>
      </c>
      <c r="D154" s="50">
        <v>0</v>
      </c>
      <c r="E154" s="54">
        <v>0.6</v>
      </c>
      <c r="F154" s="54">
        <v>0.22</v>
      </c>
      <c r="G154" s="54">
        <v>0.18</v>
      </c>
      <c r="H154" s="54"/>
      <c r="I154" s="57">
        <f t="shared" si="5"/>
        <v>3.7288888888888891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>
        <v>150</v>
      </c>
      <c r="B155" s="56">
        <v>350.48</v>
      </c>
      <c r="C155" s="50">
        <v>16</v>
      </c>
      <c r="D155" s="50">
        <v>173.86</v>
      </c>
      <c r="E155" s="54">
        <v>0.6</v>
      </c>
      <c r="F155" s="54">
        <v>0.22</v>
      </c>
      <c r="G155" s="54">
        <v>0.18</v>
      </c>
      <c r="H155" s="54"/>
      <c r="I155" s="57">
        <f t="shared" si="5"/>
        <v>3.6333333333333351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>
        <v>156</v>
      </c>
      <c r="B156" s="56">
        <v>193.85</v>
      </c>
      <c r="C156" s="50">
        <v>17</v>
      </c>
      <c r="D156" s="50">
        <v>0</v>
      </c>
      <c r="E156" s="54">
        <v>0.6</v>
      </c>
      <c r="F156" s="54">
        <v>0.22</v>
      </c>
      <c r="G156" s="54">
        <v>0.18</v>
      </c>
      <c r="H156" s="54"/>
      <c r="I156" s="57">
        <f t="shared" si="5"/>
        <v>2.8716666666666648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>
        <v>165</v>
      </c>
      <c r="B157" s="50">
        <v>214.65</v>
      </c>
      <c r="C157" s="50">
        <v>18</v>
      </c>
      <c r="D157" s="50">
        <v>214.65</v>
      </c>
      <c r="E157" s="54">
        <v>0.6</v>
      </c>
      <c r="F157" s="54">
        <v>0.22</v>
      </c>
      <c r="G157" s="54">
        <v>0.18</v>
      </c>
      <c r="H157" s="54"/>
      <c r="I157" s="57">
        <f t="shared" si="5"/>
        <v>2.3111111111111122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Peuplier non cultivé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10</v>
      </c>
      <c r="B166" s="60">
        <v>14</v>
      </c>
      <c r="C166" s="60">
        <v>1</v>
      </c>
      <c r="D166" s="60">
        <v>0</v>
      </c>
      <c r="E166" s="51">
        <v>0</v>
      </c>
      <c r="F166" s="51"/>
      <c r="G166" s="51"/>
      <c r="H166" s="51">
        <v>1</v>
      </c>
      <c r="I166" s="49">
        <f>IFERROR(B166/A166,"")</f>
        <v>1.4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15</v>
      </c>
      <c r="B167" s="60">
        <v>42</v>
      </c>
      <c r="C167" s="60">
        <v>2</v>
      </c>
      <c r="D167" s="60">
        <v>0</v>
      </c>
      <c r="E167" s="51">
        <v>0</v>
      </c>
      <c r="F167" s="51"/>
      <c r="G167" s="51"/>
      <c r="H167" s="51">
        <v>1</v>
      </c>
      <c r="I167" s="49">
        <f t="shared" ref="I167:I185" si="6">IF(A167&lt;&gt;0,(B167-(B166-D166))/(A167-A166),"")</f>
        <v>5.6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20</v>
      </c>
      <c r="B168" s="60">
        <v>81</v>
      </c>
      <c r="C168" s="60">
        <v>3</v>
      </c>
      <c r="D168" s="60">
        <v>0</v>
      </c>
      <c r="E168" s="51">
        <v>0</v>
      </c>
      <c r="F168" s="51"/>
      <c r="G168" s="51"/>
      <c r="H168" s="51">
        <v>1</v>
      </c>
      <c r="I168" s="49">
        <f t="shared" si="6"/>
        <v>7.8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25</v>
      </c>
      <c r="B169" s="60">
        <v>125</v>
      </c>
      <c r="C169" s="60">
        <v>4</v>
      </c>
      <c r="D169" s="60">
        <v>0</v>
      </c>
      <c r="E169" s="51">
        <v>0</v>
      </c>
      <c r="F169" s="51"/>
      <c r="G169" s="51"/>
      <c r="H169" s="51">
        <v>1</v>
      </c>
      <c r="I169" s="49">
        <f t="shared" si="6"/>
        <v>8.8000000000000007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30</v>
      </c>
      <c r="B170" s="60">
        <v>169</v>
      </c>
      <c r="C170" s="60">
        <v>5</v>
      </c>
      <c r="D170" s="60">
        <v>0</v>
      </c>
      <c r="E170" s="51">
        <v>0.2</v>
      </c>
      <c r="F170" s="51"/>
      <c r="G170" s="51"/>
      <c r="H170" s="51">
        <v>0.8</v>
      </c>
      <c r="I170" s="49">
        <f t="shared" si="6"/>
        <v>8.8000000000000007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35</v>
      </c>
      <c r="B171" s="60">
        <v>208</v>
      </c>
      <c r="C171" s="60">
        <v>6</v>
      </c>
      <c r="D171" s="60">
        <v>0</v>
      </c>
      <c r="E171" s="51">
        <v>0.2</v>
      </c>
      <c r="F171" s="51"/>
      <c r="G171" s="51"/>
      <c r="H171" s="51">
        <v>0.8</v>
      </c>
      <c r="I171" s="49">
        <f t="shared" si="6"/>
        <v>7.8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40</v>
      </c>
      <c r="B172" s="60">
        <v>240</v>
      </c>
      <c r="C172" s="60">
        <v>7</v>
      </c>
      <c r="D172" s="60">
        <v>0</v>
      </c>
      <c r="E172" s="51">
        <v>0.3</v>
      </c>
      <c r="F172" s="51"/>
      <c r="G172" s="51"/>
      <c r="H172" s="51">
        <v>0.7</v>
      </c>
      <c r="I172" s="49">
        <f t="shared" si="6"/>
        <v>6.4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45</v>
      </c>
      <c r="B173" s="50">
        <v>266</v>
      </c>
      <c r="C173" s="50">
        <v>8</v>
      </c>
      <c r="D173" s="50">
        <v>0</v>
      </c>
      <c r="E173" s="51">
        <v>0.3</v>
      </c>
      <c r="F173" s="51"/>
      <c r="G173" s="51"/>
      <c r="H173" s="51">
        <v>0.7</v>
      </c>
      <c r="I173" s="49">
        <f t="shared" si="6"/>
        <v>5.2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50</v>
      </c>
      <c r="B174" s="50">
        <v>285</v>
      </c>
      <c r="C174" s="50">
        <v>9</v>
      </c>
      <c r="D174" s="50">
        <v>0</v>
      </c>
      <c r="E174" s="51">
        <v>0.4</v>
      </c>
      <c r="F174" s="51"/>
      <c r="G174" s="51"/>
      <c r="H174" s="51">
        <v>0.6</v>
      </c>
      <c r="I174" s="49">
        <f t="shared" si="6"/>
        <v>3.8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55</v>
      </c>
      <c r="B175" s="50">
        <v>300</v>
      </c>
      <c r="C175" s="50">
        <v>10</v>
      </c>
      <c r="D175" s="50">
        <v>0</v>
      </c>
      <c r="E175" s="51">
        <v>0.4</v>
      </c>
      <c r="F175" s="51"/>
      <c r="G175" s="51"/>
      <c r="H175" s="51">
        <v>0.6</v>
      </c>
      <c r="I175" s="49">
        <f t="shared" si="6"/>
        <v>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60</v>
      </c>
      <c r="B176" s="50">
        <v>311</v>
      </c>
      <c r="C176" s="50">
        <v>11</v>
      </c>
      <c r="D176" s="50">
        <v>311</v>
      </c>
      <c r="E176" s="51">
        <v>0.5</v>
      </c>
      <c r="F176" s="51"/>
      <c r="G176" s="51"/>
      <c r="H176" s="51">
        <v>0.5</v>
      </c>
      <c r="I176" s="49">
        <f t="shared" si="6"/>
        <v>2.2000000000000002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Tilleul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v>42</v>
      </c>
      <c r="C192" s="60">
        <v>1</v>
      </c>
      <c r="D192" s="60">
        <v>0</v>
      </c>
      <c r="E192" s="51">
        <v>0</v>
      </c>
      <c r="F192" s="51"/>
      <c r="G192" s="51"/>
      <c r="H192" s="51">
        <v>1</v>
      </c>
      <c r="I192" s="49">
        <f>IFERROR(B192/A192,"")</f>
        <v>2.1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25</v>
      </c>
      <c r="B193" s="60">
        <v>70</v>
      </c>
      <c r="C193" s="60">
        <v>2</v>
      </c>
      <c r="D193" s="60">
        <v>0</v>
      </c>
      <c r="E193" s="51">
        <v>0</v>
      </c>
      <c r="F193" s="51"/>
      <c r="G193" s="51"/>
      <c r="H193" s="51">
        <v>1</v>
      </c>
      <c r="I193" s="49">
        <f t="shared" ref="I193:I211" si="7">IF(A193&lt;&gt;0,(B193-(B192-D192))/(A193-A192),"")</f>
        <v>5.6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30</v>
      </c>
      <c r="B194" s="60">
        <v>97</v>
      </c>
      <c r="C194" s="60">
        <v>3</v>
      </c>
      <c r="D194" s="60">
        <v>21</v>
      </c>
      <c r="E194" s="51">
        <v>0</v>
      </c>
      <c r="F194" s="51"/>
      <c r="G194" s="51"/>
      <c r="H194" s="51">
        <v>1</v>
      </c>
      <c r="I194" s="49">
        <f t="shared" si="7"/>
        <v>5.4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35</v>
      </c>
      <c r="B195" s="60">
        <v>116</v>
      </c>
      <c r="C195" s="60">
        <v>4</v>
      </c>
      <c r="D195" s="60">
        <v>21</v>
      </c>
      <c r="E195" s="51">
        <v>0</v>
      </c>
      <c r="F195" s="51"/>
      <c r="G195" s="51"/>
      <c r="H195" s="51">
        <v>1</v>
      </c>
      <c r="I195" s="49">
        <f t="shared" si="7"/>
        <v>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40</v>
      </c>
      <c r="B196" s="60">
        <v>137</v>
      </c>
      <c r="C196" s="60">
        <v>5</v>
      </c>
      <c r="D196" s="60">
        <v>21</v>
      </c>
      <c r="E196" s="51">
        <v>0.2</v>
      </c>
      <c r="F196" s="51"/>
      <c r="G196" s="51"/>
      <c r="H196" s="51">
        <v>0.8</v>
      </c>
      <c r="I196" s="49">
        <f t="shared" si="7"/>
        <v>8.4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45</v>
      </c>
      <c r="B197" s="60">
        <v>158</v>
      </c>
      <c r="C197" s="60">
        <v>6</v>
      </c>
      <c r="D197" s="60">
        <v>21</v>
      </c>
      <c r="E197" s="51">
        <v>0.2</v>
      </c>
      <c r="F197" s="51"/>
      <c r="G197" s="51"/>
      <c r="H197" s="51">
        <v>0.8</v>
      </c>
      <c r="I197" s="49">
        <f t="shared" si="7"/>
        <v>8.4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50</v>
      </c>
      <c r="B198" s="60">
        <v>178</v>
      </c>
      <c r="C198" s="60">
        <v>7</v>
      </c>
      <c r="D198" s="60">
        <v>21</v>
      </c>
      <c r="E198" s="51">
        <v>0.3</v>
      </c>
      <c r="F198" s="51"/>
      <c r="G198" s="51"/>
      <c r="H198" s="51">
        <v>0.7</v>
      </c>
      <c r="I198" s="49">
        <f t="shared" si="7"/>
        <v>8.1999999999999993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55</v>
      </c>
      <c r="B199" s="50">
        <v>197</v>
      </c>
      <c r="C199" s="50">
        <v>8</v>
      </c>
      <c r="D199" s="50">
        <v>21</v>
      </c>
      <c r="E199" s="51">
        <v>0.3</v>
      </c>
      <c r="F199" s="51"/>
      <c r="G199" s="51"/>
      <c r="H199" s="51">
        <v>0.7</v>
      </c>
      <c r="I199" s="49">
        <f t="shared" si="7"/>
        <v>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60</v>
      </c>
      <c r="B200" s="50">
        <v>214</v>
      </c>
      <c r="C200" s="50">
        <v>9</v>
      </c>
      <c r="D200" s="50">
        <v>21</v>
      </c>
      <c r="E200" s="51">
        <v>0.4</v>
      </c>
      <c r="F200" s="51"/>
      <c r="G200" s="51"/>
      <c r="H200" s="51">
        <v>0.6</v>
      </c>
      <c r="I200" s="49">
        <f t="shared" si="7"/>
        <v>7.6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65</v>
      </c>
      <c r="B201" s="50">
        <v>229</v>
      </c>
      <c r="C201" s="50">
        <v>10</v>
      </c>
      <c r="D201" s="50">
        <v>21</v>
      </c>
      <c r="E201" s="51">
        <v>0.4</v>
      </c>
      <c r="F201" s="51"/>
      <c r="G201" s="51"/>
      <c r="H201" s="51">
        <v>0.6</v>
      </c>
      <c r="I201" s="49">
        <f t="shared" si="7"/>
        <v>7.2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70</v>
      </c>
      <c r="B202" s="50">
        <v>242</v>
      </c>
      <c r="C202" s="50">
        <v>11</v>
      </c>
      <c r="D202" s="50">
        <v>21</v>
      </c>
      <c r="E202" s="51">
        <v>0.5</v>
      </c>
      <c r="F202" s="51"/>
      <c r="G202" s="51"/>
      <c r="H202" s="51">
        <v>0.5</v>
      </c>
      <c r="I202" s="49">
        <f t="shared" si="7"/>
        <v>6.8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75</v>
      </c>
      <c r="B203" s="50">
        <v>252</v>
      </c>
      <c r="C203" s="50">
        <v>12</v>
      </c>
      <c r="D203" s="50">
        <v>21</v>
      </c>
      <c r="E203" s="51">
        <v>0.5</v>
      </c>
      <c r="F203" s="51"/>
      <c r="G203" s="51"/>
      <c r="H203" s="51">
        <v>0.5</v>
      </c>
      <c r="I203" s="49">
        <f t="shared" si="7"/>
        <v>6.2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>
        <v>80</v>
      </c>
      <c r="B204" s="50">
        <v>261</v>
      </c>
      <c r="C204" s="50">
        <v>13</v>
      </c>
      <c r="D204" s="50">
        <v>21</v>
      </c>
      <c r="E204" s="51">
        <v>0.6</v>
      </c>
      <c r="F204" s="51"/>
      <c r="G204" s="51"/>
      <c r="H204" s="51">
        <v>0.4</v>
      </c>
      <c r="I204" s="49">
        <f t="shared" si="7"/>
        <v>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>
        <v>85</v>
      </c>
      <c r="B205" s="50">
        <v>269</v>
      </c>
      <c r="C205" s="50">
        <v>14</v>
      </c>
      <c r="D205" s="50">
        <v>21</v>
      </c>
      <c r="E205" s="51">
        <v>0.6</v>
      </c>
      <c r="F205" s="51"/>
      <c r="G205" s="51"/>
      <c r="H205" s="51">
        <v>0.4</v>
      </c>
      <c r="I205" s="49">
        <f t="shared" si="7"/>
        <v>5.8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>
        <v>90</v>
      </c>
      <c r="B206" s="50">
        <v>275</v>
      </c>
      <c r="C206" s="50">
        <v>15</v>
      </c>
      <c r="D206" s="50">
        <v>21</v>
      </c>
      <c r="E206" s="51">
        <v>0.7</v>
      </c>
      <c r="F206" s="51"/>
      <c r="G206" s="51"/>
      <c r="H206" s="51">
        <v>0.3</v>
      </c>
      <c r="I206" s="49">
        <f t="shared" si="7"/>
        <v>5.4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>
        <v>100</v>
      </c>
      <c r="B207" s="50">
        <v>282</v>
      </c>
      <c r="C207" s="50">
        <v>16</v>
      </c>
      <c r="D207" s="50">
        <v>21</v>
      </c>
      <c r="E207" s="51">
        <v>0.7</v>
      </c>
      <c r="F207" s="51"/>
      <c r="G207" s="51"/>
      <c r="H207" s="51">
        <v>0.3</v>
      </c>
      <c r="I207" s="49">
        <f t="shared" si="7"/>
        <v>2.8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>
        <v>110</v>
      </c>
      <c r="B208" s="50">
        <v>285</v>
      </c>
      <c r="C208" s="50">
        <v>17</v>
      </c>
      <c r="D208" s="50">
        <v>19</v>
      </c>
      <c r="E208" s="51">
        <v>0.8</v>
      </c>
      <c r="F208" s="51"/>
      <c r="G208" s="51"/>
      <c r="H208" s="51">
        <v>0.2</v>
      </c>
      <c r="I208" s="49">
        <f t="shared" si="7"/>
        <v>2.4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>
        <v>120</v>
      </c>
      <c r="B209" s="50">
        <v>285</v>
      </c>
      <c r="C209" s="50">
        <v>18</v>
      </c>
      <c r="D209" s="50">
        <v>285</v>
      </c>
      <c r="E209" s="51">
        <v>0.8</v>
      </c>
      <c r="F209" s="51"/>
      <c r="G209" s="51"/>
      <c r="H209" s="51">
        <v>0.2</v>
      </c>
      <c r="I209" s="49">
        <f t="shared" si="7"/>
        <v>1.9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Erable champêtre</v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15</v>
      </c>
      <c r="B218" s="60">
        <v>9</v>
      </c>
      <c r="C218" s="50">
        <v>1</v>
      </c>
      <c r="D218" s="60">
        <v>0</v>
      </c>
      <c r="E218" s="63">
        <v>0</v>
      </c>
      <c r="F218" s="63"/>
      <c r="G218" s="63"/>
      <c r="H218" s="63">
        <v>1</v>
      </c>
      <c r="I218" s="53">
        <f>IFERROR(B218/A218,"")</f>
        <v>0.6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20</v>
      </c>
      <c r="B219" s="60">
        <v>57</v>
      </c>
      <c r="C219" s="50">
        <v>2</v>
      </c>
      <c r="D219" s="60">
        <v>21</v>
      </c>
      <c r="E219" s="63">
        <v>0</v>
      </c>
      <c r="F219" s="63"/>
      <c r="G219" s="63"/>
      <c r="H219" s="63">
        <v>1</v>
      </c>
      <c r="I219" s="53">
        <f t="shared" ref="I219:I237" si="8">IF(A219&lt;&gt;0,(B219-(B218-D218))/(A219-A218),"")</f>
        <v>9.6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25</v>
      </c>
      <c r="B220" s="60">
        <v>86</v>
      </c>
      <c r="C220" s="50">
        <v>3</v>
      </c>
      <c r="D220" s="60">
        <v>21</v>
      </c>
      <c r="E220" s="63">
        <v>0</v>
      </c>
      <c r="F220" s="63"/>
      <c r="G220" s="63"/>
      <c r="H220" s="63">
        <v>1</v>
      </c>
      <c r="I220" s="53">
        <f t="shared" si="8"/>
        <v>10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30</v>
      </c>
      <c r="B221" s="55">
        <v>114</v>
      </c>
      <c r="C221" s="55">
        <v>4</v>
      </c>
      <c r="D221" s="55">
        <v>21</v>
      </c>
      <c r="E221" s="63">
        <v>0</v>
      </c>
      <c r="F221" s="63"/>
      <c r="G221" s="63"/>
      <c r="H221" s="63">
        <v>1</v>
      </c>
      <c r="I221" s="53">
        <f t="shared" si="8"/>
        <v>9.8000000000000007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35</v>
      </c>
      <c r="B222" s="55">
        <v>136</v>
      </c>
      <c r="C222" s="55">
        <v>5</v>
      </c>
      <c r="D222" s="55">
        <v>21</v>
      </c>
      <c r="E222" s="63">
        <v>0.2</v>
      </c>
      <c r="F222" s="63"/>
      <c r="G222" s="63"/>
      <c r="H222" s="63">
        <v>0.8</v>
      </c>
      <c r="I222" s="53">
        <f t="shared" si="8"/>
        <v>8.6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40</v>
      </c>
      <c r="B223" s="55">
        <v>153</v>
      </c>
      <c r="C223" s="55">
        <v>6</v>
      </c>
      <c r="D223" s="55">
        <v>21</v>
      </c>
      <c r="E223" s="63">
        <v>0.2</v>
      </c>
      <c r="F223" s="63"/>
      <c r="G223" s="63"/>
      <c r="H223" s="63">
        <v>0.8</v>
      </c>
      <c r="I223" s="53">
        <f t="shared" si="8"/>
        <v>7.6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45</v>
      </c>
      <c r="B224" s="55">
        <v>164</v>
      </c>
      <c r="C224" s="55">
        <v>7</v>
      </c>
      <c r="D224" s="55">
        <v>18</v>
      </c>
      <c r="E224" s="63">
        <v>0.3</v>
      </c>
      <c r="F224" s="63"/>
      <c r="G224" s="63"/>
      <c r="H224" s="63">
        <v>0.7</v>
      </c>
      <c r="I224" s="53">
        <f t="shared" si="8"/>
        <v>6.4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50</v>
      </c>
      <c r="B225" s="55">
        <v>174</v>
      </c>
      <c r="C225" s="55">
        <v>8</v>
      </c>
      <c r="D225" s="55">
        <v>13</v>
      </c>
      <c r="E225" s="63">
        <v>0.3</v>
      </c>
      <c r="F225" s="63"/>
      <c r="G225" s="63"/>
      <c r="H225" s="63">
        <v>0.7</v>
      </c>
      <c r="I225" s="53">
        <f t="shared" si="8"/>
        <v>5.6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55</v>
      </c>
      <c r="B226" s="55">
        <v>185</v>
      </c>
      <c r="C226" s="55">
        <v>9</v>
      </c>
      <c r="D226" s="55">
        <v>11</v>
      </c>
      <c r="E226" s="63">
        <v>0.4</v>
      </c>
      <c r="F226" s="63"/>
      <c r="G226" s="63"/>
      <c r="H226" s="63">
        <v>0.6</v>
      </c>
      <c r="I226" s="53">
        <f t="shared" si="8"/>
        <v>4.8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60</v>
      </c>
      <c r="B227" s="55">
        <v>194</v>
      </c>
      <c r="C227" s="55">
        <v>10</v>
      </c>
      <c r="D227" s="55">
        <v>9</v>
      </c>
      <c r="E227" s="63">
        <v>0.4</v>
      </c>
      <c r="F227" s="63"/>
      <c r="G227" s="63"/>
      <c r="H227" s="63">
        <v>0.6</v>
      </c>
      <c r="I227" s="53">
        <f t="shared" si="8"/>
        <v>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65</v>
      </c>
      <c r="B228" s="55">
        <v>202</v>
      </c>
      <c r="C228" s="55">
        <v>11</v>
      </c>
      <c r="D228" s="55">
        <v>8</v>
      </c>
      <c r="E228" s="63">
        <v>0.5</v>
      </c>
      <c r="F228" s="63"/>
      <c r="G228" s="63"/>
      <c r="H228" s="63">
        <v>0.5</v>
      </c>
      <c r="I228" s="53">
        <f t="shared" si="8"/>
        <v>3.4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70</v>
      </c>
      <c r="B229" s="55">
        <v>209</v>
      </c>
      <c r="C229" s="55">
        <v>12</v>
      </c>
      <c r="D229" s="55">
        <v>8</v>
      </c>
      <c r="E229" s="63">
        <v>0.5</v>
      </c>
      <c r="F229" s="63"/>
      <c r="G229" s="63"/>
      <c r="H229" s="63">
        <v>0.5</v>
      </c>
      <c r="I229" s="53">
        <f t="shared" si="8"/>
        <v>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75</v>
      </c>
      <c r="B230" s="55">
        <v>214</v>
      </c>
      <c r="C230" s="55">
        <v>13</v>
      </c>
      <c r="D230" s="55">
        <v>7</v>
      </c>
      <c r="E230" s="64">
        <v>0.6</v>
      </c>
      <c r="F230" s="64"/>
      <c r="G230" s="64"/>
      <c r="H230" s="64">
        <v>0.4</v>
      </c>
      <c r="I230" s="53">
        <f t="shared" si="8"/>
        <v>2.6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>
        <v>80</v>
      </c>
      <c r="B231" s="60">
        <v>219</v>
      </c>
      <c r="C231" s="88">
        <v>14</v>
      </c>
      <c r="D231" s="60">
        <v>219</v>
      </c>
      <c r="E231" s="54">
        <v>0.6</v>
      </c>
      <c r="F231" s="54"/>
      <c r="G231" s="54"/>
      <c r="H231" s="54">
        <v>0.4</v>
      </c>
      <c r="I231" s="53">
        <f t="shared" si="8"/>
        <v>2.4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Erable plane</v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15</v>
      </c>
      <c r="B244" s="60">
        <v>37</v>
      </c>
      <c r="C244" s="60">
        <v>1</v>
      </c>
      <c r="D244" s="60">
        <v>15</v>
      </c>
      <c r="E244" s="51">
        <v>0</v>
      </c>
      <c r="F244" s="51"/>
      <c r="G244" s="51"/>
      <c r="H244" s="63">
        <v>1</v>
      </c>
      <c r="I244" s="53">
        <f>IFERROR(B244/A244,"")</f>
        <v>2.4666666666666668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20</v>
      </c>
      <c r="B245" s="60">
        <v>80</v>
      </c>
      <c r="C245" s="60">
        <v>2</v>
      </c>
      <c r="D245" s="60">
        <v>28</v>
      </c>
      <c r="E245" s="63">
        <v>0</v>
      </c>
      <c r="F245" s="63"/>
      <c r="G245" s="63"/>
      <c r="H245" s="63">
        <v>1</v>
      </c>
      <c r="I245" s="53">
        <f>IF(A245&lt;&gt;0,(B245-(B244-D244))/(A245-A244),"")</f>
        <v>11.6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25</v>
      </c>
      <c r="B246" s="60">
        <v>115</v>
      </c>
      <c r="C246" s="60">
        <v>3</v>
      </c>
      <c r="D246" s="60">
        <v>28</v>
      </c>
      <c r="E246" s="63">
        <v>0</v>
      </c>
      <c r="F246" s="63"/>
      <c r="G246" s="63"/>
      <c r="H246" s="63">
        <v>1</v>
      </c>
      <c r="I246" s="53">
        <f>IF(A246&lt;&gt;0,(B246-(B245-D245))/(A246-A245),"")</f>
        <v>12.6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30</v>
      </c>
      <c r="B247" s="60">
        <v>146</v>
      </c>
      <c r="C247" s="60">
        <v>4</v>
      </c>
      <c r="D247" s="60">
        <v>28</v>
      </c>
      <c r="E247" s="63">
        <v>0</v>
      </c>
      <c r="F247" s="63"/>
      <c r="G247" s="63"/>
      <c r="H247" s="63">
        <v>1</v>
      </c>
      <c r="I247" s="53">
        <f t="shared" ref="I247:I263" si="9">IF(A247&lt;&gt;0,(B247-(B246-D246))/(A247-A246),"")</f>
        <v>11.8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35</v>
      </c>
      <c r="B248" s="60">
        <v>172</v>
      </c>
      <c r="C248" s="60">
        <v>5</v>
      </c>
      <c r="D248" s="60">
        <v>28</v>
      </c>
      <c r="E248" s="63">
        <v>0.2</v>
      </c>
      <c r="F248" s="63"/>
      <c r="G248" s="63"/>
      <c r="H248" s="63">
        <v>0.8</v>
      </c>
      <c r="I248" s="53">
        <f t="shared" si="9"/>
        <v>10.8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40</v>
      </c>
      <c r="B249" s="60">
        <v>192</v>
      </c>
      <c r="C249" s="60">
        <v>6</v>
      </c>
      <c r="D249" s="60">
        <v>28</v>
      </c>
      <c r="E249" s="63">
        <v>0.2</v>
      </c>
      <c r="F249" s="63"/>
      <c r="G249" s="63"/>
      <c r="H249" s="63">
        <v>0.8</v>
      </c>
      <c r="I249" s="53">
        <f t="shared" si="9"/>
        <v>9.6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45</v>
      </c>
      <c r="B250" s="60">
        <v>205</v>
      </c>
      <c r="C250" s="60">
        <v>7</v>
      </c>
      <c r="D250" s="60">
        <v>22</v>
      </c>
      <c r="E250" s="63">
        <v>0.3</v>
      </c>
      <c r="F250" s="63"/>
      <c r="G250" s="63"/>
      <c r="H250" s="63">
        <v>0.7</v>
      </c>
      <c r="I250" s="53">
        <f t="shared" si="9"/>
        <v>8.1999999999999993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50</v>
      </c>
      <c r="B251" s="55">
        <v>219</v>
      </c>
      <c r="C251" s="55">
        <v>8</v>
      </c>
      <c r="D251" s="55">
        <v>17</v>
      </c>
      <c r="E251" s="63">
        <v>0.3</v>
      </c>
      <c r="F251" s="63"/>
      <c r="G251" s="63"/>
      <c r="H251" s="63">
        <v>0.7</v>
      </c>
      <c r="I251" s="53">
        <f t="shared" si="9"/>
        <v>7.2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55</v>
      </c>
      <c r="B252" s="55">
        <v>232</v>
      </c>
      <c r="C252" s="55">
        <v>9</v>
      </c>
      <c r="D252" s="55">
        <v>13</v>
      </c>
      <c r="E252" s="63">
        <v>0.4</v>
      </c>
      <c r="F252" s="63"/>
      <c r="G252" s="63"/>
      <c r="H252" s="63">
        <v>0.6</v>
      </c>
      <c r="I252" s="53">
        <f t="shared" si="9"/>
        <v>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>
        <v>60</v>
      </c>
      <c r="B253" s="55">
        <v>245</v>
      </c>
      <c r="C253" s="55">
        <v>10</v>
      </c>
      <c r="D253" s="55">
        <v>12</v>
      </c>
      <c r="E253" s="63">
        <v>0.4</v>
      </c>
      <c r="F253" s="63"/>
      <c r="G253" s="63"/>
      <c r="H253" s="63">
        <v>0.6</v>
      </c>
      <c r="I253" s="53">
        <f t="shared" si="9"/>
        <v>5.2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>
        <v>65</v>
      </c>
      <c r="B254" s="55">
        <v>255</v>
      </c>
      <c r="C254" s="55">
        <v>11</v>
      </c>
      <c r="D254" s="55">
        <v>11</v>
      </c>
      <c r="E254" s="63">
        <v>0.5</v>
      </c>
      <c r="F254" s="63"/>
      <c r="G254" s="63"/>
      <c r="H254" s="63">
        <v>0.5</v>
      </c>
      <c r="I254" s="53">
        <f t="shared" si="9"/>
        <v>4.4000000000000004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>
        <v>70</v>
      </c>
      <c r="B255" s="55">
        <v>263</v>
      </c>
      <c r="C255" s="55">
        <v>12</v>
      </c>
      <c r="D255" s="55">
        <v>10</v>
      </c>
      <c r="E255" s="63">
        <v>0.5</v>
      </c>
      <c r="F255" s="63"/>
      <c r="G255" s="63"/>
      <c r="H255" s="63">
        <v>0.5</v>
      </c>
      <c r="I255" s="53">
        <f t="shared" si="9"/>
        <v>3.8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>
        <v>75</v>
      </c>
      <c r="B256" s="55">
        <v>270</v>
      </c>
      <c r="C256" s="55">
        <v>13</v>
      </c>
      <c r="D256" s="55">
        <v>9</v>
      </c>
      <c r="E256" s="64">
        <v>0.6</v>
      </c>
      <c r="F256" s="64"/>
      <c r="G256" s="64"/>
      <c r="H256" s="64">
        <v>0.4</v>
      </c>
      <c r="I256" s="53">
        <f t="shared" si="9"/>
        <v>3.4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>
        <v>80</v>
      </c>
      <c r="B257" s="60">
        <v>275</v>
      </c>
      <c r="C257" s="88">
        <v>14</v>
      </c>
      <c r="D257" s="60">
        <v>275</v>
      </c>
      <c r="E257" s="54">
        <v>0.6</v>
      </c>
      <c r="F257" s="54"/>
      <c r="G257" s="54"/>
      <c r="H257" s="54">
        <v>0.4</v>
      </c>
      <c r="I257" s="53">
        <f t="shared" si="9"/>
        <v>2.8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>Erable champêtre</v>
      </c>
      <c r="C266" s="23" t="s">
        <v>325</v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>
        <v>15</v>
      </c>
      <c r="B270" s="60">
        <v>9</v>
      </c>
      <c r="C270" s="50">
        <v>1</v>
      </c>
      <c r="D270" s="60">
        <v>0</v>
      </c>
      <c r="E270" s="51">
        <v>0</v>
      </c>
      <c r="F270" s="51"/>
      <c r="G270" s="51"/>
      <c r="H270" s="51">
        <v>1</v>
      </c>
      <c r="I270" s="53">
        <f>IFERROR(B270/A270,"")</f>
        <v>0.6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>
        <v>20</v>
      </c>
      <c r="B271" s="60">
        <v>57</v>
      </c>
      <c r="C271" s="50">
        <v>2</v>
      </c>
      <c r="D271" s="60">
        <v>21</v>
      </c>
      <c r="E271" s="51">
        <v>0</v>
      </c>
      <c r="F271" s="51"/>
      <c r="G271" s="51"/>
      <c r="H271" s="51">
        <v>1</v>
      </c>
      <c r="I271" s="53">
        <f>IF(A271&lt;&gt;0,(B271-(B270-D270))/(A271-A270),"")</f>
        <v>9.6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>
        <v>25</v>
      </c>
      <c r="B272" s="60">
        <v>86</v>
      </c>
      <c r="C272" s="50">
        <v>3</v>
      </c>
      <c r="D272" s="60">
        <v>21</v>
      </c>
      <c r="E272" s="51">
        <v>0</v>
      </c>
      <c r="F272" s="51"/>
      <c r="G272" s="51"/>
      <c r="H272" s="51">
        <v>1</v>
      </c>
      <c r="I272" s="53">
        <f t="shared" ref="I272:I289" si="10">IF(A272&lt;&gt;0,(B272-(B271-D271))/(A272-A271),"")</f>
        <v>10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>
        <v>30</v>
      </c>
      <c r="B273" s="60">
        <v>114</v>
      </c>
      <c r="C273" s="50">
        <v>4</v>
      </c>
      <c r="D273" s="60">
        <v>21</v>
      </c>
      <c r="E273" s="51">
        <v>0</v>
      </c>
      <c r="F273" s="51"/>
      <c r="G273" s="51"/>
      <c r="H273" s="51">
        <v>1</v>
      </c>
      <c r="I273" s="53">
        <f t="shared" si="10"/>
        <v>9.8000000000000007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>
        <v>35</v>
      </c>
      <c r="B274" s="60">
        <v>136</v>
      </c>
      <c r="C274" s="50">
        <v>5</v>
      </c>
      <c r="D274" s="60">
        <v>21</v>
      </c>
      <c r="E274" s="51">
        <v>0.2</v>
      </c>
      <c r="F274" s="51"/>
      <c r="G274" s="51"/>
      <c r="H274" s="51">
        <v>0.8</v>
      </c>
      <c r="I274" s="53">
        <f t="shared" si="10"/>
        <v>8.6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>
        <v>40</v>
      </c>
      <c r="B275" s="60">
        <v>153</v>
      </c>
      <c r="C275" s="50">
        <v>6</v>
      </c>
      <c r="D275" s="60">
        <v>21</v>
      </c>
      <c r="E275" s="63">
        <v>0.2</v>
      </c>
      <c r="F275" s="63"/>
      <c r="G275" s="63"/>
      <c r="H275" s="63">
        <v>0.8</v>
      </c>
      <c r="I275" s="53">
        <f t="shared" si="10"/>
        <v>7.6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>
        <v>45</v>
      </c>
      <c r="B276" s="60">
        <v>164</v>
      </c>
      <c r="C276" s="50">
        <v>7</v>
      </c>
      <c r="D276" s="60">
        <v>18</v>
      </c>
      <c r="E276" s="63">
        <v>0.3</v>
      </c>
      <c r="F276" s="63"/>
      <c r="G276" s="63"/>
      <c r="H276" s="63">
        <v>0.7</v>
      </c>
      <c r="I276" s="53">
        <f t="shared" si="10"/>
        <v>6.4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>
        <v>50</v>
      </c>
      <c r="B277" s="55">
        <v>174</v>
      </c>
      <c r="C277" s="55">
        <v>8</v>
      </c>
      <c r="D277" s="55">
        <v>13</v>
      </c>
      <c r="E277" s="63">
        <v>0.3</v>
      </c>
      <c r="F277" s="63"/>
      <c r="G277" s="63"/>
      <c r="H277" s="63">
        <v>0.7</v>
      </c>
      <c r="I277" s="53">
        <f t="shared" si="10"/>
        <v>5.6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>
        <v>55</v>
      </c>
      <c r="B278" s="55">
        <v>185</v>
      </c>
      <c r="C278" s="55">
        <v>9</v>
      </c>
      <c r="D278" s="55">
        <v>11</v>
      </c>
      <c r="E278" s="63">
        <v>0.4</v>
      </c>
      <c r="F278" s="63"/>
      <c r="G278" s="63"/>
      <c r="H278" s="63">
        <v>0.6</v>
      </c>
      <c r="I278" s="53">
        <f t="shared" si="10"/>
        <v>4.8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>
        <v>60</v>
      </c>
      <c r="B279" s="55">
        <v>194</v>
      </c>
      <c r="C279" s="55">
        <v>10</v>
      </c>
      <c r="D279" s="55">
        <v>9</v>
      </c>
      <c r="E279" s="63">
        <v>0.4</v>
      </c>
      <c r="F279" s="63"/>
      <c r="G279" s="63"/>
      <c r="H279" s="63">
        <v>0.6</v>
      </c>
      <c r="I279" s="53">
        <f t="shared" si="10"/>
        <v>4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>
        <v>65</v>
      </c>
      <c r="B280" s="55">
        <v>202</v>
      </c>
      <c r="C280" s="55">
        <v>11</v>
      </c>
      <c r="D280" s="55">
        <v>8</v>
      </c>
      <c r="E280" s="63">
        <v>0.5</v>
      </c>
      <c r="F280" s="63"/>
      <c r="G280" s="63"/>
      <c r="H280" s="63">
        <v>0.5</v>
      </c>
      <c r="I280" s="53">
        <f t="shared" si="10"/>
        <v>3.4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>
        <v>70</v>
      </c>
      <c r="B281" s="55">
        <v>209</v>
      </c>
      <c r="C281" s="55">
        <v>12</v>
      </c>
      <c r="D281" s="55">
        <v>8</v>
      </c>
      <c r="E281" s="63">
        <v>0.5</v>
      </c>
      <c r="F281" s="63"/>
      <c r="G281" s="63"/>
      <c r="H281" s="63">
        <v>0.5</v>
      </c>
      <c r="I281" s="53">
        <f t="shared" si="10"/>
        <v>3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>
        <v>75</v>
      </c>
      <c r="B282" s="55">
        <v>214</v>
      </c>
      <c r="C282" s="55">
        <v>13</v>
      </c>
      <c r="D282" s="55">
        <v>7</v>
      </c>
      <c r="E282" s="64">
        <v>0.6</v>
      </c>
      <c r="F282" s="64"/>
      <c r="G282" s="64"/>
      <c r="H282" s="64">
        <v>0.4</v>
      </c>
      <c r="I282" s="53">
        <f t="shared" si="10"/>
        <v>2.6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>
        <v>80</v>
      </c>
      <c r="B283" s="60">
        <v>219</v>
      </c>
      <c r="C283" s="88">
        <v>14</v>
      </c>
      <c r="D283" s="60">
        <v>219</v>
      </c>
      <c r="E283" s="54">
        <v>0.6</v>
      </c>
      <c r="F283" s="54"/>
      <c r="G283" s="54"/>
      <c r="H283" s="54">
        <v>0.4</v>
      </c>
      <c r="I283" s="53">
        <f t="shared" si="10"/>
        <v>2.4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6" sqref="B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42578125" style="1" customWidth="1"/>
    <col min="6" max="6" width="14.42578125" style="1" customWidth="1"/>
    <col min="7" max="7" width="73.425781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4257812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42578125" style="4" bestFit="1" customWidth="1"/>
    <col min="25" max="25" width="14.42578125" style="4" bestFit="1" customWidth="1"/>
    <col min="26" max="26" width="12.42578125" style="4" bestFit="1" customWidth="1"/>
    <col min="27" max="27" width="9.4257812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42578125" style="4" bestFit="1" customWidth="1"/>
    <col min="45" max="45" width="11.42578125" style="4" bestFit="1" customWidth="1"/>
    <col min="46" max="46" width="8.42578125" style="4" bestFit="1" customWidth="1"/>
    <col min="47" max="48" width="9.4257812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425781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42578125" style="4" bestFit="1" customWidth="1"/>
    <col min="66" max="66" width="11.42578125" style="4" bestFit="1" customWidth="1"/>
    <col min="67" max="67" width="8.42578125" style="4" bestFit="1" customWidth="1"/>
    <col min="68" max="69" width="9.4257812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42578125" style="4" bestFit="1" customWidth="1"/>
    <col min="87" max="87" width="11.42578125" style="4" bestFit="1" customWidth="1"/>
    <col min="88" max="88" width="8.42578125" style="4" bestFit="1" customWidth="1"/>
    <col min="89" max="90" width="9.4257812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42578125" style="4" bestFit="1" customWidth="1"/>
    <col min="108" max="108" width="11.42578125" style="4" bestFit="1" customWidth="1"/>
    <col min="109" max="109" width="8.42578125" style="4" bestFit="1" customWidth="1"/>
    <col min="110" max="111" width="9.4257812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425781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42578125" style="4" bestFit="1" customWidth="1"/>
    <col min="129" max="129" width="11.42578125" style="4" bestFit="1" customWidth="1"/>
    <col min="130" max="130" width="8.42578125" style="4" bestFit="1" customWidth="1"/>
    <col min="131" max="132" width="9.4257812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42578125" style="4" bestFit="1" customWidth="1"/>
    <col min="150" max="150" width="11.42578125" style="4" bestFit="1" customWidth="1"/>
    <col min="151" max="151" width="8.42578125" style="4" bestFit="1" customWidth="1"/>
    <col min="152" max="153" width="9.4257812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42578125" style="4" bestFit="1" customWidth="1"/>
    <col min="171" max="171" width="11.42578125" style="4" bestFit="1" customWidth="1"/>
    <col min="172" max="172" width="8.140625" style="4" bestFit="1" customWidth="1"/>
    <col min="173" max="174" width="9.4257812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42578125" style="4" bestFit="1" customWidth="1"/>
    <col min="192" max="192" width="11.42578125" style="4"/>
    <col min="193" max="193" width="8.42578125" style="4" bestFit="1" customWidth="1"/>
    <col min="194" max="195" width="9.4257812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425781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42578125" style="4" bestFit="1" customWidth="1"/>
    <col min="213" max="213" width="11.42578125" style="4" bestFit="1" customWidth="1"/>
    <col min="214" max="214" width="8.42578125" style="4" bestFit="1" customWidth="1"/>
    <col min="215" max="216" width="9.4257812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sessile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Pin maritime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Pin pignon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Pin d'Alep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Sapin méditerranéen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Peuplier non cultivé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>Tilleul</v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>Erable champêtre</v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>Erable plane</v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>Erable champêtre</v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315.34103933739129</v>
      </c>
      <c r="T3" s="59">
        <f>IF('Données projet'!E9&gt;30,$R$33-$H$33,LOOKUP('Données projet'!$E$9,$A$3:$A$203,R3:R203)-LOOKUP('Données projet'!$E$9,$A$3:$A$203,$H$3:$H$203))</f>
        <v>165.80901858372513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317.328615425664</v>
      </c>
      <c r="AO3" s="59">
        <f>IF('Données projet'!E10&gt;30,$AM$33-$H$33,LOOKUP('Données projet'!$E$10,$A$3:$A$203,AM3:AM203)-LOOKUP('Données projet'!$E$10,$A$3:$A$203,$H$3:$H$203))</f>
        <v>324.95872842255744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418.31716673276725</v>
      </c>
      <c r="BJ3" s="59">
        <f>IF('Données projet'!E11&gt;30,$BH$33-$H$33,LOOKUP('Données projet'!$E$11,$A$3:$A$203,BH3:BH203)-LOOKUP('Données projet'!$E$11,$A$3:$A$203,$H$3:$H$203))</f>
        <v>472.37891533957929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184.11352167663844</v>
      </c>
      <c r="CE3" s="59">
        <f>IF('Données projet'!E12&gt;30,$CC$33-$H$33,LOOKUP('Données projet'!$E$12,$A$3:$A$203,CC3:CC203)-LOOKUP('Données projet'!$E$12,$A$3:$A$203,$H$3:$H$203))</f>
        <v>145.86653500981791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303.76035885073708</v>
      </c>
      <c r="CZ3" s="59">
        <f>IF('Données projet'!E13&gt;30,$CX$33-$H$33,LOOKUP('Données projet'!$E$13,$A$3:$A$203,CX3:CX203)-LOOKUP('Données projet'!$E$13,$A$3:$A$203,$H$3:$H$203))</f>
        <v>127.43112562890414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243.65374431792841</v>
      </c>
      <c r="DU3" s="59">
        <f>IF('Données projet'!E14&gt;30,$DS$33-$H$33,LOOKUP('Données projet'!$E$14,$A$3:$A$203,DS3:DS203)-LOOKUP('Données projet'!$E$14,$A$3:$A$203,$H$3:$H$203))</f>
        <v>271.60754570002939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321.44781099085594</v>
      </c>
      <c r="EP3" s="59">
        <f>IF('Données projet'!E15&gt;30,$EN$33-$H$33,LOOKUP('Données projet'!$E$15,$A$3:$A$203,EN3:EN203)-LOOKUP('Données projet'!$E$15,$A$3:$A$203,$H$3:$H$203))</f>
        <v>201.22243186578183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285.8437404763045</v>
      </c>
      <c r="FK3" s="59">
        <f>IF('Données projet'!E16&gt;30,$FI$33-$H$33,LOOKUP('Données projet'!$E$16,$A$3:$A$203,FI3:FI203)-LOOKUP('Données projet'!$E$16,$A$3:$A$203,$H$3:$H$203))</f>
        <v>276.01618888357268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165</v>
      </c>
      <c r="GE3" s="59">
        <f ca="1">AVERAGE(OFFSET($GD$3,0,0,'Données projet'!$E$17+1,1))-AVERAGE(OFFSET($H$3,0,0,'Données projet'!$E$17+1,1))</f>
        <v>323.01113210765487</v>
      </c>
      <c r="GF3" s="59">
        <f>IF('Données projet'!E17&gt;30,$GD$33-$H$33,LOOKUP('Données projet'!$E$17,$A$3:$A$203,GD3:GD203)-LOOKUP('Données projet'!$E$17,$A$3:$A$203,$H$3:$H$203))</f>
        <v>311.68541696405975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165</v>
      </c>
      <c r="GZ3" s="59">
        <f ca="1">AVERAGE(OFFSET($GY$3,0,0,'Données projet'!$E$18+1,1))-AVERAGE(OFFSET($H$3,0,0,'Données projet'!$E$18+1,1))</f>
        <v>285.8437404763045</v>
      </c>
      <c r="HA3" s="59">
        <f>IF('Données projet'!E18&gt;30,$GY$33-$H$33,LOOKUP('Données projet'!$E$18,$A$3:$A$203,GY3:GY203)-LOOKUP('Données projet'!$E$18,$A$3:$A$203,$H$3:$H$203))</f>
        <v>276.01618888357268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1.2</v>
      </c>
      <c r="N4" s="13">
        <f>IF('Données projet'!$A$36&gt;35,N3+M4-V3,IF(A4&lt;'Données projet'!$A$36,$K$205^A4,IF(A4='Données projet'!$A$36,'Données projet'!$B$36,N3+M4-V3)))</f>
        <v>1.1457367676485573</v>
      </c>
      <c r="O4" s="13">
        <f>N4*VLOOKUP('Données projet'!$B$9,Paramètres!$A$1:$I$89,3,0)*VLOOKUP('Données projet'!$B$9,Paramètres!$A$1:$I$89,5,0)</f>
        <v>1.0366626273684145</v>
      </c>
      <c r="P4" s="13">
        <f>EXP(-1.0587+0.8836*LN(O4)+0.284)</f>
        <v>0.47573960617002853</v>
      </c>
      <c r="Q4" s="20">
        <f t="shared" ref="Q4:Q34" si="2">(O4+P4)*0.475*44/12</f>
        <v>2.6341005567461218</v>
      </c>
      <c r="R4" s="59">
        <f t="shared" si="0"/>
        <v>170.44653450966996</v>
      </c>
      <c r="S4" s="59">
        <f ca="1">AVERAGE(OFFSET($R$3,0,0,'Données projet'!$E$9+1,1))-AVERAGE(OFFSET($H$3,0,0,'Données projet'!$E$9+1,1))</f>
        <v>315.34103933739129</v>
      </c>
      <c r="T4" s="59">
        <f>$T$3</f>
        <v>165.80901858372513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7.1952941176470588</v>
      </c>
      <c r="AI4" s="13">
        <f>IF('Données projet'!$A$62&gt;35,AI3+AH4-AQ3,IF(A4&lt;'Données projet'!$A$62,$AF$205^A4,IF(A4='Données projet'!$A$62,'Données projet'!$B$62,AI3+AH4-AQ3)))</f>
        <v>1.3267648858502221</v>
      </c>
      <c r="AJ4" s="13">
        <f>AI4*VLOOKUP('Données projet'!$B$10,Paramètres!$A$1:$I$89,3,0)*VLOOKUP('Données projet'!$B$10,Paramètres!$A$1:$I$89,5,0)</f>
        <v>0.79340540173843288</v>
      </c>
      <c r="AK4" s="13">
        <f>EXP(-1.0587+0.8836*LN(AJ4)+0.284)</f>
        <v>0.37561764201183739</v>
      </c>
      <c r="AL4" s="20">
        <f t="shared" ref="AL4:AL67" si="4">(AJ4+AK4)*0.475*44/12</f>
        <v>2.0360484678650539</v>
      </c>
      <c r="AM4" s="59">
        <f t="shared" ref="AM4:AM67" si="5">AL4+(AD4+AE4)*44/12</f>
        <v>169.84848242078888</v>
      </c>
      <c r="AN4" s="59">
        <f ca="1">AVERAGE(OFFSET($AM$3,0,0,'Données projet'!$E$10+1,1))-AVERAGE(OFFSET($H$3,0,0,'Données projet'!$E$10+1,1))</f>
        <v>317.328615425664</v>
      </c>
      <c r="AO4" s="59">
        <f>$AO$3</f>
        <v>324.95872842255744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5.654583333333334</v>
      </c>
      <c r="BD4" s="12">
        <f>IF('Données projet'!$A$88&gt;35,BD3+BC4-BL3,IF(A4&lt;'Données projet'!$A$88,$BA$205^A4,IF(A4='Données projet'!$A$88,'Données projet'!$B$88,BD3+BC4-BL3)))</f>
        <v>1.2270403014054077</v>
      </c>
      <c r="BE4" s="13">
        <f>BD4*VLOOKUP('Données projet'!$B$11,Paramètres!$A$1:$I$89,3,0)*VLOOKUP('Données projet'!$B$11,Paramètres!$A$1:$I$89,5,0)</f>
        <v>1.4135504272190296</v>
      </c>
      <c r="BF4" s="13">
        <f>EXP(-1.0587+0.8836*LN(BE4)+0.284)</f>
        <v>0.62570141197583573</v>
      </c>
      <c r="BG4" s="20">
        <f t="shared" ref="BG4:BG67" si="7">(BE4+BF4)*0.475*44/12</f>
        <v>3.5516969532643903</v>
      </c>
      <c r="BH4" s="59">
        <f t="shared" ref="BH4:BH67" si="8">BG4+(AY4+AZ4)*44/12</f>
        <v>171.36413090618822</v>
      </c>
      <c r="BI4" s="59">
        <f ca="1">AVERAGE(OFFSET($BH$3,0,0,'Données projet'!$E$11+1,1))-AVERAGE(OFFSET($H$3,0,0,'Données projet'!$E$11+1,1))</f>
        <v>418.31716673276725</v>
      </c>
      <c r="BJ4" s="59">
        <f>$BJ$3</f>
        <v>472.37891533957929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0.53933333333333333</v>
      </c>
      <c r="BY4" s="12">
        <f>IF('Données projet'!$A$114&gt;35,BY3+BX4-CG3,IF(A4&lt;'Données projet'!$A$114,$BV$205^A4,IF(A4='Données projet'!$A$114,'Données projet'!$B$114,BY3+BX4-CG3)))</f>
        <v>1.1495553882870988</v>
      </c>
      <c r="BZ4" s="13">
        <f>BY4*VLOOKUP('Données projet'!$B$12,Paramètres!$A$1:$I$89,3,0)*VLOOKUP('Données projet'!$B$12,Paramètres!$A$1:$I$89,5,0)</f>
        <v>0.6724899021479529</v>
      </c>
      <c r="CA4" s="13">
        <f>EXP(-1.0587+0.8836*LN(BZ4)+0.284)</f>
        <v>0.32456016019452016</v>
      </c>
      <c r="CB4" s="20">
        <f t="shared" ref="CB4:CB67" si="10">(BZ4+CA4)*0.475*44/12</f>
        <v>1.7365288585798071</v>
      </c>
      <c r="CC4" s="59">
        <f t="shared" ref="CC4:CC67" si="11">CB4+(BT4+BU4)*44/12</f>
        <v>169.54896281150366</v>
      </c>
      <c r="CD4" s="59">
        <f ca="1">AVERAGE(OFFSET($CC$3,0,0,'Données projet'!$E$12+1,1))-AVERAGE(OFFSET($H$3,0,0,'Données projet'!$E$12+1,1))</f>
        <v>184.11352167663844</v>
      </c>
      <c r="CE4" s="59">
        <f>$CE$3</f>
        <v>145.86653500981791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2.1790000000000003</v>
      </c>
      <c r="CT4" s="12">
        <f>IF('Données projet'!$A$140&gt;35,CT3+CS4-DB3,IF(A4&lt;'Données projet'!$A$140,$CQ$205^A4,IF(A4='Données projet'!$A$140,'Données projet'!$B$140,CT3+CS4-DB3)))</f>
        <v>1.1495096359537182</v>
      </c>
      <c r="CU4" s="17">
        <f>CT4*VLOOKUP('Données projet'!$B$13,Paramètres!$A$1:$I$89,3,0)*VLOOKUP('Données projet'!$B$13,Paramètres!$A$1:$I$89,5,0)</f>
        <v>0.55291413489373853</v>
      </c>
      <c r="CV4" s="13">
        <f>EXP(-1.0587+0.8836*LN(CU4)+0.284)</f>
        <v>0.27300110317798887</v>
      </c>
      <c r="CW4" s="20">
        <f t="shared" ref="CW4:CW67" si="13">(CU4+CV4)*0.475*44/12</f>
        <v>1.4384690396415918</v>
      </c>
      <c r="CX4" s="59">
        <f t="shared" ref="CX4:CX67" si="14">CW4+(CO4+CP4)*44/12</f>
        <v>169.25090299256544</v>
      </c>
      <c r="CY4" s="59">
        <f ca="1">AVERAGE(OFFSET($CX$3,0,0,'Données projet'!$E$13+1,1))-AVERAGE(OFFSET($H$3,0,0,'Données projet'!$E$13+1,1))</f>
        <v>303.76035885073708</v>
      </c>
      <c r="CZ4" s="59">
        <f>$CZ$3</f>
        <v>127.43112562890414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1.4</v>
      </c>
      <c r="DO4" s="12">
        <f>IF('Données projet'!$A$166&gt;35,DO3+DN4-DW3,IF(A4&lt;'Données projet'!$A$166,$DL$205^A4,IF(A4='Données projet'!$A$166,'Données projet'!$B$166,DO3+DN4-DW3)))</f>
        <v>1.3020054543174677</v>
      </c>
      <c r="DP4" s="17">
        <f>DO4*VLOOKUP('Données projet'!$B$14,Paramètres!$A$1:$I$89,3,0)*VLOOKUP('Données projet'!$B$14,Paramètres!$A$1:$I$89,5,0)</f>
        <v>0.75151754823204231</v>
      </c>
      <c r="DQ4" s="13">
        <f>EXP(-1.0587+0.8836*LN(DP4)+0.284)</f>
        <v>0.3580402705222997</v>
      </c>
      <c r="DR4" s="20">
        <f t="shared" ref="DR4:DR67" si="16">(DP4+DQ4)*0.475*44/12</f>
        <v>1.9324798676638124</v>
      </c>
      <c r="DS4" s="59">
        <f t="shared" ref="DS4:DS67" si="17">DR4+(DJ4+DK4)*44/12</f>
        <v>169.74491382058764</v>
      </c>
      <c r="DT4" s="59">
        <f ca="1">AVERAGE(OFFSET($DS$3,0,0,'Données projet'!$E$14+1,1))-AVERAGE(OFFSET($H$3,0,0,'Données projet'!$E$14+1,1))</f>
        <v>243.65374431792841</v>
      </c>
      <c r="DU4" s="59">
        <f>$DU$3</f>
        <v>271.60754570002939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2.1</v>
      </c>
      <c r="EJ4" s="12">
        <f>IF('Données projet'!$A$192&gt;35,EJ3+EI4-ER3,IF(A4&lt;'Données projet'!$A$192,$EG$205^A4,IF(A4='Données projet'!$A$192,'Données projet'!$B$192,EJ3+EI4-ER3)))</f>
        <v>1.2054868146447177</v>
      </c>
      <c r="EK4" s="17">
        <f>EJ4*VLOOKUP('Données projet'!$B$15,Paramètres!$A$1:$I$89,3,0)*VLOOKUP('Données projet'!$B$15,Paramètres!$A$1:$I$89,5,0)</f>
        <v>0.80864055526367662</v>
      </c>
      <c r="EL4" s="13">
        <f>EXP(-1.0587+0.8836*LN(EK4)+0.284)</f>
        <v>0.38198370868369436</v>
      </c>
      <c r="EM4" s="20">
        <f t="shared" ref="EM4:EM67" si="19">(EK4+EL4)*0.475*44/12</f>
        <v>2.0736705930416708</v>
      </c>
      <c r="EN4" s="59">
        <f t="shared" ref="EN4:EN67" si="20">EM4+(EE4+EF4)*44/12</f>
        <v>169.88610454596551</v>
      </c>
      <c r="EO4" s="59">
        <f ca="1">AVERAGE(OFFSET($EN$3,0,0,'Données projet'!$E$15+1,1))-AVERAGE(OFFSET($H$3,0,0,'Données projet'!$E$15+1,1))</f>
        <v>321.44781099085594</v>
      </c>
      <c r="EP4" s="59">
        <f>$EP$3</f>
        <v>201.22243186578183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0.6</v>
      </c>
      <c r="FE4" s="12">
        <f>IF('Données projet'!$A$218&gt;35,FE3+FD4-FM3,IF(A4&lt;'Données projet'!$A$218,$FB$205^A4,IF(A4='Données projet'!$A$218,'Données projet'!$B$218,FE3+FD4-FM3)))</f>
        <v>1.1577536725165907</v>
      </c>
      <c r="FF4" s="17">
        <f>FE4*VLOOKUP('Données projet'!$B$16,Paramètres!$A$1:$I$89,3,0)*VLOOKUP('Données projet'!$B$16,Paramètres!$A$1:$I$89,5,0)</f>
        <v>1.0114136083104937</v>
      </c>
      <c r="FG4" s="13">
        <f>EXP(-1.0587+0.8836*LN(FF4)+0.284)</f>
        <v>0.46548655994988658</v>
      </c>
      <c r="FH4" s="20">
        <f t="shared" ref="FH4:FH67" si="22">(FF4+FG4)*0.475*44/12</f>
        <v>2.5722677930534954</v>
      </c>
      <c r="FI4" s="59">
        <f t="shared" ref="FI4:FI67" si="23">FH4+(EZ4+FA4)*44/12</f>
        <v>170.38470174597734</v>
      </c>
      <c r="FJ4" s="59">
        <f ca="1">AVERAGE(OFFSET($FI$3,0,0,'Données projet'!$E$16+1,1))-AVERAGE(OFFSET($H$3,0,0,'Données projet'!$E$16+1,1))</f>
        <v>285.8437404763045</v>
      </c>
      <c r="FK4" s="59">
        <f>$FK$3</f>
        <v>276.01618888357268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2.4666666666666668</v>
      </c>
      <c r="FZ4" s="12">
        <f>IF('Données projet'!$A$244&gt;35,FZ3+FY4-GH3,IF(A4&lt;'Données projet'!$A$244,$FW$205^A4,IF(A4='Données projet'!$A$244,'Données projet'!$B$244,FZ3+FY4-GH3)))</f>
        <v>1.2721747796233518</v>
      </c>
      <c r="GA4" s="17">
        <f>FZ4*VLOOKUP('Données projet'!$B$17,Paramètres!$A$1:$I$89,3,0)*VLOOKUP('Données projet'!$B$17,Paramètres!$A$1:$I$89,5,0)</f>
        <v>1.0121422546683387</v>
      </c>
      <c r="GB4" s="13">
        <f>EXP(-1.0587+0.8836*LN(GA4)+0.284)</f>
        <v>0.46578286063395047</v>
      </c>
      <c r="GC4" s="20">
        <f t="shared" ref="GC4:GC67" si="25">(GA4+GB4)*0.475*44/12</f>
        <v>2.574052909151487</v>
      </c>
      <c r="GD4" s="59">
        <f t="shared" ref="GD4:GD67" si="26">GC4+(FU4+FV4)*44/12</f>
        <v>170.38648686207532</v>
      </c>
      <c r="GE4" s="59">
        <f ca="1">AVERAGE(OFFSET($GD$3,0,0,'Données projet'!$E$17+1,1))-AVERAGE(OFFSET($H$3,0,0,'Données projet'!$E$17+1,1))</f>
        <v>323.01113210765487</v>
      </c>
      <c r="GF4" s="59">
        <f>$GF$3</f>
        <v>311.68541696405975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0.6</v>
      </c>
      <c r="GU4" s="12">
        <f>IF('Données projet'!$A$270&gt;35,GU3+GT4-HC3,IF(A4&lt;'Données projet'!$A$270,$GR$205^A4,IF(A4='Données projet'!$A$270,'Données projet'!$B$270,GU3+GT4-HC3)))</f>
        <v>1.1577536725165907</v>
      </c>
      <c r="GV4" s="17">
        <f>GU4*VLOOKUP('Données projet'!$B$18,Paramètres!$A$1:$I$89,3,0)*VLOOKUP('Données projet'!$B$18,Paramètres!$A$1:$I$89,5,0)</f>
        <v>1.0114136083104937</v>
      </c>
      <c r="GW4" s="13">
        <f>EXP(-1.0587+0.8836*LN(GV4)+0.284)</f>
        <v>0.46548655994988658</v>
      </c>
      <c r="GX4" s="20">
        <f t="shared" ref="GX4:GX67" si="28">(GV4+GW4)*0.475*44/12</f>
        <v>2.5722677930534954</v>
      </c>
      <c r="GY4" s="59">
        <f t="shared" ref="GY4:GY67" si="29">GX4+(GP4+GQ4)*44/12</f>
        <v>170.38470174597734</v>
      </c>
      <c r="GZ4" s="59">
        <f ca="1">AVERAGE(OFFSET($GY$3,0,0,'Données projet'!$E$18+1,1))-AVERAGE(OFFSET($H$3,0,0,'Données projet'!$E$18+1,1))</f>
        <v>285.8437404763045</v>
      </c>
      <c r="HA4" s="59">
        <f>$HA$3</f>
        <v>276.01618888357268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1.2</v>
      </c>
      <c r="N5" s="13">
        <f>IF('Données projet'!$A$36&gt;35,N4+M5-V4,IF(A5&lt;'Données projet'!$A$36,$K$205^A5,IF(A5='Données projet'!$A$36,'Données projet'!$B$36,N4+M5-V4)))</f>
        <v>1.312712740741764</v>
      </c>
      <c r="O5" s="13">
        <f>N5*VLOOKUP('Données projet'!$B$9,Paramètres!$A$1:$I$89,3,0)*VLOOKUP('Données projet'!$B$9,Paramètres!$A$1:$I$89,5,0)</f>
        <v>1.187742487823148</v>
      </c>
      <c r="P5" s="13">
        <f t="shared" ref="P5:P68" si="33">EXP(-1.0587+0.8836*LN(O5)+0.284)</f>
        <v>0.53650859312100496</v>
      </c>
      <c r="Q5" s="20">
        <f t="shared" si="2"/>
        <v>3.0030706326443997</v>
      </c>
      <c r="R5" s="59">
        <f t="shared" si="0"/>
        <v>173.60035192014524</v>
      </c>
      <c r="S5" s="59">
        <f ca="1">AVERAGE(OFFSET($R$3,0,0,'Données projet'!$E$9+1,1))-AVERAGE(OFFSET($H$3,0,0,'Données projet'!$E$9+1,1))</f>
        <v>315.34103933739129</v>
      </c>
      <c r="T5" s="59">
        <f t="shared" ref="T5:T68" si="34">$T$3</f>
        <v>165.80901858372513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7.1952941176470588</v>
      </c>
      <c r="AI5" s="13">
        <f>IF('Données projet'!$A$62&gt;35,AI4+AH5-AQ4,IF(A5&lt;'Données projet'!$A$62,$AF$205^A5,IF(A5='Données projet'!$A$62,'Données projet'!$B$62,AI4+AH5-AQ4)))</f>
        <v>1.7603050623251528</v>
      </c>
      <c r="AJ5" s="13">
        <f>AI5*VLOOKUP('Données projet'!$B$10,Paramètres!$A$1:$I$89,3,0)*VLOOKUP('Données projet'!$B$10,Paramètres!$A$1:$I$89,5,0)</f>
        <v>1.0526624272704415</v>
      </c>
      <c r="AK5" s="13">
        <f t="shared" ref="AK5:AK68" si="35">EXP(-1.0587+0.8836*LN(AJ5)+0.284)</f>
        <v>0.48222168139326793</v>
      </c>
      <c r="AL5" s="20">
        <f t="shared" si="4"/>
        <v>2.6732564892559605</v>
      </c>
      <c r="AM5" s="59">
        <f t="shared" si="5"/>
        <v>173.27053777675678</v>
      </c>
      <c r="AN5" s="59">
        <f ca="1">AVERAGE(OFFSET($AM$3,0,0,'Données projet'!$E$10+1,1))-AVERAGE(OFFSET($H$3,0,0,'Données projet'!$E$10+1,1))</f>
        <v>317.328615425664</v>
      </c>
      <c r="AO5" s="59">
        <f t="shared" ref="AO5:AO68" si="36">$AO$3</f>
        <v>324.95872842255744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5.654583333333334</v>
      </c>
      <c r="BD5" s="12">
        <f>IF('Données projet'!$A$88&gt;35,BD4+BC5-BL4,IF(A5&lt;'Données projet'!$A$88,$BA$205^A5,IF(A5='Données projet'!$A$88,'Données projet'!$B$88,BD4+BC5-BL4)))</f>
        <v>1.5056279012730736</v>
      </c>
      <c r="BE5" s="13">
        <f>BD5*VLOOKUP('Données projet'!$B$11,Paramètres!$A$1:$I$89,3,0)*VLOOKUP('Données projet'!$B$11,Paramètres!$A$1:$I$89,5,0)</f>
        <v>1.7344833422665806</v>
      </c>
      <c r="BF5" s="13">
        <f t="shared" ref="BF5:BF68" si="37">EXP(-1.0587+0.8836*LN(BE5)+0.284)</f>
        <v>0.74969185871841082</v>
      </c>
      <c r="BG5" s="20">
        <f t="shared" si="7"/>
        <v>4.3266051417155262</v>
      </c>
      <c r="BH5" s="59">
        <f t="shared" si="8"/>
        <v>174.92388642921637</v>
      </c>
      <c r="BI5" s="59">
        <f ca="1">AVERAGE(OFFSET($BH$3,0,0,'Données projet'!$E$11+1,1))-AVERAGE(OFFSET($H$3,0,0,'Données projet'!$E$11+1,1))</f>
        <v>418.31716673276725</v>
      </c>
      <c r="BJ5" s="59">
        <f t="shared" ref="BJ5:BJ68" si="38">$BJ$3</f>
        <v>472.37891533957929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0.53933333333333333</v>
      </c>
      <c r="BY5" s="12">
        <f>IF('Données projet'!$A$114&gt;35,BY4+BX5-CG4,IF(A5&lt;'Données projet'!$A$114,$BV$205^A5,IF(A5='Données projet'!$A$114,'Données projet'!$B$114,BY4+BX5-CG4)))</f>
        <v>1.3214775907399026</v>
      </c>
      <c r="BZ5" s="13">
        <f>BY5*VLOOKUP('Données projet'!$B$12,Paramètres!$A$1:$I$89,3,0)*VLOOKUP('Données projet'!$B$12,Paramètres!$A$1:$I$89,5,0)</f>
        <v>0.77306439058284315</v>
      </c>
      <c r="CA5" s="13">
        <f t="shared" ref="CA5:CA68" si="39">EXP(-1.0587+0.8836*LN(BZ5)+0.284)</f>
        <v>0.36709581205701758</v>
      </c>
      <c r="CB5" s="20">
        <f t="shared" si="10"/>
        <v>1.9857790195977572</v>
      </c>
      <c r="CC5" s="59">
        <f t="shared" si="11"/>
        <v>172.58306030709861</v>
      </c>
      <c r="CD5" s="59">
        <f ca="1">AVERAGE(OFFSET($CC$3,0,0,'Données projet'!$E$12+1,1))-AVERAGE(OFFSET($H$3,0,0,'Données projet'!$E$12+1,1))</f>
        <v>184.11352167663844</v>
      </c>
      <c r="CE5" s="59">
        <f t="shared" ref="CE5:CE68" si="40">$CE$3</f>
        <v>145.86653500981791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2.1790000000000003</v>
      </c>
      <c r="CT5" s="12">
        <f>IF('Données projet'!$A$140&gt;35,CT4+CS5-DB4,IF(A5&lt;'Données projet'!$A$140,$CQ$205^A5,IF(A5='Données projet'!$A$140,'Données projet'!$B$140,CT4+CS5-DB4)))</f>
        <v>1.3213724031504499</v>
      </c>
      <c r="CU5" s="17">
        <f>CT5*VLOOKUP('Données projet'!$B$13,Paramètres!$A$1:$I$89,3,0)*VLOOKUP('Données projet'!$B$13,Paramètres!$A$1:$I$89,5,0)</f>
        <v>0.63558012591536639</v>
      </c>
      <c r="CV5" s="13">
        <f t="shared" ref="CV5:CV68" si="41">EXP(-1.0587+0.8836*LN(CU5)+0.284)</f>
        <v>0.30876875712065088</v>
      </c>
      <c r="CW5" s="20">
        <f t="shared" si="13"/>
        <v>1.6447409712877299</v>
      </c>
      <c r="CX5" s="59">
        <f t="shared" si="14"/>
        <v>172.24202225878855</v>
      </c>
      <c r="CY5" s="59">
        <f ca="1">AVERAGE(OFFSET($CX$3,0,0,'Données projet'!$E$13+1,1))-AVERAGE(OFFSET($H$3,0,0,'Données projet'!$E$13+1,1))</f>
        <v>303.76035885073708</v>
      </c>
      <c r="CZ5" s="59">
        <f t="shared" ref="CZ5:CZ68" si="42">$CZ$3</f>
        <v>127.43112562890414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1.4</v>
      </c>
      <c r="DO5" s="12">
        <f>IF('Données projet'!$A$166&gt;35,DO4+DN5-DW4,IF(A5&lt;'Données projet'!$A$166,$DL$205^A5,IF(A5='Données projet'!$A$166,'Données projet'!$B$166,DO4+DN5-DW4)))</f>
        <v>1.6952182030724354</v>
      </c>
      <c r="DP5" s="17">
        <f>DO5*VLOOKUP('Données projet'!$B$14,Paramètres!$A$1:$I$89,3,0)*VLOOKUP('Données projet'!$B$14,Paramètres!$A$1:$I$89,5,0)</f>
        <v>0.97847994681340966</v>
      </c>
      <c r="DQ5" s="13">
        <f t="shared" ref="DQ5:DQ68" si="43">EXP(-1.0587+0.8836*LN(DP5)+0.284)</f>
        <v>0.45206798291949041</v>
      </c>
      <c r="DR5" s="20">
        <f t="shared" si="16"/>
        <v>2.4915376442848012</v>
      </c>
      <c r="DS5" s="59">
        <f t="shared" si="17"/>
        <v>173.08881893178562</v>
      </c>
      <c r="DT5" s="59">
        <f ca="1">AVERAGE(OFFSET($DS$3,0,0,'Données projet'!$E$14+1,1))-AVERAGE(OFFSET($H$3,0,0,'Données projet'!$E$14+1,1))</f>
        <v>243.65374431792841</v>
      </c>
      <c r="DU5" s="59">
        <f t="shared" ref="DU5:DU68" si="44">$DU$3</f>
        <v>271.60754570002939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2.1</v>
      </c>
      <c r="EJ5" s="12">
        <f>IF('Données projet'!$A$192&gt;35,EJ4+EI5-ER4,IF(A5&lt;'Données projet'!$A$192,$EG$205^A5,IF(A5='Données projet'!$A$192,'Données projet'!$B$192,EJ4+EI5-ER4)))</f>
        <v>1.4531984602822681</v>
      </c>
      <c r="EK5" s="17">
        <f>EJ5*VLOOKUP('Données projet'!$B$15,Paramètres!$A$1:$I$89,3,0)*VLOOKUP('Données projet'!$B$15,Paramètres!$A$1:$I$89,5,0)</f>
        <v>0.97480552715734547</v>
      </c>
      <c r="EL5" s="13">
        <f t="shared" ref="EL5:EL68" si="45">EXP(-1.0587+0.8836*LN(EK5)+0.284)</f>
        <v>0.45056763727227567</v>
      </c>
      <c r="EM5" s="20">
        <f t="shared" si="19"/>
        <v>2.4825249280482562</v>
      </c>
      <c r="EN5" s="59">
        <f t="shared" si="20"/>
        <v>173.0798062155491</v>
      </c>
      <c r="EO5" s="59">
        <f ca="1">AVERAGE(OFFSET($EN$3,0,0,'Données projet'!$E$15+1,1))-AVERAGE(OFFSET($H$3,0,0,'Données projet'!$E$15+1,1))</f>
        <v>321.44781099085594</v>
      </c>
      <c r="EP5" s="59">
        <f t="shared" ref="EP5:EP68" si="46">$EP$3</f>
        <v>201.22243186578183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0.6</v>
      </c>
      <c r="FE5" s="12">
        <f>IF('Données projet'!$A$218&gt;35,FE4+FD5-FM4,IF(A5&lt;'Données projet'!$A$218,$FB$205^A5,IF(A5='Données projet'!$A$218,'Données projet'!$B$218,FE4+FD5-FM4)))</f>
        <v>1.340393566225653</v>
      </c>
      <c r="FF5" s="17">
        <f>FE5*VLOOKUP('Données projet'!$B$16,Paramètres!$A$1:$I$89,3,0)*VLOOKUP('Données projet'!$B$16,Paramètres!$A$1:$I$89,5,0)</f>
        <v>1.1709678194547306</v>
      </c>
      <c r="FG5" s="13">
        <f t="shared" ref="FG5:FG68" si="47">EXP(-1.0587+0.8836*LN(FF5)+0.284)</f>
        <v>0.52980785325350399</v>
      </c>
      <c r="FH5" s="20">
        <f t="shared" si="22"/>
        <v>2.9621842966335081</v>
      </c>
      <c r="FI5" s="59">
        <f t="shared" si="23"/>
        <v>173.55946558413433</v>
      </c>
      <c r="FJ5" s="59">
        <f ca="1">AVERAGE(OFFSET($FI$3,0,0,'Données projet'!$E$16+1,1))-AVERAGE(OFFSET($H$3,0,0,'Données projet'!$E$16+1,1))</f>
        <v>285.8437404763045</v>
      </c>
      <c r="FK5" s="59">
        <f t="shared" ref="FK5:FK68" si="48">$FK$3</f>
        <v>276.01618888357268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2.4666666666666668</v>
      </c>
      <c r="FZ5" s="12">
        <f>IF('Données projet'!$A$244&gt;35,FZ4+FY5-GH4,IF(A5&lt;'Données projet'!$A$244,$FW$205^A5,IF(A5='Données projet'!$A$244,'Données projet'!$B$244,FZ4+FY5-GH4)))</f>
        <v>1.6184286699097237</v>
      </c>
      <c r="GA5" s="17">
        <f>FZ5*VLOOKUP('Données projet'!$B$17,Paramètres!$A$1:$I$89,3,0)*VLOOKUP('Données projet'!$B$17,Paramètres!$A$1:$I$89,5,0)</f>
        <v>1.2876218497801761</v>
      </c>
      <c r="GB5" s="13">
        <f t="shared" ref="GB5:GB68" si="49">EXP(-1.0587+0.8836*LN(GA5)+0.284)</f>
        <v>0.57618379541883336</v>
      </c>
      <c r="GC5" s="20">
        <f t="shared" si="25"/>
        <v>3.2461281653882743</v>
      </c>
      <c r="GD5" s="59">
        <f t="shared" si="26"/>
        <v>173.84340945288912</v>
      </c>
      <c r="GE5" s="59">
        <f ca="1">AVERAGE(OFFSET($GD$3,0,0,'Données projet'!$E$17+1,1))-AVERAGE(OFFSET($H$3,0,0,'Données projet'!$E$17+1,1))</f>
        <v>323.01113210765487</v>
      </c>
      <c r="GF5" s="59">
        <f t="shared" ref="GF5:GF68" si="50">$GF$3</f>
        <v>311.68541696405975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0.6</v>
      </c>
      <c r="GU5" s="12">
        <f>IF('Données projet'!$A$270&gt;35,GU4+GT5-HC4,IF(A5&lt;'Données projet'!$A$270,$GR$205^A5,IF(A5='Données projet'!$A$270,'Données projet'!$B$270,GU4+GT5-HC4)))</f>
        <v>1.340393566225653</v>
      </c>
      <c r="GV5" s="17">
        <f>GU5*VLOOKUP('Données projet'!$B$18,Paramètres!$A$1:$I$89,3,0)*VLOOKUP('Données projet'!$B$18,Paramètres!$A$1:$I$89,5,0)</f>
        <v>1.1709678194547306</v>
      </c>
      <c r="GW5" s="13">
        <f t="shared" ref="GW5:GW68" si="51">EXP(-1.0587+0.8836*LN(GV5)+0.284)</f>
        <v>0.52980785325350399</v>
      </c>
      <c r="GX5" s="20">
        <f t="shared" si="28"/>
        <v>2.9621842966335081</v>
      </c>
      <c r="GY5" s="59">
        <f t="shared" si="29"/>
        <v>173.55946558413433</v>
      </c>
      <c r="GZ5" s="59">
        <f ca="1">AVERAGE(OFFSET($GY$3,0,0,'Données projet'!$E$18+1,1))-AVERAGE(OFFSET($H$3,0,0,'Données projet'!$E$18+1,1))</f>
        <v>285.8437404763045</v>
      </c>
      <c r="HA5" s="59">
        <f t="shared" ref="HA5:HA68" si="52">$HA$3</f>
        <v>276.01618888357268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1.2</v>
      </c>
      <c r="N6" s="13">
        <f>IF('Données projet'!$A$36&gt;35,N5+M6-V5,IF(A6&lt;'Données projet'!$A$36,$K$205^A6,IF(A6='Données projet'!$A$36,'Données projet'!$B$36,N5+M6-V5)))</f>
        <v>1.5040232524285473</v>
      </c>
      <c r="O6" s="13">
        <f>N6*VLOOKUP('Données projet'!$B$9,Paramètres!$A$1:$I$89,3,0)*VLOOKUP('Données projet'!$B$9,Paramètres!$A$1:$I$89,5,0)</f>
        <v>1.3608402387973495</v>
      </c>
      <c r="P6" s="13">
        <f t="shared" si="33"/>
        <v>0.60503995622724338</v>
      </c>
      <c r="Q6" s="20">
        <f t="shared" si="2"/>
        <v>3.4239080063344987</v>
      </c>
      <c r="R6" s="59">
        <f t="shared" si="0"/>
        <v>176.77892857621939</v>
      </c>
      <c r="S6" s="59">
        <f ca="1">AVERAGE(OFFSET($R$3,0,0,'Données projet'!$E$9+1,1))-AVERAGE(OFFSET($H$3,0,0,'Données projet'!$E$9+1,1))</f>
        <v>315.34103933739129</v>
      </c>
      <c r="T6" s="59">
        <f t="shared" si="34"/>
        <v>165.80901858372513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7.1952941176470588</v>
      </c>
      <c r="AI6" s="13">
        <f>IF('Données projet'!$A$62&gt;35,AI5+AH6-AQ5,IF(A6&lt;'Données projet'!$A$62,$AF$205^A6,IF(A6='Données projet'!$A$62,'Données projet'!$B$62,AI5+AH6-AQ5)))</f>
        <v>2.3355109450773996</v>
      </c>
      <c r="AJ6" s="13">
        <f>AI6*VLOOKUP('Données projet'!$B$10,Paramètres!$A$1:$I$89,3,0)*VLOOKUP('Données projet'!$B$10,Paramètres!$A$1:$I$89,5,0)</f>
        <v>1.3966355451562853</v>
      </c>
      <c r="AK6" s="13">
        <f t="shared" si="35"/>
        <v>0.61908101217040834</v>
      </c>
      <c r="AL6" s="20">
        <f t="shared" si="4"/>
        <v>3.5107063373439913</v>
      </c>
      <c r="AM6" s="59">
        <f t="shared" si="5"/>
        <v>176.86572690722889</v>
      </c>
      <c r="AN6" s="59">
        <f ca="1">AVERAGE(OFFSET($AM$3,0,0,'Données projet'!$E$10+1,1))-AVERAGE(OFFSET($H$3,0,0,'Données projet'!$E$10+1,1))</f>
        <v>317.328615425664</v>
      </c>
      <c r="AO6" s="59">
        <f t="shared" si="36"/>
        <v>324.95872842255744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5.654583333333334</v>
      </c>
      <c r="BD6" s="12">
        <f>IF('Données projet'!$A$88&gt;35,BD5+BC6-BL5,IF(A6&lt;'Données projet'!$A$88,$BA$205^A6,IF(A6='Données projet'!$A$88,'Données projet'!$B$88,BD5+BC6-BL5)))</f>
        <v>1.8474661137825035</v>
      </c>
      <c r="BE6" s="13">
        <f>BD6*VLOOKUP('Données projet'!$B$11,Paramètres!$A$1:$I$89,3,0)*VLOOKUP('Données projet'!$B$11,Paramètres!$A$1:$I$89,5,0)</f>
        <v>2.1282809630774437</v>
      </c>
      <c r="BF6" s="13">
        <f t="shared" si="37"/>
        <v>0.89825254070286664</v>
      </c>
      <c r="BG6" s="20">
        <f t="shared" si="7"/>
        <v>5.27121251908404</v>
      </c>
      <c r="BH6" s="59">
        <f t="shared" si="8"/>
        <v>178.62623308896892</v>
      </c>
      <c r="BI6" s="59">
        <f ca="1">AVERAGE(OFFSET($BH$3,0,0,'Données projet'!$E$11+1,1))-AVERAGE(OFFSET($H$3,0,0,'Données projet'!$E$11+1,1))</f>
        <v>418.31716673276725</v>
      </c>
      <c r="BJ6" s="59">
        <f t="shared" si="38"/>
        <v>472.37891533957929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0.53933333333333333</v>
      </c>
      <c r="BY6" s="12">
        <f>IF('Données projet'!$A$114&gt;35,BY5+BX6-CG5,IF(A6&lt;'Données projet'!$A$114,$BV$205^A6,IF(A6='Données projet'!$A$114,'Données projet'!$B$114,BY5+BX6-CG5)))</f>
        <v>1.5191116849357085</v>
      </c>
      <c r="BZ6" s="13">
        <f>BY6*VLOOKUP('Données projet'!$B$12,Paramètres!$A$1:$I$89,3,0)*VLOOKUP('Données projet'!$B$12,Paramètres!$A$1:$I$89,5,0)</f>
        <v>0.88868033568738958</v>
      </c>
      <c r="CA6" s="13">
        <f t="shared" si="39"/>
        <v>0.41520602882693675</v>
      </c>
      <c r="CB6" s="20">
        <f t="shared" si="10"/>
        <v>2.2709354181957848</v>
      </c>
      <c r="CC6" s="59">
        <f t="shared" si="11"/>
        <v>175.62595598808068</v>
      </c>
      <c r="CD6" s="59">
        <f ca="1">AVERAGE(OFFSET($CC$3,0,0,'Données projet'!$E$12+1,1))-AVERAGE(OFFSET($H$3,0,0,'Données projet'!$E$12+1,1))</f>
        <v>184.11352167663844</v>
      </c>
      <c r="CE6" s="59">
        <f t="shared" si="40"/>
        <v>145.86653500981791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2.1790000000000003</v>
      </c>
      <c r="CT6" s="12">
        <f>IF('Données projet'!$A$140&gt;35,CT5+CS6-DB5,IF(A6&lt;'Données projet'!$A$140,$CQ$205^A6,IF(A6='Données projet'!$A$140,'Données projet'!$B$140,CT5+CS6-DB5)))</f>
        <v>1.5189303101047635</v>
      </c>
      <c r="CU6" s="17">
        <f>CT6*VLOOKUP('Données projet'!$B$13,Paramètres!$A$1:$I$89,3,0)*VLOOKUP('Données projet'!$B$13,Paramètres!$A$1:$I$89,5,0)</f>
        <v>0.73060547916039131</v>
      </c>
      <c r="CV6" s="13">
        <f t="shared" si="41"/>
        <v>0.34922256453913969</v>
      </c>
      <c r="CW6" s="20">
        <f t="shared" si="13"/>
        <v>1.88070050944335</v>
      </c>
      <c r="CX6" s="59">
        <f t="shared" si="14"/>
        <v>175.23572107932824</v>
      </c>
      <c r="CY6" s="59">
        <f ca="1">AVERAGE(OFFSET($CX$3,0,0,'Données projet'!$E$13+1,1))-AVERAGE(OFFSET($H$3,0,0,'Données projet'!$E$13+1,1))</f>
        <v>303.76035885073708</v>
      </c>
      <c r="CZ6" s="59">
        <f t="shared" si="42"/>
        <v>127.43112562890414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1.4</v>
      </c>
      <c r="DO6" s="12">
        <f>IF('Données projet'!$A$166&gt;35,DO5+DN6-DW5,IF(A6&lt;'Données projet'!$A$166,$DL$205^A6,IF(A6='Données projet'!$A$166,'Données projet'!$B$166,DO5+DN6-DW5)))</f>
        <v>2.2071833466585677</v>
      </c>
      <c r="DP6" s="17">
        <f>DO6*VLOOKUP('Données projet'!$B$14,Paramètres!$A$1:$I$89,3,0)*VLOOKUP('Données projet'!$B$14,Paramètres!$A$1:$I$89,5,0)</f>
        <v>1.2739862276913254</v>
      </c>
      <c r="DQ6" s="13">
        <f t="shared" si="43"/>
        <v>0.57078903689457572</v>
      </c>
      <c r="DR6" s="20">
        <f t="shared" si="16"/>
        <v>3.2129835858204441</v>
      </c>
      <c r="DS6" s="59">
        <f t="shared" si="17"/>
        <v>176.56800415570532</v>
      </c>
      <c r="DT6" s="59">
        <f ca="1">AVERAGE(OFFSET($DS$3,0,0,'Données projet'!$E$14+1,1))-AVERAGE(OFFSET($H$3,0,0,'Données projet'!$E$14+1,1))</f>
        <v>243.65374431792841</v>
      </c>
      <c r="DU6" s="59">
        <f t="shared" si="44"/>
        <v>271.60754570002939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2.1</v>
      </c>
      <c r="EJ6" s="12">
        <f>IF('Données projet'!$A$192&gt;35,EJ5+EI6-ER5,IF(A6&lt;'Données projet'!$A$192,$EG$205^A6,IF(A6='Données projet'!$A$192,'Données projet'!$B$192,EJ5+EI6-ER5)))</f>
        <v>1.7518115829322798</v>
      </c>
      <c r="EK6" s="17">
        <f>EJ6*VLOOKUP('Données projet'!$B$15,Paramètres!$A$1:$I$89,3,0)*VLOOKUP('Données projet'!$B$15,Paramètres!$A$1:$I$89,5,0)</f>
        <v>1.1751152098309732</v>
      </c>
      <c r="EL6" s="13">
        <f t="shared" si="45"/>
        <v>0.53146558646883679</v>
      </c>
      <c r="EM6" s="20">
        <f t="shared" si="19"/>
        <v>2.9722948868888355</v>
      </c>
      <c r="EN6" s="59">
        <f t="shared" si="20"/>
        <v>176.32731545677373</v>
      </c>
      <c r="EO6" s="59">
        <f ca="1">AVERAGE(OFFSET($EN$3,0,0,'Données projet'!$E$15+1,1))-AVERAGE(OFFSET($H$3,0,0,'Données projet'!$E$15+1,1))</f>
        <v>321.44781099085594</v>
      </c>
      <c r="EP6" s="59">
        <f t="shared" si="46"/>
        <v>201.22243186578183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0.6</v>
      </c>
      <c r="FE6" s="12">
        <f>IF('Données projet'!$A$218&gt;35,FE5+FD6-FM5,IF(A6&lt;'Données projet'!$A$218,$FB$205^A6,IF(A6='Données projet'!$A$218,'Données projet'!$B$218,FE5+FD6-FM5)))</f>
        <v>1.5518455739153598</v>
      </c>
      <c r="FF6" s="17">
        <f>FE6*VLOOKUP('Données projet'!$B$16,Paramètres!$A$1:$I$89,3,0)*VLOOKUP('Données projet'!$B$16,Paramètres!$A$1:$I$89,5,0)</f>
        <v>1.3556922933724584</v>
      </c>
      <c r="FG6" s="13">
        <f t="shared" si="47"/>
        <v>0.6030171126730397</v>
      </c>
      <c r="FH6" s="20">
        <f t="shared" si="22"/>
        <v>3.4114188821959091</v>
      </c>
      <c r="FI6" s="59">
        <f t="shared" si="23"/>
        <v>176.76643945208079</v>
      </c>
      <c r="FJ6" s="59">
        <f ca="1">AVERAGE(OFFSET($FI$3,0,0,'Données projet'!$E$16+1,1))-AVERAGE(OFFSET($H$3,0,0,'Données projet'!$E$16+1,1))</f>
        <v>285.8437404763045</v>
      </c>
      <c r="FK6" s="59">
        <f t="shared" si="48"/>
        <v>276.01618888357268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2.4666666666666668</v>
      </c>
      <c r="FZ6" s="12">
        <f>IF('Données projet'!$A$244&gt;35,FZ5+FY6-GH5,IF(A6&lt;'Données projet'!$A$244,$FW$205^A6,IF(A6='Données projet'!$A$244,'Données projet'!$B$244,FZ5+FY6-GH5)))</f>
        <v>2.0589241364785171</v>
      </c>
      <c r="GA6" s="17">
        <f>FZ6*VLOOKUP('Données projet'!$B$17,Paramètres!$A$1:$I$89,3,0)*VLOOKUP('Données projet'!$B$17,Paramètres!$A$1:$I$89,5,0)</f>
        <v>1.6380800429823084</v>
      </c>
      <c r="GB6" s="13">
        <f t="shared" si="49"/>
        <v>0.71275221602487127</v>
      </c>
      <c r="GC6" s="20">
        <f t="shared" si="25"/>
        <v>4.0943661844375043</v>
      </c>
      <c r="GD6" s="59">
        <f t="shared" si="26"/>
        <v>177.4493867543224</v>
      </c>
      <c r="GE6" s="59">
        <f ca="1">AVERAGE(OFFSET($GD$3,0,0,'Données projet'!$E$17+1,1))-AVERAGE(OFFSET($H$3,0,0,'Données projet'!$E$17+1,1))</f>
        <v>323.01113210765487</v>
      </c>
      <c r="GF6" s="59">
        <f t="shared" si="50"/>
        <v>311.68541696405975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0.6</v>
      </c>
      <c r="GU6" s="12">
        <f>IF('Données projet'!$A$270&gt;35,GU5+GT6-HC5,IF(A6&lt;'Données projet'!$A$270,$GR$205^A6,IF(A6='Données projet'!$A$270,'Données projet'!$B$270,GU5+GT6-HC5)))</f>
        <v>1.5518455739153598</v>
      </c>
      <c r="GV6" s="17">
        <f>GU6*VLOOKUP('Données projet'!$B$18,Paramètres!$A$1:$I$89,3,0)*VLOOKUP('Données projet'!$B$18,Paramètres!$A$1:$I$89,5,0)</f>
        <v>1.3556922933724584</v>
      </c>
      <c r="GW6" s="13">
        <f t="shared" si="51"/>
        <v>0.6030171126730397</v>
      </c>
      <c r="GX6" s="20">
        <f t="shared" si="28"/>
        <v>3.4114188821959091</v>
      </c>
      <c r="GY6" s="59">
        <f t="shared" si="29"/>
        <v>176.76643945208079</v>
      </c>
      <c r="GZ6" s="59">
        <f ca="1">AVERAGE(OFFSET($GY$3,0,0,'Données projet'!$E$18+1,1))-AVERAGE(OFFSET($H$3,0,0,'Données projet'!$E$18+1,1))</f>
        <v>285.8437404763045</v>
      </c>
      <c r="HA6" s="59">
        <f t="shared" si="52"/>
        <v>276.01618888357268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1.2</v>
      </c>
      <c r="N7" s="13">
        <f>IF('Données projet'!$A$36&gt;35,N6+M7-V6,IF(A7&lt;'Données projet'!$A$36,$K$205^A7,IF(A7='Données projet'!$A$36,'Données projet'!$B$36,N6+M7-V6)))</f>
        <v>1.7232147397057538</v>
      </c>
      <c r="O7" s="13">
        <f>N7*VLOOKUP('Données projet'!$B$9,Paramètres!$A$1:$I$89,3,0)*VLOOKUP('Données projet'!$B$9,Paramètres!$A$1:$I$89,5,0)</f>
        <v>1.5591646964857659</v>
      </c>
      <c r="P7" s="13">
        <f t="shared" si="33"/>
        <v>0.68232522894353675</v>
      </c>
      <c r="Q7" s="20">
        <f t="shared" si="2"/>
        <v>3.9039282867893692</v>
      </c>
      <c r="R7" s="59">
        <f t="shared" si="0"/>
        <v>179.99005035096633</v>
      </c>
      <c r="S7" s="59">
        <f ca="1">AVERAGE(OFFSET($R$3,0,0,'Données projet'!$E$9+1,1))-AVERAGE(OFFSET($H$3,0,0,'Données projet'!$E$9+1,1))</f>
        <v>315.34103933739129</v>
      </c>
      <c r="T7" s="59">
        <f t="shared" si="34"/>
        <v>165.80901858372513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7.1952941176470588</v>
      </c>
      <c r="AI7" s="13">
        <f>IF('Données projet'!$A$62&gt;35,AI6+AH7-AQ6,IF(A7&lt;'Données projet'!$A$62,$AF$205^A7,IF(A7='Données projet'!$A$62,'Données projet'!$B$62,AI6+AH7-AQ6)))</f>
        <v>3.09867391244756</v>
      </c>
      <c r="AJ7" s="13">
        <f>AI7*VLOOKUP('Données projet'!$B$10,Paramètres!$A$1:$I$89,3,0)*VLOOKUP('Données projet'!$B$10,Paramètres!$A$1:$I$89,5,0)</f>
        <v>1.8530069996436409</v>
      </c>
      <c r="AK7" s="13">
        <f t="shared" si="35"/>
        <v>0.79478238830446668</v>
      </c>
      <c r="AL7" s="20">
        <f t="shared" si="4"/>
        <v>4.6115665173429541</v>
      </c>
      <c r="AM7" s="59">
        <f t="shared" si="5"/>
        <v>180.69768858151991</v>
      </c>
      <c r="AN7" s="59">
        <f ca="1">AVERAGE(OFFSET($AM$3,0,0,'Données projet'!$E$10+1,1))-AVERAGE(OFFSET($H$3,0,0,'Données projet'!$E$10+1,1))</f>
        <v>317.328615425664</v>
      </c>
      <c r="AO7" s="59">
        <f t="shared" si="36"/>
        <v>324.95872842255744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5.654583333333334</v>
      </c>
      <c r="BD7" s="12">
        <f>IF('Données projet'!$A$88&gt;35,BD6+BC7-BL6,IF(A7&lt;'Données projet'!$A$88,$BA$205^A7,IF(A7='Données projet'!$A$88,'Données projet'!$B$88,BD6+BC7-BL6)))</f>
        <v>2.2669153770919603</v>
      </c>
      <c r="BE7" s="13">
        <f>BD7*VLOOKUP('Données projet'!$B$11,Paramètres!$A$1:$I$89,3,0)*VLOOKUP('Données projet'!$B$11,Paramètres!$A$1:$I$89,5,0)</f>
        <v>2.6114865144099384</v>
      </c>
      <c r="BF7" s="13">
        <f t="shared" si="37"/>
        <v>1.0762523528779797</v>
      </c>
      <c r="BG7" s="20">
        <f t="shared" si="7"/>
        <v>6.4228118605264584</v>
      </c>
      <c r="BH7" s="59">
        <f t="shared" si="8"/>
        <v>182.5089339247034</v>
      </c>
      <c r="BI7" s="59">
        <f ca="1">AVERAGE(OFFSET($BH$3,0,0,'Données projet'!$E$11+1,1))-AVERAGE(OFFSET($H$3,0,0,'Données projet'!$E$11+1,1))</f>
        <v>418.31716673276725</v>
      </c>
      <c r="BJ7" s="59">
        <f t="shared" si="38"/>
        <v>472.37891533957929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0.53933333333333333</v>
      </c>
      <c r="BY7" s="12">
        <f>IF('Données projet'!$A$114&gt;35,BY6+BX7-CG6,IF(A7&lt;'Données projet'!$A$114,$BV$205^A7,IF(A7='Données projet'!$A$114,'Données projet'!$B$114,BY6+BX7-CG6)))</f>
        <v>1.7463030228277374</v>
      </c>
      <c r="BZ7" s="13">
        <f>BY7*VLOOKUP('Données projet'!$B$12,Paramètres!$A$1:$I$89,3,0)*VLOOKUP('Données projet'!$B$12,Paramètres!$A$1:$I$89,5,0)</f>
        <v>1.0215872683542264</v>
      </c>
      <c r="CA7" s="13">
        <f t="shared" si="39"/>
        <v>0.46962139232320727</v>
      </c>
      <c r="CB7" s="20">
        <f t="shared" si="10"/>
        <v>2.5971884173465303</v>
      </c>
      <c r="CC7" s="59">
        <f t="shared" si="11"/>
        <v>178.68331048152348</v>
      </c>
      <c r="CD7" s="59">
        <f ca="1">AVERAGE(OFFSET($CC$3,0,0,'Données projet'!$E$12+1,1))-AVERAGE(OFFSET($H$3,0,0,'Données projet'!$E$12+1,1))</f>
        <v>184.11352167663844</v>
      </c>
      <c r="CE7" s="59">
        <f t="shared" si="40"/>
        <v>145.86653500981791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2.1790000000000003</v>
      </c>
      <c r="CT7" s="12">
        <f>IF('Données projet'!$A$140&gt;35,CT6+CS7-DB6,IF(A7&lt;'Données projet'!$A$140,$CQ$205^A7,IF(A7='Données projet'!$A$140,'Données projet'!$B$140,CT6+CS7-DB6)))</f>
        <v>1.7460250278075951</v>
      </c>
      <c r="CU7" s="17">
        <f>CT7*VLOOKUP('Données projet'!$B$13,Paramètres!$A$1:$I$89,3,0)*VLOOKUP('Données projet'!$B$13,Paramètres!$A$1:$I$89,5,0)</f>
        <v>0.83983803837545323</v>
      </c>
      <c r="CV7" s="13">
        <f t="shared" si="41"/>
        <v>0.39497648894457049</v>
      </c>
      <c r="CW7" s="20">
        <f t="shared" si="13"/>
        <v>2.1506353017490412</v>
      </c>
      <c r="CX7" s="59">
        <f t="shared" si="14"/>
        <v>178.236757365926</v>
      </c>
      <c r="CY7" s="59">
        <f ca="1">AVERAGE(OFFSET($CX$3,0,0,'Données projet'!$E$13+1,1))-AVERAGE(OFFSET($H$3,0,0,'Données projet'!$E$13+1,1))</f>
        <v>303.76035885073708</v>
      </c>
      <c r="CZ7" s="59">
        <f t="shared" si="42"/>
        <v>127.43112562890414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1.4</v>
      </c>
      <c r="DO7" s="12">
        <f>IF('Données projet'!$A$166&gt;35,DO6+DN7-DW6,IF(A7&lt;'Données projet'!$A$166,$DL$205^A7,IF(A7='Données projet'!$A$166,'Données projet'!$B$166,DO6+DN7-DW6)))</f>
        <v>2.873764756028137</v>
      </c>
      <c r="DP7" s="17">
        <f>DO7*VLOOKUP('Données projet'!$B$14,Paramètres!$A$1:$I$89,3,0)*VLOOKUP('Données projet'!$B$14,Paramètres!$A$1:$I$89,5,0)</f>
        <v>1.6587370171794407</v>
      </c>
      <c r="DQ7" s="13">
        <f t="shared" si="43"/>
        <v>0.72068834102117663</v>
      </c>
      <c r="DR7" s="20">
        <f t="shared" si="16"/>
        <v>4.1441658321994082</v>
      </c>
      <c r="DS7" s="59">
        <f t="shared" si="17"/>
        <v>180.23028789637635</v>
      </c>
      <c r="DT7" s="59">
        <f ca="1">AVERAGE(OFFSET($DS$3,0,0,'Données projet'!$E$14+1,1))-AVERAGE(OFFSET($H$3,0,0,'Données projet'!$E$14+1,1))</f>
        <v>243.65374431792841</v>
      </c>
      <c r="DU7" s="59">
        <f t="shared" si="44"/>
        <v>271.60754570002939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2.1</v>
      </c>
      <c r="EJ7" s="12">
        <f>IF('Données projet'!$A$192&gt;35,EJ6+EI7-ER6,IF(A7&lt;'Données projet'!$A$192,$EG$205^A7,IF(A7='Données projet'!$A$192,'Données projet'!$B$192,EJ6+EI7-ER6)))</f>
        <v>2.1117857649667546</v>
      </c>
      <c r="EK7" s="17">
        <f>EJ7*VLOOKUP('Données projet'!$B$15,Paramètres!$A$1:$I$89,3,0)*VLOOKUP('Données projet'!$B$15,Paramètres!$A$1:$I$89,5,0)</f>
        <v>1.4165858911396991</v>
      </c>
      <c r="EL7" s="13">
        <f t="shared" si="45"/>
        <v>0.62688849849634942</v>
      </c>
      <c r="EM7" s="20">
        <f t="shared" si="19"/>
        <v>3.5590512286161178</v>
      </c>
      <c r="EN7" s="59">
        <f t="shared" si="20"/>
        <v>179.64517329279306</v>
      </c>
      <c r="EO7" s="59">
        <f ca="1">AVERAGE(OFFSET($EN$3,0,0,'Données projet'!$E$15+1,1))-AVERAGE(OFFSET($H$3,0,0,'Données projet'!$E$15+1,1))</f>
        <v>321.44781099085594</v>
      </c>
      <c r="EP7" s="59">
        <f t="shared" si="46"/>
        <v>201.22243186578183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0.6</v>
      </c>
      <c r="FE7" s="12">
        <f>IF('Données projet'!$A$218&gt;35,FE6+FD7-FM6,IF(A7&lt;'Données projet'!$A$218,$FB$205^A7,IF(A7='Données projet'!$A$218,'Données projet'!$B$218,FE6+FD7-FM6)))</f>
        <v>1.796654912379124</v>
      </c>
      <c r="FF7" s="17">
        <f>FE7*VLOOKUP('Données projet'!$B$16,Paramètres!$A$1:$I$89,3,0)*VLOOKUP('Données projet'!$B$16,Paramètres!$A$1:$I$89,5,0)</f>
        <v>1.5695577314544029</v>
      </c>
      <c r="FG7" s="13">
        <f t="shared" si="47"/>
        <v>0.68634248424879218</v>
      </c>
      <c r="FH7" s="20">
        <f t="shared" si="22"/>
        <v>3.9290262090163979</v>
      </c>
      <c r="FI7" s="59">
        <f t="shared" si="23"/>
        <v>180.01514827319335</v>
      </c>
      <c r="FJ7" s="59">
        <f ca="1">AVERAGE(OFFSET($FI$3,0,0,'Données projet'!$E$16+1,1))-AVERAGE(OFFSET($H$3,0,0,'Données projet'!$E$16+1,1))</f>
        <v>285.8437404763045</v>
      </c>
      <c r="FK7" s="59">
        <f t="shared" si="48"/>
        <v>276.01618888357268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2.4666666666666668</v>
      </c>
      <c r="FZ7" s="12">
        <f>IF('Données projet'!$A$244&gt;35,FZ6+FY7-GH6,IF(A7&lt;'Données projet'!$A$244,$FW$205^A7,IF(A7='Données projet'!$A$244,'Données projet'!$B$244,FZ6+FY7-GH6)))</f>
        <v>2.6193113595857573</v>
      </c>
      <c r="GA7" s="17">
        <f>FZ7*VLOOKUP('Données projet'!$B$17,Paramètres!$A$1:$I$89,3,0)*VLOOKUP('Données projet'!$B$17,Paramètres!$A$1:$I$89,5,0)</f>
        <v>2.0839241176864287</v>
      </c>
      <c r="GB7" s="13">
        <f t="shared" si="49"/>
        <v>0.88169040068036508</v>
      </c>
      <c r="GC7" s="20">
        <f t="shared" si="25"/>
        <v>5.1651119528221656</v>
      </c>
      <c r="GD7" s="59">
        <f t="shared" si="26"/>
        <v>181.25123401699912</v>
      </c>
      <c r="GE7" s="59">
        <f ca="1">AVERAGE(OFFSET($GD$3,0,0,'Données projet'!$E$17+1,1))-AVERAGE(OFFSET($H$3,0,0,'Données projet'!$E$17+1,1))</f>
        <v>323.01113210765487</v>
      </c>
      <c r="GF7" s="59">
        <f t="shared" si="50"/>
        <v>311.68541696405975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0.6</v>
      </c>
      <c r="GU7" s="12">
        <f>IF('Données projet'!$A$270&gt;35,GU6+GT7-HC6,IF(A7&lt;'Données projet'!$A$270,$GR$205^A7,IF(A7='Données projet'!$A$270,'Données projet'!$B$270,GU6+GT7-HC6)))</f>
        <v>1.796654912379124</v>
      </c>
      <c r="GV7" s="17">
        <f>GU7*VLOOKUP('Données projet'!$B$18,Paramètres!$A$1:$I$89,3,0)*VLOOKUP('Données projet'!$B$18,Paramètres!$A$1:$I$89,5,0)</f>
        <v>1.5695577314544029</v>
      </c>
      <c r="GW7" s="13">
        <f t="shared" si="51"/>
        <v>0.68634248424879218</v>
      </c>
      <c r="GX7" s="20">
        <f t="shared" si="28"/>
        <v>3.9290262090163979</v>
      </c>
      <c r="GY7" s="59">
        <f t="shared" si="29"/>
        <v>180.01514827319335</v>
      </c>
      <c r="GZ7" s="59">
        <f ca="1">AVERAGE(OFFSET($GY$3,0,0,'Données projet'!$E$18+1,1))-AVERAGE(OFFSET($H$3,0,0,'Données projet'!$E$18+1,1))</f>
        <v>285.8437404763045</v>
      </c>
      <c r="HA7" s="59">
        <f t="shared" si="52"/>
        <v>276.01618888357268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1.2</v>
      </c>
      <c r="N8" s="13">
        <f>IF('Données projet'!$A$36&gt;35,N7+M8-V7,IF(A8&lt;'Données projet'!$A$36,$K$205^A8,IF(A8='Données projet'!$A$36,'Données projet'!$B$36,N7+M8-V7)))</f>
        <v>1.9743504858348202</v>
      </c>
      <c r="O8" s="13">
        <f>N8*VLOOKUP('Données projet'!$B$9,Paramètres!$A$1:$I$89,3,0)*VLOOKUP('Données projet'!$B$9,Paramètres!$A$1:$I$89,5,0)</f>
        <v>1.7863923195833453</v>
      </c>
      <c r="P8" s="13">
        <f t="shared" si="33"/>
        <v>0.76948259905993732</v>
      </c>
      <c r="Q8" s="20">
        <f t="shared" si="2"/>
        <v>4.4514821499703841</v>
      </c>
      <c r="R8" s="59">
        <f t="shared" si="0"/>
        <v>183.24253002641774</v>
      </c>
      <c r="S8" s="59">
        <f ca="1">AVERAGE(OFFSET($R$3,0,0,'Données projet'!$E$9+1,1))-AVERAGE(OFFSET($H$3,0,0,'Données projet'!$E$9+1,1))</f>
        <v>315.34103933739129</v>
      </c>
      <c r="T8" s="59">
        <f t="shared" si="34"/>
        <v>165.80901858372513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7.1952941176470588</v>
      </c>
      <c r="AI8" s="13">
        <f>IF('Données projet'!$A$62&gt;35,AI7+AH8-AQ7,IF(A8&lt;'Données projet'!$A$62,$AF$205^A8,IF(A8='Données projet'!$A$62,'Données projet'!$B$62,AI7+AH8-AQ7)))</f>
        <v>4.1112117397355483</v>
      </c>
      <c r="AJ8" s="13">
        <f>AI8*VLOOKUP('Données projet'!$B$10,Paramètres!$A$1:$I$89,3,0)*VLOOKUP('Données projet'!$B$10,Paramètres!$A$1:$I$89,5,0)</f>
        <v>2.4585046203618579</v>
      </c>
      <c r="AK8" s="13">
        <f t="shared" si="35"/>
        <v>1.0203495703161323</v>
      </c>
      <c r="AL8" s="20">
        <f t="shared" si="4"/>
        <v>6.0590043820974993</v>
      </c>
      <c r="AM8" s="59">
        <f t="shared" si="5"/>
        <v>184.85005225854485</v>
      </c>
      <c r="AN8" s="59">
        <f ca="1">AVERAGE(OFFSET($AM$3,0,0,'Données projet'!$E$10+1,1))-AVERAGE(OFFSET($H$3,0,0,'Données projet'!$E$10+1,1))</f>
        <v>317.328615425664</v>
      </c>
      <c r="AO8" s="59">
        <f t="shared" si="36"/>
        <v>324.95872842255744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5.654583333333334</v>
      </c>
      <c r="BD8" s="12">
        <f>IF('Données projet'!$A$88&gt;35,BD7+BC8-BL7,IF(A8&lt;'Données projet'!$A$88,$BA$205^A8,IF(A8='Données projet'!$A$88,'Données projet'!$B$88,BD7+BC8-BL7)))</f>
        <v>2.7815965275674723</v>
      </c>
      <c r="BE8" s="13">
        <f>BD8*VLOOKUP('Données projet'!$B$11,Paramètres!$A$1:$I$89,3,0)*VLOOKUP('Données projet'!$B$11,Paramètres!$A$1:$I$89,5,0)</f>
        <v>3.2043991997577277</v>
      </c>
      <c r="BF8" s="13">
        <f t="shared" si="37"/>
        <v>1.2895250217372305</v>
      </c>
      <c r="BG8" s="20">
        <f t="shared" si="7"/>
        <v>7.8269180191037195</v>
      </c>
      <c r="BH8" s="59">
        <f t="shared" si="8"/>
        <v>186.61796589555107</v>
      </c>
      <c r="BI8" s="59">
        <f ca="1">AVERAGE(OFFSET($BH$3,0,0,'Données projet'!$E$11+1,1))-AVERAGE(OFFSET($H$3,0,0,'Données projet'!$E$11+1,1))</f>
        <v>418.31716673276725</v>
      </c>
      <c r="BJ8" s="59">
        <f t="shared" si="38"/>
        <v>472.37891533957929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0.53933333333333333</v>
      </c>
      <c r="BY8" s="12">
        <f>IF('Données projet'!$A$114&gt;35,BY7+BX8-CG7,IF(A8&lt;'Données projet'!$A$114,$BV$205^A8,IF(A8='Données projet'!$A$114,'Données projet'!$B$114,BY7+BX8-CG7)))</f>
        <v>2.007472049473674</v>
      </c>
      <c r="BZ8" s="13">
        <f>BY8*VLOOKUP('Données projet'!$B$12,Paramètres!$A$1:$I$89,3,0)*VLOOKUP('Données projet'!$B$12,Paramètres!$A$1:$I$89,5,0)</f>
        <v>1.1743711489420994</v>
      </c>
      <c r="CA8" s="13">
        <f t="shared" si="39"/>
        <v>0.53116823171060823</v>
      </c>
      <c r="CB8" s="20">
        <f t="shared" si="10"/>
        <v>2.970481087970132</v>
      </c>
      <c r="CC8" s="59">
        <f t="shared" si="11"/>
        <v>181.76152896441749</v>
      </c>
      <c r="CD8" s="59">
        <f ca="1">AVERAGE(OFFSET($CC$3,0,0,'Données projet'!$E$12+1,1))-AVERAGE(OFFSET($H$3,0,0,'Données projet'!$E$12+1,1))</f>
        <v>184.11352167663844</v>
      </c>
      <c r="CE8" s="59">
        <f t="shared" si="40"/>
        <v>145.86653500981791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2.1790000000000003</v>
      </c>
      <c r="CT8" s="12">
        <f>IF('Données projet'!$A$140&gt;35,CT7+CS8-DB7,IF(A8&lt;'Données projet'!$A$140,$CQ$205^A8,IF(A8='Données projet'!$A$140,'Données projet'!$B$140,CT7+CS8-DB7)))</f>
        <v>2.0070725940811895</v>
      </c>
      <c r="CU8" s="17">
        <f>CT8*VLOOKUP('Données projet'!$B$13,Paramètres!$A$1:$I$89,3,0)*VLOOKUP('Données projet'!$B$13,Paramètres!$A$1:$I$89,5,0)</f>
        <v>0.96540191775305217</v>
      </c>
      <c r="CV8" s="13">
        <f t="shared" si="41"/>
        <v>0.44672493320945128</v>
      </c>
      <c r="CW8" s="20">
        <f t="shared" si="13"/>
        <v>2.45945426542636</v>
      </c>
      <c r="CX8" s="59">
        <f t="shared" si="14"/>
        <v>181.25050214187371</v>
      </c>
      <c r="CY8" s="59">
        <f ca="1">AVERAGE(OFFSET($CX$3,0,0,'Données projet'!$E$13+1,1))-AVERAGE(OFFSET($H$3,0,0,'Données projet'!$E$13+1,1))</f>
        <v>303.76035885073708</v>
      </c>
      <c r="CZ8" s="59">
        <f t="shared" si="42"/>
        <v>127.43112562890414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1.4</v>
      </c>
      <c r="DO8" s="12">
        <f>IF('Données projet'!$A$166&gt;35,DO7+DN8-DW7,IF(A8&lt;'Données projet'!$A$166,$DL$205^A8,IF(A8='Données projet'!$A$166,'Données projet'!$B$166,DO7+DN8-DW7)))</f>
        <v>3.7416573867739413</v>
      </c>
      <c r="DP8" s="17">
        <f>DO8*VLOOKUP('Données projet'!$B$14,Paramètres!$A$1:$I$89,3,0)*VLOOKUP('Données projet'!$B$14,Paramètres!$A$1:$I$89,5,0)</f>
        <v>2.1596846436459192</v>
      </c>
      <c r="DQ8" s="13">
        <f t="shared" si="43"/>
        <v>0.90995385564804943</v>
      </c>
      <c r="DR8" s="20">
        <f t="shared" si="16"/>
        <v>5.3462870529369964</v>
      </c>
      <c r="DS8" s="59">
        <f t="shared" si="17"/>
        <v>184.13733492938434</v>
      </c>
      <c r="DT8" s="59">
        <f ca="1">AVERAGE(OFFSET($DS$3,0,0,'Données projet'!$E$14+1,1))-AVERAGE(OFFSET($H$3,0,0,'Données projet'!$E$14+1,1))</f>
        <v>243.65374431792841</v>
      </c>
      <c r="DU8" s="59">
        <f t="shared" si="44"/>
        <v>271.60754570002939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2.1</v>
      </c>
      <c r="EJ8" s="12">
        <f>IF('Données projet'!$A$192&gt;35,EJ7+EI8-ER7,IF(A8&lt;'Données projet'!$A$192,$EG$205^A8,IF(A8='Données projet'!$A$192,'Données projet'!$B$192,EJ7+EI8-ER7)))</f>
        <v>2.5457298950218314</v>
      </c>
      <c r="EK8" s="17">
        <f>EJ8*VLOOKUP('Données projet'!$B$15,Paramètres!$A$1:$I$89,3,0)*VLOOKUP('Données projet'!$B$15,Paramètres!$A$1:$I$89,5,0)</f>
        <v>1.7076756135806446</v>
      </c>
      <c r="EL8" s="13">
        <f t="shared" si="45"/>
        <v>0.73944428304023568</v>
      </c>
      <c r="EM8" s="20">
        <f t="shared" si="19"/>
        <v>4.2620671532813672</v>
      </c>
      <c r="EN8" s="59">
        <f t="shared" si="20"/>
        <v>183.05311502972873</v>
      </c>
      <c r="EO8" s="59">
        <f ca="1">AVERAGE(OFFSET($EN$3,0,0,'Données projet'!$E$15+1,1))-AVERAGE(OFFSET($H$3,0,0,'Données projet'!$E$15+1,1))</f>
        <v>321.44781099085594</v>
      </c>
      <c r="EP8" s="59">
        <f t="shared" si="46"/>
        <v>201.22243186578183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0.6</v>
      </c>
      <c r="FE8" s="12">
        <f>IF('Données projet'!$A$218&gt;35,FE7+FD8-FM7,IF(A8&lt;'Données projet'!$A$218,$FB$205^A8,IF(A8='Données projet'!$A$218,'Données projet'!$B$218,FE7+FD8-FM7)))</f>
        <v>2.0800838230519041</v>
      </c>
      <c r="FF8" s="17">
        <f>FE8*VLOOKUP('Données projet'!$B$16,Paramètres!$A$1:$I$89,3,0)*VLOOKUP('Données projet'!$B$16,Paramètres!$A$1:$I$89,5,0)</f>
        <v>1.8171612278181437</v>
      </c>
      <c r="FG8" s="13">
        <f t="shared" si="47"/>
        <v>0.78118182019192373</v>
      </c>
      <c r="FH8" s="20">
        <f t="shared" si="22"/>
        <v>4.5254474752842002</v>
      </c>
      <c r="FI8" s="59">
        <f t="shared" si="23"/>
        <v>183.31649535173156</v>
      </c>
      <c r="FJ8" s="59">
        <f ca="1">AVERAGE(OFFSET($FI$3,0,0,'Données projet'!$E$16+1,1))-AVERAGE(OFFSET($H$3,0,0,'Données projet'!$E$16+1,1))</f>
        <v>285.8437404763045</v>
      </c>
      <c r="FK8" s="59">
        <f t="shared" si="48"/>
        <v>276.01618888357268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2.4666666666666668</v>
      </c>
      <c r="FZ8" s="12">
        <f>IF('Données projet'!$A$244&gt;35,FZ7+FY8-GH7,IF(A8&lt;'Données projet'!$A$244,$FW$205^A8,IF(A8='Données projet'!$A$244,'Données projet'!$B$244,FZ7+FY8-GH7)))</f>
        <v>3.332221851645953</v>
      </c>
      <c r="GA8" s="17">
        <f>FZ8*VLOOKUP('Données projet'!$B$17,Paramètres!$A$1:$I$89,3,0)*VLOOKUP('Données projet'!$B$17,Paramètres!$A$1:$I$89,5,0)</f>
        <v>2.6511157051695204</v>
      </c>
      <c r="GB8" s="13">
        <f t="shared" si="49"/>
        <v>1.0906707059957799</v>
      </c>
      <c r="GC8" s="20">
        <f t="shared" si="25"/>
        <v>6.5169446661128978</v>
      </c>
      <c r="GD8" s="59">
        <f t="shared" si="26"/>
        <v>185.30799254256024</v>
      </c>
      <c r="GE8" s="59">
        <f ca="1">AVERAGE(OFFSET($GD$3,0,0,'Données projet'!$E$17+1,1))-AVERAGE(OFFSET($H$3,0,0,'Données projet'!$E$17+1,1))</f>
        <v>323.01113210765487</v>
      </c>
      <c r="GF8" s="59">
        <f t="shared" si="50"/>
        <v>311.68541696405975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0.6</v>
      </c>
      <c r="GU8" s="12">
        <f>IF('Données projet'!$A$270&gt;35,GU7+GT8-HC7,IF(A8&lt;'Données projet'!$A$270,$GR$205^A8,IF(A8='Données projet'!$A$270,'Données projet'!$B$270,GU7+GT8-HC7)))</f>
        <v>2.0800838230519041</v>
      </c>
      <c r="GV8" s="17">
        <f>GU8*VLOOKUP('Données projet'!$B$18,Paramètres!$A$1:$I$89,3,0)*VLOOKUP('Données projet'!$B$18,Paramètres!$A$1:$I$89,5,0)</f>
        <v>1.8171612278181437</v>
      </c>
      <c r="GW8" s="13">
        <f t="shared" si="51"/>
        <v>0.78118182019192373</v>
      </c>
      <c r="GX8" s="20">
        <f t="shared" si="28"/>
        <v>4.5254474752842002</v>
      </c>
      <c r="GY8" s="59">
        <f t="shared" si="29"/>
        <v>183.31649535173156</v>
      </c>
      <c r="GZ8" s="59">
        <f ca="1">AVERAGE(OFFSET($GY$3,0,0,'Données projet'!$E$18+1,1))-AVERAGE(OFFSET($H$3,0,0,'Données projet'!$E$18+1,1))</f>
        <v>285.8437404763045</v>
      </c>
      <c r="HA8" s="59">
        <f t="shared" si="52"/>
        <v>276.01618888357268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1.2</v>
      </c>
      <c r="N9" s="13">
        <f>IF('Données projet'!$A$36&gt;35,N8+M9-V8,IF(A9&lt;'Données projet'!$A$36,$K$205^A9,IF(A9='Données projet'!$A$36,'Données projet'!$B$36,N8+M9-V8)))</f>
        <v>2.2620859438457455</v>
      </c>
      <c r="O9" s="13">
        <f>N9*VLOOKUP('Données projet'!$B$9,Paramètres!$A$1:$I$89,3,0)*VLOOKUP('Données projet'!$B$9,Paramètres!$A$1:$I$89,5,0)</f>
        <v>2.0467353619916304</v>
      </c>
      <c r="P9" s="13">
        <f t="shared" si="33"/>
        <v>0.86777308699666067</v>
      </c>
      <c r="Q9" s="20">
        <f t="shared" si="2"/>
        <v>5.0761022153212734</v>
      </c>
      <c r="R9" s="59">
        <f t="shared" si="0"/>
        <v>186.54635431158025</v>
      </c>
      <c r="S9" s="59">
        <f ca="1">AVERAGE(OFFSET($R$3,0,0,'Données projet'!$E$9+1,1))-AVERAGE(OFFSET($H$3,0,0,'Données projet'!$E$9+1,1))</f>
        <v>315.34103933739129</v>
      </c>
      <c r="T9" s="59">
        <f t="shared" si="34"/>
        <v>165.80901858372513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7.1952941176470588</v>
      </c>
      <c r="AI9" s="13">
        <f>IF('Données projet'!$A$62&gt;35,AI8+AH9-AQ8,IF(A9&lt;'Données projet'!$A$62,$AF$205^A9,IF(A9='Données projet'!$A$62,'Données projet'!$B$62,AI8+AH9-AQ8)))</f>
        <v>5.4546113745763272</v>
      </c>
      <c r="AJ9" s="13">
        <f>AI9*VLOOKUP('Données projet'!$B$10,Paramètres!$A$1:$I$89,3,0)*VLOOKUP('Données projet'!$B$10,Paramètres!$A$1:$I$89,5,0)</f>
        <v>3.2618576019966441</v>
      </c>
      <c r="AK9" s="13">
        <f t="shared" si="35"/>
        <v>1.3099349720938758</v>
      </c>
      <c r="AL9" s="20">
        <f t="shared" si="4"/>
        <v>7.962538733207654</v>
      </c>
      <c r="AM9" s="59">
        <f t="shared" si="5"/>
        <v>189.43279082946663</v>
      </c>
      <c r="AN9" s="59">
        <f ca="1">AVERAGE(OFFSET($AM$3,0,0,'Données projet'!$E$10+1,1))-AVERAGE(OFFSET($H$3,0,0,'Données projet'!$E$10+1,1))</f>
        <v>317.328615425664</v>
      </c>
      <c r="AO9" s="59">
        <f t="shared" si="36"/>
        <v>324.95872842255744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5.654583333333334</v>
      </c>
      <c r="BD9" s="12">
        <f>IF('Données projet'!$A$88&gt;35,BD8+BC9-BL8,IF(A9&lt;'Données projet'!$A$88,$BA$205^A9,IF(A9='Données projet'!$A$88,'Données projet'!$B$88,BD8+BC9-BL8)))</f>
        <v>3.4131310415746263</v>
      </c>
      <c r="BE9" s="13">
        <f>BD9*VLOOKUP('Données projet'!$B$11,Paramètres!$A$1:$I$89,3,0)*VLOOKUP('Données projet'!$B$11,Paramètres!$A$1:$I$89,5,0)</f>
        <v>3.9319269598939695</v>
      </c>
      <c r="BF9" s="13">
        <f t="shared" si="37"/>
        <v>1.5450602985812327</v>
      </c>
      <c r="BG9" s="20">
        <f t="shared" si="7"/>
        <v>9.5390861418443098</v>
      </c>
      <c r="BH9" s="59">
        <f t="shared" si="8"/>
        <v>191.00933823810328</v>
      </c>
      <c r="BI9" s="59">
        <f ca="1">AVERAGE(OFFSET($BH$3,0,0,'Données projet'!$E$11+1,1))-AVERAGE(OFFSET($H$3,0,0,'Données projet'!$E$11+1,1))</f>
        <v>418.31716673276725</v>
      </c>
      <c r="BJ9" s="59">
        <f t="shared" si="38"/>
        <v>472.37891533957929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0.53933333333333333</v>
      </c>
      <c r="BY9" s="12">
        <f>IF('Données projet'!$A$114&gt;35,BY8+BX9-CG8,IF(A9&lt;'Données projet'!$A$114,$BV$205^A9,IF(A9='Données projet'!$A$114,'Données projet'!$B$114,BY8+BX9-CG8)))</f>
        <v>2.3077003113082073</v>
      </c>
      <c r="BZ9" s="13">
        <f>BY9*VLOOKUP('Données projet'!$B$12,Paramètres!$A$1:$I$89,3,0)*VLOOKUP('Données projet'!$B$12,Paramètres!$A$1:$I$89,5,0)</f>
        <v>1.3500046821153013</v>
      </c>
      <c r="CA9" s="13">
        <f t="shared" si="39"/>
        <v>0.60078117179210067</v>
      </c>
      <c r="CB9" s="20">
        <f t="shared" si="10"/>
        <v>3.3976186955553911</v>
      </c>
      <c r="CC9" s="59">
        <f t="shared" si="11"/>
        <v>184.86787079181437</v>
      </c>
      <c r="CD9" s="59">
        <f ca="1">AVERAGE(OFFSET($CC$3,0,0,'Données projet'!$E$12+1,1))-AVERAGE(OFFSET($H$3,0,0,'Données projet'!$E$12+1,1))</f>
        <v>184.11352167663844</v>
      </c>
      <c r="CE9" s="59">
        <f t="shared" si="40"/>
        <v>145.86653500981791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2.1790000000000003</v>
      </c>
      <c r="CT9" s="12">
        <f>IF('Données projet'!$A$140&gt;35,CT8+CS9-DB8,IF(A9&lt;'Données projet'!$A$140,$CQ$205^A9,IF(A9='Données projet'!$A$140,'Données projet'!$B$140,CT8+CS9-DB8)))</f>
        <v>2.307149286954953</v>
      </c>
      <c r="CU9" s="17">
        <f>CT9*VLOOKUP('Données projet'!$B$13,Paramètres!$A$1:$I$89,3,0)*VLOOKUP('Données projet'!$B$13,Paramètres!$A$1:$I$89,5,0)</f>
        <v>1.1097388070253325</v>
      </c>
      <c r="CV9" s="13">
        <f t="shared" si="41"/>
        <v>0.50525327845271972</v>
      </c>
      <c r="CW9" s="20">
        <f t="shared" si="13"/>
        <v>2.8127778822076075</v>
      </c>
      <c r="CX9" s="59">
        <f t="shared" si="14"/>
        <v>184.28302997846657</v>
      </c>
      <c r="CY9" s="59">
        <f ca="1">AVERAGE(OFFSET($CX$3,0,0,'Données projet'!$E$13+1,1))-AVERAGE(OFFSET($H$3,0,0,'Données projet'!$E$13+1,1))</f>
        <v>303.76035885073708</v>
      </c>
      <c r="CZ9" s="59">
        <f t="shared" si="42"/>
        <v>127.43112562890414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1.4</v>
      </c>
      <c r="DO9" s="12">
        <f>IF('Données projet'!$A$166&gt;35,DO8+DN9-DW8,IF(A9&lt;'Données projet'!$A$166,$DL$205^A9,IF(A9='Données projet'!$A$166,'Données projet'!$B$166,DO8+DN9-DW8)))</f>
        <v>4.8716583257669139</v>
      </c>
      <c r="DP9" s="17">
        <f>DO9*VLOOKUP('Données projet'!$B$14,Paramètres!$A$1:$I$89,3,0)*VLOOKUP('Données projet'!$B$14,Paramètres!$A$1:$I$89,5,0)</f>
        <v>2.8119211856326629</v>
      </c>
      <c r="DQ9" s="13">
        <f t="shared" si="43"/>
        <v>1.1489238444394658</v>
      </c>
      <c r="DR9" s="20">
        <f t="shared" si="16"/>
        <v>6.8984717607089578</v>
      </c>
      <c r="DS9" s="59">
        <f t="shared" si="17"/>
        <v>188.36872385696793</v>
      </c>
      <c r="DT9" s="59">
        <f ca="1">AVERAGE(OFFSET($DS$3,0,0,'Données projet'!$E$14+1,1))-AVERAGE(OFFSET($H$3,0,0,'Données projet'!$E$14+1,1))</f>
        <v>243.65374431792841</v>
      </c>
      <c r="DU9" s="59">
        <f t="shared" si="44"/>
        <v>271.60754570002939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2.1</v>
      </c>
      <c r="EJ9" s="12">
        <f>IF('Données projet'!$A$192&gt;35,EJ8+EI9-ER8,IF(A9&lt;'Données projet'!$A$192,$EG$205^A9,IF(A9='Données projet'!$A$192,'Données projet'!$B$192,EJ8+EI9-ER8)))</f>
        <v>3.0688438220956993</v>
      </c>
      <c r="EK9" s="17">
        <f>EJ9*VLOOKUP('Données projet'!$B$15,Paramètres!$A$1:$I$89,3,0)*VLOOKUP('Données projet'!$B$15,Paramètres!$A$1:$I$89,5,0)</f>
        <v>2.0585804358617952</v>
      </c>
      <c r="EL9" s="13">
        <f t="shared" si="45"/>
        <v>0.87220909146105896</v>
      </c>
      <c r="EM9" s="20">
        <f t="shared" si="19"/>
        <v>5.104458426753971</v>
      </c>
      <c r="EN9" s="59">
        <f t="shared" si="20"/>
        <v>186.57471052301295</v>
      </c>
      <c r="EO9" s="59">
        <f ca="1">AVERAGE(OFFSET($EN$3,0,0,'Données projet'!$E$15+1,1))-AVERAGE(OFFSET($H$3,0,0,'Données projet'!$E$15+1,1))</f>
        <v>321.44781099085594</v>
      </c>
      <c r="EP9" s="59">
        <f t="shared" si="46"/>
        <v>201.22243186578183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0.6</v>
      </c>
      <c r="FE9" s="12">
        <f>IF('Données projet'!$A$218&gt;35,FE8+FD9-FM8,IF(A9&lt;'Données projet'!$A$218,$FB$205^A9,IF(A9='Données projet'!$A$218,'Données projet'!$B$218,FE8+FD9-FM8)))</f>
        <v>2.4082246852806919</v>
      </c>
      <c r="FF9" s="17">
        <f>FE9*VLOOKUP('Données projet'!$B$16,Paramètres!$A$1:$I$89,3,0)*VLOOKUP('Données projet'!$B$16,Paramètres!$A$1:$I$89,5,0)</f>
        <v>2.1038250850612128</v>
      </c>
      <c r="FG9" s="13">
        <f t="shared" si="47"/>
        <v>0.88912612901456256</v>
      </c>
      <c r="FH9" s="20">
        <f t="shared" si="22"/>
        <v>5.2127233645153082</v>
      </c>
      <c r="FI9" s="59">
        <f t="shared" si="23"/>
        <v>186.68297546077429</v>
      </c>
      <c r="FJ9" s="59">
        <f ca="1">AVERAGE(OFFSET($FI$3,0,0,'Données projet'!$E$16+1,1))-AVERAGE(OFFSET($H$3,0,0,'Données projet'!$E$16+1,1))</f>
        <v>285.8437404763045</v>
      </c>
      <c r="FK9" s="59">
        <f t="shared" si="48"/>
        <v>276.01618888357268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2.4666666666666668</v>
      </c>
      <c r="FZ9" s="12">
        <f>IF('Données projet'!$A$244&gt;35,FZ8+FY9-GH8,IF(A9&lt;'Données projet'!$A$244,$FW$205^A9,IF(A9='Données projet'!$A$244,'Données projet'!$B$244,FZ8+FY9-GH8)))</f>
        <v>4.2391685997738069</v>
      </c>
      <c r="GA9" s="17">
        <f>FZ9*VLOOKUP('Données projet'!$B$17,Paramètres!$A$1:$I$89,3,0)*VLOOKUP('Données projet'!$B$17,Paramètres!$A$1:$I$89,5,0)</f>
        <v>3.3726825379800407</v>
      </c>
      <c r="GB9" s="13">
        <f t="shared" si="49"/>
        <v>1.3491840083541735</v>
      </c>
      <c r="GC9" s="20">
        <f t="shared" si="25"/>
        <v>8.2239175681987557</v>
      </c>
      <c r="GD9" s="59">
        <f t="shared" si="26"/>
        <v>189.69416966445772</v>
      </c>
      <c r="GE9" s="59">
        <f ca="1">AVERAGE(OFFSET($GD$3,0,0,'Données projet'!$E$17+1,1))-AVERAGE(OFFSET($H$3,0,0,'Données projet'!$E$17+1,1))</f>
        <v>323.01113210765487</v>
      </c>
      <c r="GF9" s="59">
        <f t="shared" si="50"/>
        <v>311.68541696405975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0.6</v>
      </c>
      <c r="GU9" s="12">
        <f>IF('Données projet'!$A$270&gt;35,GU8+GT9-HC8,IF(A9&lt;'Données projet'!$A$270,$GR$205^A9,IF(A9='Données projet'!$A$270,'Données projet'!$B$270,GU8+GT9-HC8)))</f>
        <v>2.4082246852806919</v>
      </c>
      <c r="GV9" s="17">
        <f>GU9*VLOOKUP('Données projet'!$B$18,Paramètres!$A$1:$I$89,3,0)*VLOOKUP('Données projet'!$B$18,Paramètres!$A$1:$I$89,5,0)</f>
        <v>2.1038250850612128</v>
      </c>
      <c r="GW9" s="13">
        <f t="shared" si="51"/>
        <v>0.88912612901456256</v>
      </c>
      <c r="GX9" s="20">
        <f t="shared" si="28"/>
        <v>5.2127233645153082</v>
      </c>
      <c r="GY9" s="59">
        <f t="shared" si="29"/>
        <v>186.68297546077429</v>
      </c>
      <c r="GZ9" s="59">
        <f ca="1">AVERAGE(OFFSET($GY$3,0,0,'Données projet'!$E$18+1,1))-AVERAGE(OFFSET($H$3,0,0,'Données projet'!$E$18+1,1))</f>
        <v>285.8437404763045</v>
      </c>
      <c r="HA9" s="59">
        <f t="shared" si="52"/>
        <v>276.01618888357268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1.2</v>
      </c>
      <c r="N10" s="13">
        <f>IF('Données projet'!$A$36&gt;35,N9+M10-V9,IF(A10&lt;'Données projet'!$A$36,$K$205^A10,IF(A10='Données projet'!$A$36,'Données projet'!$B$36,N9+M10-V9)))</f>
        <v>2.5917550374450604</v>
      </c>
      <c r="O10" s="13">
        <f>N10*VLOOKUP('Données projet'!$B$9,Paramètres!$A$1:$I$89,3,0)*VLOOKUP('Données projet'!$B$9,Paramètres!$A$1:$I$89,5,0)</f>
        <v>2.3450199578802908</v>
      </c>
      <c r="P10" s="13">
        <f t="shared" si="33"/>
        <v>0.97861879064669866</v>
      </c>
      <c r="Q10" s="20">
        <f t="shared" si="2"/>
        <v>5.7886708203511725</v>
      </c>
      <c r="R10" s="59">
        <f t="shared" si="0"/>
        <v>189.91285175608741</v>
      </c>
      <c r="S10" s="59">
        <f ca="1">AVERAGE(OFFSET($R$3,0,0,'Données projet'!$E$9+1,1))-AVERAGE(OFFSET($H$3,0,0,'Données projet'!$E$9+1,1))</f>
        <v>315.34103933739129</v>
      </c>
      <c r="T10" s="59">
        <f t="shared" si="34"/>
        <v>165.80901858372513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7.1952941176470588</v>
      </c>
      <c r="AI10" s="13">
        <f>IF('Données projet'!$A$62&gt;35,AI9+AH10-AQ9,IF(A10&lt;'Données projet'!$A$62,$AF$205^A10,IF(A10='Données projet'!$A$62,'Données projet'!$B$62,AI9+AH10-AQ9)))</f>
        <v>7.2369868377470841</v>
      </c>
      <c r="AJ10" s="13">
        <f>AI10*VLOOKUP('Données projet'!$B$10,Paramètres!$A$1:$I$89,3,0)*VLOOKUP('Données projet'!$B$10,Paramètres!$A$1:$I$89,5,0)</f>
        <v>4.3277181289727569</v>
      </c>
      <c r="AK10" s="13">
        <f t="shared" si="35"/>
        <v>1.6817076039762937</v>
      </c>
      <c r="AL10" s="20">
        <f t="shared" si="4"/>
        <v>10.466416484886262</v>
      </c>
      <c r="AM10" s="59">
        <f t="shared" si="5"/>
        <v>194.59059742062249</v>
      </c>
      <c r="AN10" s="59">
        <f ca="1">AVERAGE(OFFSET($AM$3,0,0,'Données projet'!$E$10+1,1))-AVERAGE(OFFSET($H$3,0,0,'Données projet'!$E$10+1,1))</f>
        <v>317.328615425664</v>
      </c>
      <c r="AO10" s="59">
        <f t="shared" si="36"/>
        <v>324.95872842255744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5.654583333333334</v>
      </c>
      <c r="BD10" s="12">
        <f>IF('Données projet'!$A$88&gt;35,BD9+BC10-BL9,IF(A10&lt;'Données projet'!$A$88,$BA$205^A10,IF(A10='Données projet'!$A$88,'Données projet'!$B$88,BD9+BC10-BL9)))</f>
        <v>4.1880493419898821</v>
      </c>
      <c r="BE10" s="13">
        <f>BD10*VLOOKUP('Données projet'!$B$11,Paramètres!$A$1:$I$89,3,0)*VLOOKUP('Données projet'!$B$11,Paramètres!$A$1:$I$89,5,0)</f>
        <v>4.8246328419723437</v>
      </c>
      <c r="BF10" s="13">
        <f t="shared" si="37"/>
        <v>1.8512330400816177</v>
      </c>
      <c r="BG10" s="20">
        <f t="shared" si="7"/>
        <v>11.627133077910649</v>
      </c>
      <c r="BH10" s="59">
        <f t="shared" si="8"/>
        <v>195.75131401364689</v>
      </c>
      <c r="BI10" s="59">
        <f ca="1">AVERAGE(OFFSET($BH$3,0,0,'Données projet'!$E$11+1,1))-AVERAGE(OFFSET($H$3,0,0,'Données projet'!$E$11+1,1))</f>
        <v>418.31716673276725</v>
      </c>
      <c r="BJ10" s="59">
        <f t="shared" si="38"/>
        <v>472.37891533957929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0.53933333333333333</v>
      </c>
      <c r="BY10" s="12">
        <f>IF('Données projet'!$A$114&gt;35,BY9+BX10-CG9,IF(A10&lt;'Données projet'!$A$114,$BV$205^A10,IF(A10='Données projet'!$A$114,'Données projet'!$B$114,BY9+BX10-CG9)))</f>
        <v>2.652829327416165</v>
      </c>
      <c r="BZ10" s="13">
        <f>BY10*VLOOKUP('Données projet'!$B$12,Paramètres!$A$1:$I$89,3,0)*VLOOKUP('Données projet'!$B$12,Paramètres!$A$1:$I$89,5,0)</f>
        <v>1.5519051565384565</v>
      </c>
      <c r="CA10" s="13">
        <f t="shared" si="39"/>
        <v>0.67951732583385427</v>
      </c>
      <c r="CB10" s="20">
        <f t="shared" si="10"/>
        <v>3.8863941567984415</v>
      </c>
      <c r="CC10" s="59">
        <f t="shared" si="11"/>
        <v>188.01057509253468</v>
      </c>
      <c r="CD10" s="59">
        <f ca="1">AVERAGE(OFFSET($CC$3,0,0,'Données projet'!$E$12+1,1))-AVERAGE(OFFSET($H$3,0,0,'Données projet'!$E$12+1,1))</f>
        <v>184.11352167663844</v>
      </c>
      <c r="CE10" s="59">
        <f t="shared" si="40"/>
        <v>145.86653500981791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2.1790000000000003</v>
      </c>
      <c r="CT10" s="12">
        <f>IF('Données projet'!$A$140&gt;35,CT9+CS10-DB9,IF(A10&lt;'Données projet'!$A$140,$CQ$205^A10,IF(A10='Données projet'!$A$140,'Données projet'!$B$140,CT9+CS10-DB9)))</f>
        <v>2.6520903369384685</v>
      </c>
      <c r="CU10" s="17">
        <f>CT10*VLOOKUP('Données projet'!$B$13,Paramètres!$A$1:$I$89,3,0)*VLOOKUP('Données projet'!$B$13,Paramètres!$A$1:$I$89,5,0)</f>
        <v>1.2756554520674033</v>
      </c>
      <c r="CV10" s="13">
        <f t="shared" si="41"/>
        <v>0.57144980369280318</v>
      </c>
      <c r="CW10" s="20">
        <f t="shared" si="13"/>
        <v>3.2170416537823594</v>
      </c>
      <c r="CX10" s="59">
        <f t="shared" si="14"/>
        <v>187.34122258951859</v>
      </c>
      <c r="CY10" s="59">
        <f ca="1">AVERAGE(OFFSET($CX$3,0,0,'Données projet'!$E$13+1,1))-AVERAGE(OFFSET($H$3,0,0,'Données projet'!$E$13+1,1))</f>
        <v>303.76035885073708</v>
      </c>
      <c r="CZ10" s="59">
        <f t="shared" si="42"/>
        <v>127.43112562890414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1.4</v>
      </c>
      <c r="DO10" s="12">
        <f>IF('Données projet'!$A$166&gt;35,DO9+DN10-DW9,IF(A10&lt;'Données projet'!$A$166,$DL$205^A10,IF(A10='Données projet'!$A$166,'Données projet'!$B$166,DO9+DN10-DW9)))</f>
        <v>6.3429257117196256</v>
      </c>
      <c r="DP10" s="17">
        <f>DO10*VLOOKUP('Données projet'!$B$14,Paramètres!$A$1:$I$89,3,0)*VLOOKUP('Données projet'!$B$14,Paramètres!$A$1:$I$89,5,0)</f>
        <v>3.661136720804568</v>
      </c>
      <c r="DQ10" s="13">
        <f t="shared" si="43"/>
        <v>1.4506515820865094</v>
      </c>
      <c r="DR10" s="20">
        <f t="shared" si="16"/>
        <v>8.9030312942019592</v>
      </c>
      <c r="DS10" s="59">
        <f t="shared" si="17"/>
        <v>193.02721222993819</v>
      </c>
      <c r="DT10" s="59">
        <f ca="1">AVERAGE(OFFSET($DS$3,0,0,'Données projet'!$E$14+1,1))-AVERAGE(OFFSET($H$3,0,0,'Données projet'!$E$14+1,1))</f>
        <v>243.65374431792841</v>
      </c>
      <c r="DU10" s="59">
        <f t="shared" si="44"/>
        <v>271.60754570002939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2.1</v>
      </c>
      <c r="EJ10" s="12">
        <f>IF('Données projet'!$A$192&gt;35,EJ9+EI10-ER9,IF(A10&lt;'Données projet'!$A$192,$EG$205^A10,IF(A10='Données projet'!$A$192,'Données projet'!$B$192,EJ9+EI10-ER9)))</f>
        <v>3.6994507637402658</v>
      </c>
      <c r="EK10" s="17">
        <f>EJ10*VLOOKUP('Données projet'!$B$15,Paramètres!$A$1:$I$89,3,0)*VLOOKUP('Données projet'!$B$15,Paramètres!$A$1:$I$89,5,0)</f>
        <v>2.4815915723169706</v>
      </c>
      <c r="EL10" s="13">
        <f t="shared" si="45"/>
        <v>1.0288113880595531</v>
      </c>
      <c r="EM10" s="20">
        <f t="shared" si="19"/>
        <v>6.1139518226557783</v>
      </c>
      <c r="EN10" s="59">
        <f t="shared" si="20"/>
        <v>190.238132758392</v>
      </c>
      <c r="EO10" s="59">
        <f ca="1">AVERAGE(OFFSET($EN$3,0,0,'Données projet'!$E$15+1,1))-AVERAGE(OFFSET($H$3,0,0,'Données projet'!$E$15+1,1))</f>
        <v>321.44781099085594</v>
      </c>
      <c r="EP10" s="59">
        <f t="shared" si="46"/>
        <v>201.22243186578183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0.6</v>
      </c>
      <c r="FE10" s="12">
        <f>IF('Données projet'!$A$218&gt;35,FE9+FD10-FM9,IF(A10&lt;'Données projet'!$A$218,$FB$205^A10,IF(A10='Données projet'!$A$218,'Données projet'!$B$218,FE9+FD10-FM9)))</f>
        <v>2.788130973628832</v>
      </c>
      <c r="FF10" s="17">
        <f>FE10*VLOOKUP('Données projet'!$B$16,Paramètres!$A$1:$I$89,3,0)*VLOOKUP('Données projet'!$B$16,Paramètres!$A$1:$I$89,5,0)</f>
        <v>2.4357112185621479</v>
      </c>
      <c r="FG10" s="13">
        <f t="shared" si="47"/>
        <v>1.0119862660170416</v>
      </c>
      <c r="FH10" s="20">
        <f t="shared" si="22"/>
        <v>6.0047397856420881</v>
      </c>
      <c r="FI10" s="59">
        <f t="shared" si="23"/>
        <v>190.12892072137834</v>
      </c>
      <c r="FJ10" s="59">
        <f ca="1">AVERAGE(OFFSET($FI$3,0,0,'Données projet'!$E$16+1,1))-AVERAGE(OFFSET($H$3,0,0,'Données projet'!$E$16+1,1))</f>
        <v>285.8437404763045</v>
      </c>
      <c r="FK10" s="59">
        <f t="shared" si="48"/>
        <v>276.01618888357268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2.4666666666666668</v>
      </c>
      <c r="FZ10" s="12">
        <f>IF('Données projet'!$A$244&gt;35,FZ9+FY10-GH9,IF(A10&lt;'Données projet'!$A$244,$FW$205^A10,IF(A10='Données projet'!$A$244,'Données projet'!$B$244,FZ9+FY10-GH9)))</f>
        <v>5.3929633792034757</v>
      </c>
      <c r="GA10" s="17">
        <f>FZ10*VLOOKUP('Données projet'!$B$17,Paramètres!$A$1:$I$89,3,0)*VLOOKUP('Données projet'!$B$17,Paramètres!$A$1:$I$89,5,0)</f>
        <v>4.2906416644942853</v>
      </c>
      <c r="GB10" s="13">
        <f t="shared" si="49"/>
        <v>1.6689707336887791</v>
      </c>
      <c r="GC10" s="20">
        <f t="shared" si="25"/>
        <v>10.379658260168837</v>
      </c>
      <c r="GD10" s="59">
        <f t="shared" si="26"/>
        <v>194.50383919590507</v>
      </c>
      <c r="GE10" s="59">
        <f ca="1">AVERAGE(OFFSET($GD$3,0,0,'Données projet'!$E$17+1,1))-AVERAGE(OFFSET($H$3,0,0,'Données projet'!$E$17+1,1))</f>
        <v>323.01113210765487</v>
      </c>
      <c r="GF10" s="59">
        <f t="shared" si="50"/>
        <v>311.68541696405975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0.6</v>
      </c>
      <c r="GU10" s="12">
        <f>IF('Données projet'!$A$270&gt;35,GU9+GT10-HC9,IF(A10&lt;'Données projet'!$A$270,$GR$205^A10,IF(A10='Données projet'!$A$270,'Données projet'!$B$270,GU9+GT10-HC9)))</f>
        <v>2.788130973628832</v>
      </c>
      <c r="GV10" s="17">
        <f>GU10*VLOOKUP('Données projet'!$B$18,Paramètres!$A$1:$I$89,3,0)*VLOOKUP('Données projet'!$B$18,Paramètres!$A$1:$I$89,5,0)</f>
        <v>2.4357112185621479</v>
      </c>
      <c r="GW10" s="13">
        <f t="shared" si="51"/>
        <v>1.0119862660170416</v>
      </c>
      <c r="GX10" s="20">
        <f t="shared" si="28"/>
        <v>6.0047397856420881</v>
      </c>
      <c r="GY10" s="59">
        <f t="shared" si="29"/>
        <v>190.12892072137834</v>
      </c>
      <c r="GZ10" s="59">
        <f ca="1">AVERAGE(OFFSET($GY$3,0,0,'Données projet'!$E$18+1,1))-AVERAGE(OFFSET($H$3,0,0,'Données projet'!$E$18+1,1))</f>
        <v>285.8437404763045</v>
      </c>
      <c r="HA10" s="59">
        <f t="shared" si="52"/>
        <v>276.01618888357268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1.2</v>
      </c>
      <c r="N11" s="13">
        <f>IF('Données projet'!$A$36&gt;35,N10+M11-V10,IF(A11&lt;'Données projet'!$A$36,$K$205^A11,IF(A11='Données projet'!$A$36,'Données projet'!$B$36,N10+M11-V10)))</f>
        <v>2.9694690391391689</v>
      </c>
      <c r="O11" s="13">
        <f>N11*VLOOKUP('Données projet'!$B$9,Paramètres!$A$1:$I$89,3,0)*VLOOKUP('Données projet'!$B$9,Paramètres!$A$1:$I$89,5,0)</f>
        <v>2.6867755866131198</v>
      </c>
      <c r="P11" s="13">
        <f t="shared" si="33"/>
        <v>1.1036234607382931</v>
      </c>
      <c r="Q11" s="20">
        <f t="shared" si="2"/>
        <v>6.6016116741370441</v>
      </c>
      <c r="R11" s="59">
        <f t="shared" si="0"/>
        <v>193.3548845403576</v>
      </c>
      <c r="S11" s="59">
        <f ca="1">AVERAGE(OFFSET($R$3,0,0,'Données projet'!$E$9+1,1))-AVERAGE(OFFSET($H$3,0,0,'Données projet'!$E$9+1,1))</f>
        <v>315.34103933739129</v>
      </c>
      <c r="T11" s="59">
        <f t="shared" si="34"/>
        <v>165.80901858372513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7.1952941176470588</v>
      </c>
      <c r="AI11" s="13">
        <f>IF('Données projet'!$A$62&gt;35,AI10+AH11-AQ10,IF(A11&lt;'Données projet'!$A$62,$AF$205^A11,IF(A11='Données projet'!$A$62,'Données projet'!$B$62,AI10+AH11-AQ10)))</f>
        <v>9.6017800156830688</v>
      </c>
      <c r="AJ11" s="13">
        <f>AI11*VLOOKUP('Données projet'!$B$10,Paramètres!$A$1:$I$89,3,0)*VLOOKUP('Données projet'!$B$10,Paramètres!$A$1:$I$89,5,0)</f>
        <v>5.7418644493784763</v>
      </c>
      <c r="AK11" s="13">
        <f t="shared" si="35"/>
        <v>2.1589930229521412</v>
      </c>
      <c r="AL11" s="20">
        <f t="shared" si="4"/>
        <v>13.760660097642491</v>
      </c>
      <c r="AM11" s="59">
        <f t="shared" si="5"/>
        <v>200.51393296386306</v>
      </c>
      <c r="AN11" s="59">
        <f ca="1">AVERAGE(OFFSET($AM$3,0,0,'Données projet'!$E$10+1,1))-AVERAGE(OFFSET($H$3,0,0,'Données projet'!$E$10+1,1))</f>
        <v>317.328615425664</v>
      </c>
      <c r="AO11" s="59">
        <f t="shared" si="36"/>
        <v>324.95872842255744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5.654583333333334</v>
      </c>
      <c r="BD11" s="12">
        <f>IF('Données projet'!$A$88&gt;35,BD10+BC11-BL10,IF(A11&lt;'Données projet'!$A$88,$BA$205^A11,IF(A11='Données projet'!$A$88,'Données projet'!$B$88,BD10+BC11-BL10)))</f>
        <v>5.1389053268959843</v>
      </c>
      <c r="BE11" s="13">
        <f>BD11*VLOOKUP('Données projet'!$B$11,Paramètres!$A$1:$I$89,3,0)*VLOOKUP('Données projet'!$B$11,Paramètres!$A$1:$I$89,5,0)</f>
        <v>5.9200189365841736</v>
      </c>
      <c r="BF11" s="13">
        <f t="shared" si="37"/>
        <v>2.2180776839821497</v>
      </c>
      <c r="BG11" s="20">
        <f t="shared" si="7"/>
        <v>14.17385161415301</v>
      </c>
      <c r="BH11" s="59">
        <f t="shared" si="8"/>
        <v>200.92712448037358</v>
      </c>
      <c r="BI11" s="59">
        <f ca="1">AVERAGE(OFFSET($BH$3,0,0,'Données projet'!$E$11+1,1))-AVERAGE(OFFSET($H$3,0,0,'Données projet'!$E$11+1,1))</f>
        <v>418.31716673276725</v>
      </c>
      <c r="BJ11" s="59">
        <f t="shared" si="38"/>
        <v>472.37891533957929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0.53933333333333333</v>
      </c>
      <c r="BY11" s="12">
        <f>IF('Données projet'!$A$114&gt;35,BY10+BX11-CG10,IF(A11&lt;'Données projet'!$A$114,$BV$205^A11,IF(A11='Données projet'!$A$114,'Données projet'!$B$114,BY10+BX11-CG10)))</f>
        <v>3.0495742475372931</v>
      </c>
      <c r="BZ11" s="13">
        <f>BY11*VLOOKUP('Données projet'!$B$12,Paramètres!$A$1:$I$89,3,0)*VLOOKUP('Données projet'!$B$12,Paramètres!$A$1:$I$89,5,0)</f>
        <v>1.7840009348093164</v>
      </c>
      <c r="CA11" s="13">
        <f t="shared" si="39"/>
        <v>0.76857234844932587</v>
      </c>
      <c r="CB11" s="20">
        <f t="shared" si="10"/>
        <v>4.4457318016754677</v>
      </c>
      <c r="CC11" s="59">
        <f t="shared" si="11"/>
        <v>191.19900466789602</v>
      </c>
      <c r="CD11" s="59">
        <f ca="1">AVERAGE(OFFSET($CC$3,0,0,'Données projet'!$E$12+1,1))-AVERAGE(OFFSET($H$3,0,0,'Données projet'!$E$12+1,1))</f>
        <v>184.11352167663844</v>
      </c>
      <c r="CE11" s="59">
        <f t="shared" si="40"/>
        <v>145.86653500981791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2.1790000000000003</v>
      </c>
      <c r="CT11" s="12">
        <f>IF('Données projet'!$A$140&gt;35,CT10+CS11-DB10,IF(A11&lt;'Données projet'!$A$140,$CQ$205^A11,IF(A11='Données projet'!$A$140,'Données projet'!$B$140,CT10+CS11-DB10)))</f>
        <v>3.0486033977305129</v>
      </c>
      <c r="CU11" s="17">
        <f>CT11*VLOOKUP('Données projet'!$B$13,Paramètres!$A$1:$I$89,3,0)*VLOOKUP('Données projet'!$B$13,Paramètres!$A$1:$I$89,5,0)</f>
        <v>1.4663782343083767</v>
      </c>
      <c r="CV11" s="13">
        <f t="shared" si="41"/>
        <v>0.64631916717211657</v>
      </c>
      <c r="CW11" s="20">
        <f t="shared" si="13"/>
        <v>3.6796146409118591</v>
      </c>
      <c r="CX11" s="59">
        <f t="shared" si="14"/>
        <v>190.43288750713242</v>
      </c>
      <c r="CY11" s="59">
        <f ca="1">AVERAGE(OFFSET($CX$3,0,0,'Données projet'!$E$13+1,1))-AVERAGE(OFFSET($H$3,0,0,'Données projet'!$E$13+1,1))</f>
        <v>303.76035885073708</v>
      </c>
      <c r="CZ11" s="59">
        <f t="shared" si="42"/>
        <v>127.43112562890414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1.4</v>
      </c>
      <c r="DO11" s="12">
        <f>IF('Données projet'!$A$166&gt;35,DO10+DN11-DW10,IF(A11&lt;'Données projet'!$A$166,$DL$205^A11,IF(A11='Données projet'!$A$166,'Données projet'!$B$166,DO10+DN11-DW10)))</f>
        <v>8.258523872989457</v>
      </c>
      <c r="DP11" s="17">
        <f>DO11*VLOOKUP('Données projet'!$B$14,Paramètres!$A$1:$I$89,3,0)*VLOOKUP('Données projet'!$B$14,Paramètres!$A$1:$I$89,5,0)</f>
        <v>4.7668199794895152</v>
      </c>
      <c r="DQ11" s="13">
        <f t="shared" si="43"/>
        <v>1.8316183642587527</v>
      </c>
      <c r="DR11" s="20">
        <f t="shared" si="16"/>
        <v>11.492280115361567</v>
      </c>
      <c r="DS11" s="59">
        <f t="shared" si="17"/>
        <v>198.24555298158214</v>
      </c>
      <c r="DT11" s="59">
        <f ca="1">AVERAGE(OFFSET($DS$3,0,0,'Données projet'!$E$14+1,1))-AVERAGE(OFFSET($H$3,0,0,'Données projet'!$E$14+1,1))</f>
        <v>243.65374431792841</v>
      </c>
      <c r="DU11" s="59">
        <f t="shared" si="44"/>
        <v>271.60754570002939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2.1</v>
      </c>
      <c r="EJ11" s="12">
        <f>IF('Données projet'!$A$192&gt;35,EJ10+EI11-ER10,IF(A11&lt;'Données projet'!$A$192,$EG$205^A11,IF(A11='Données projet'!$A$192,'Données projet'!$B$192,EJ10+EI11-ER10)))</f>
        <v>4.4596391171162209</v>
      </c>
      <c r="EK11" s="17">
        <f>EJ11*VLOOKUP('Données projet'!$B$15,Paramètres!$A$1:$I$89,3,0)*VLOOKUP('Données projet'!$B$15,Paramètres!$A$1:$I$89,5,0)</f>
        <v>2.9915259197615609</v>
      </c>
      <c r="EL11" s="13">
        <f t="shared" si="45"/>
        <v>1.2135311160629882</v>
      </c>
      <c r="EM11" s="20">
        <f t="shared" si="19"/>
        <v>7.3238076707277555</v>
      </c>
      <c r="EN11" s="59">
        <f t="shared" si="20"/>
        <v>194.0770805369483</v>
      </c>
      <c r="EO11" s="59">
        <f ca="1">AVERAGE(OFFSET($EN$3,0,0,'Données projet'!$E$15+1,1))-AVERAGE(OFFSET($H$3,0,0,'Données projet'!$E$15+1,1))</f>
        <v>321.44781099085594</v>
      </c>
      <c r="EP11" s="59">
        <f t="shared" si="46"/>
        <v>201.22243186578183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0.6</v>
      </c>
      <c r="FE11" s="12">
        <f>IF('Données projet'!$A$218&gt;35,FE10+FD11-FM10,IF(A11&lt;'Données projet'!$A$218,$FB$205^A11,IF(A11='Données projet'!$A$218,'Données projet'!$B$218,FE10+FD11-FM10)))</f>
        <v>3.227968874176038</v>
      </c>
      <c r="FF11" s="17">
        <f>FE11*VLOOKUP('Données projet'!$B$16,Paramètres!$A$1:$I$89,3,0)*VLOOKUP('Données projet'!$B$16,Paramètres!$A$1:$I$89,5,0)</f>
        <v>2.8199536084801871</v>
      </c>
      <c r="FG11" s="13">
        <f t="shared" si="47"/>
        <v>1.1518233118873293</v>
      </c>
      <c r="FH11" s="20">
        <f t="shared" si="22"/>
        <v>6.9175114696400923</v>
      </c>
      <c r="FI11" s="59">
        <f t="shared" si="23"/>
        <v>193.67078433586065</v>
      </c>
      <c r="FJ11" s="59">
        <f ca="1">AVERAGE(OFFSET($FI$3,0,0,'Données projet'!$E$16+1,1))-AVERAGE(OFFSET($H$3,0,0,'Données projet'!$E$16+1,1))</f>
        <v>285.8437404763045</v>
      </c>
      <c r="FK11" s="59">
        <f t="shared" si="48"/>
        <v>276.01618888357268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2.4666666666666668</v>
      </c>
      <c r="FZ11" s="12">
        <f>IF('Données projet'!$A$244&gt;35,FZ10+FY11-GH10,IF(A11&lt;'Données projet'!$A$244,$FW$205^A11,IF(A11='Données projet'!$A$244,'Données projet'!$B$244,FZ10+FY11-GH10)))</f>
        <v>6.8607919984549888</v>
      </c>
      <c r="GA11" s="17">
        <f>FZ11*VLOOKUP('Données projet'!$B$17,Paramètres!$A$1:$I$89,3,0)*VLOOKUP('Données projet'!$B$17,Paramètres!$A$1:$I$89,5,0)</f>
        <v>5.4584461139707896</v>
      </c>
      <c r="GB11" s="13">
        <f t="shared" si="49"/>
        <v>2.0645540509389519</v>
      </c>
      <c r="GC11" s="20">
        <f t="shared" si="25"/>
        <v>13.102558620551131</v>
      </c>
      <c r="GD11" s="59">
        <f t="shared" si="26"/>
        <v>199.85583148677168</v>
      </c>
      <c r="GE11" s="59">
        <f ca="1">AVERAGE(OFFSET($GD$3,0,0,'Données projet'!$E$17+1,1))-AVERAGE(OFFSET($H$3,0,0,'Données projet'!$E$17+1,1))</f>
        <v>323.01113210765487</v>
      </c>
      <c r="GF11" s="59">
        <f t="shared" si="50"/>
        <v>311.68541696405975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0.6</v>
      </c>
      <c r="GU11" s="12">
        <f>IF('Données projet'!$A$270&gt;35,GU10+GT11-HC10,IF(A11&lt;'Données projet'!$A$270,$GR$205^A11,IF(A11='Données projet'!$A$270,'Données projet'!$B$270,GU10+GT11-HC10)))</f>
        <v>3.227968874176038</v>
      </c>
      <c r="GV11" s="17">
        <f>GU11*VLOOKUP('Données projet'!$B$18,Paramètres!$A$1:$I$89,3,0)*VLOOKUP('Données projet'!$B$18,Paramètres!$A$1:$I$89,5,0)</f>
        <v>2.8199536084801871</v>
      </c>
      <c r="GW11" s="13">
        <f t="shared" si="51"/>
        <v>1.1518233118873293</v>
      </c>
      <c r="GX11" s="20">
        <f t="shared" si="28"/>
        <v>6.9175114696400923</v>
      </c>
      <c r="GY11" s="59">
        <f t="shared" si="29"/>
        <v>193.67078433586065</v>
      </c>
      <c r="GZ11" s="59">
        <f ca="1">AVERAGE(OFFSET($GY$3,0,0,'Données projet'!$E$18+1,1))-AVERAGE(OFFSET($H$3,0,0,'Données projet'!$E$18+1,1))</f>
        <v>285.8437404763045</v>
      </c>
      <c r="HA11" s="59">
        <f t="shared" si="52"/>
        <v>276.01618888357268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1.2</v>
      </c>
      <c r="N12" s="13">
        <f>IF('Données projet'!$A$36&gt;35,N11+M12-V11,IF(A12&lt;'Données projet'!$A$36,$K$205^A12,IF(A12='Données projet'!$A$36,'Données projet'!$B$36,N11+M12-V11)))</f>
        <v>3.4022298585357786</v>
      </c>
      <c r="O12" s="13">
        <f>N12*VLOOKUP('Données projet'!$B$9,Paramètres!$A$1:$I$89,3,0)*VLOOKUP('Données projet'!$B$9,Paramètres!$A$1:$I$89,5,0)</f>
        <v>3.0783375760031726</v>
      </c>
      <c r="P12" s="13">
        <f t="shared" si="33"/>
        <v>1.2445957044081368</v>
      </c>
      <c r="Q12" s="20">
        <f t="shared" si="2"/>
        <v>7.5291087967163621</v>
      </c>
      <c r="R12" s="59">
        <f t="shared" si="0"/>
        <v>196.88706754927244</v>
      </c>
      <c r="S12" s="59">
        <f ca="1">AVERAGE(OFFSET($R$3,0,0,'Données projet'!$E$9+1,1))-AVERAGE(OFFSET($H$3,0,0,'Données projet'!$E$9+1,1))</f>
        <v>315.34103933739129</v>
      </c>
      <c r="T12" s="59">
        <f t="shared" si="34"/>
        <v>165.80901858372513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7.1952941176470588</v>
      </c>
      <c r="AI12" s="13">
        <f>IF('Données projet'!$A$62&gt;35,AI11+AH12-AQ11,IF(A12&lt;'Données projet'!$A$62,$AF$205^A12,IF(A12='Données projet'!$A$62,'Données projet'!$B$62,AI11+AH12-AQ11)))</f>
        <v>12.739304566466691</v>
      </c>
      <c r="AJ12" s="13">
        <f>AI12*VLOOKUP('Données projet'!$B$10,Paramètres!$A$1:$I$89,3,0)*VLOOKUP('Données projet'!$B$10,Paramètres!$A$1:$I$89,5,0)</f>
        <v>7.6181041307470823</v>
      </c>
      <c r="AK12" s="13">
        <f t="shared" si="35"/>
        <v>2.7717368121157255</v>
      </c>
      <c r="AL12" s="20">
        <f t="shared" si="4"/>
        <v>18.095639642152722</v>
      </c>
      <c r="AM12" s="59">
        <f t="shared" si="5"/>
        <v>207.45359839470879</v>
      </c>
      <c r="AN12" s="59">
        <f ca="1">AVERAGE(OFFSET($AM$3,0,0,'Données projet'!$E$10+1,1))-AVERAGE(OFFSET($H$3,0,0,'Données projet'!$E$10+1,1))</f>
        <v>317.328615425664</v>
      </c>
      <c r="AO12" s="59">
        <f t="shared" si="36"/>
        <v>324.95872842255744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5.654583333333334</v>
      </c>
      <c r="BD12" s="12">
        <f>IF('Données projet'!$A$88&gt;35,BD11+BC12-BL11,IF(A12&lt;'Données projet'!$A$88,$BA$205^A12,IF(A12='Données projet'!$A$88,'Données projet'!$B$88,BD11+BC12-BL11)))</f>
        <v>6.3056439412083032</v>
      </c>
      <c r="BE12" s="13">
        <f>BD12*VLOOKUP('Données projet'!$B$11,Paramètres!$A$1:$I$89,3,0)*VLOOKUP('Données projet'!$B$11,Paramètres!$A$1:$I$89,5,0)</f>
        <v>7.2641018202719643</v>
      </c>
      <c r="BF12" s="13">
        <f t="shared" si="37"/>
        <v>2.6576171155430042</v>
      </c>
      <c r="BG12" s="20">
        <f t="shared" si="7"/>
        <v>17.280327146544401</v>
      </c>
      <c r="BH12" s="59">
        <f t="shared" si="8"/>
        <v>206.63828589910048</v>
      </c>
      <c r="BI12" s="59">
        <f ca="1">AVERAGE(OFFSET($BH$3,0,0,'Données projet'!$E$11+1,1))-AVERAGE(OFFSET($H$3,0,0,'Données projet'!$E$11+1,1))</f>
        <v>418.31716673276725</v>
      </c>
      <c r="BJ12" s="59">
        <f t="shared" si="38"/>
        <v>472.37891533957929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0.53933333333333333</v>
      </c>
      <c r="BY12" s="12">
        <f>IF('Données projet'!$A$114&gt;35,BY11+BX12-CG11,IF(A12&lt;'Données projet'!$A$114,$BV$205^A12,IF(A12='Données projet'!$A$114,'Données projet'!$B$114,BY11+BX12-CG11)))</f>
        <v>3.5056545082380701</v>
      </c>
      <c r="BZ12" s="13">
        <f>BY12*VLOOKUP('Données projet'!$B$12,Paramètres!$A$1:$I$89,3,0)*VLOOKUP('Données projet'!$B$12,Paramètres!$A$1:$I$89,5,0)</f>
        <v>2.0508078873192712</v>
      </c>
      <c r="CA12" s="13">
        <f t="shared" si="39"/>
        <v>0.86929859231483686</v>
      </c>
      <c r="CB12" s="20">
        <f t="shared" si="10"/>
        <v>5.0858521186960717</v>
      </c>
      <c r="CC12" s="59">
        <f t="shared" si="11"/>
        <v>194.44381087125214</v>
      </c>
      <c r="CD12" s="59">
        <f ca="1">AVERAGE(OFFSET($CC$3,0,0,'Données projet'!$E$12+1,1))-AVERAGE(OFFSET($H$3,0,0,'Données projet'!$E$12+1,1))</f>
        <v>184.11352167663844</v>
      </c>
      <c r="CE12" s="59">
        <f t="shared" si="40"/>
        <v>145.86653500981791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2.1790000000000003</v>
      </c>
      <c r="CT12" s="12">
        <f>IF('Données projet'!$A$140&gt;35,CT11+CS12-DB11,IF(A12&lt;'Données projet'!$A$140,$CQ$205^A12,IF(A12='Données projet'!$A$140,'Données projet'!$B$140,CT11+CS12-DB11)))</f>
        <v>3.5043989818924706</v>
      </c>
      <c r="CU12" s="17">
        <f>CT12*VLOOKUP('Données projet'!$B$13,Paramètres!$A$1:$I$89,3,0)*VLOOKUP('Données projet'!$B$13,Paramètres!$A$1:$I$89,5,0)</f>
        <v>1.6856159102902784</v>
      </c>
      <c r="CV12" s="13">
        <f t="shared" si="41"/>
        <v>0.73099765395775429</v>
      </c>
      <c r="CW12" s="20">
        <f t="shared" si="13"/>
        <v>4.2089352910653242</v>
      </c>
      <c r="CX12" s="59">
        <f t="shared" si="14"/>
        <v>193.5668940436214</v>
      </c>
      <c r="CY12" s="59">
        <f ca="1">AVERAGE(OFFSET($CX$3,0,0,'Données projet'!$E$13+1,1))-AVERAGE(OFFSET($H$3,0,0,'Données projet'!$E$13+1,1))</f>
        <v>303.76035885073708</v>
      </c>
      <c r="CZ12" s="59">
        <f t="shared" si="42"/>
        <v>127.43112562890414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1.4</v>
      </c>
      <c r="DO12" s="12">
        <f>IF('Données projet'!$A$166&gt;35,DO11+DN12-DW11,IF(A12&lt;'Données projet'!$A$166,$DL$205^A12,IF(A12='Données projet'!$A$166,'Données projet'!$B$166,DO11+DN12-DW11)))</f>
        <v>10.752643127243291</v>
      </c>
      <c r="DP12" s="17">
        <f>DO12*VLOOKUP('Données projet'!$B$14,Paramètres!$A$1:$I$89,3,0)*VLOOKUP('Données projet'!$B$14,Paramètres!$A$1:$I$89,5,0)</f>
        <v>6.2064256130448268</v>
      </c>
      <c r="DQ12" s="13">
        <f t="shared" si="43"/>
        <v>2.3126337665896157</v>
      </c>
      <c r="DR12" s="20">
        <f t="shared" si="16"/>
        <v>14.837361752863318</v>
      </c>
      <c r="DS12" s="59">
        <f t="shared" si="17"/>
        <v>204.1953205054194</v>
      </c>
      <c r="DT12" s="59">
        <f ca="1">AVERAGE(OFFSET($DS$3,0,0,'Données projet'!$E$14+1,1))-AVERAGE(OFFSET($H$3,0,0,'Données projet'!$E$14+1,1))</f>
        <v>243.65374431792841</v>
      </c>
      <c r="DU12" s="59">
        <f t="shared" si="44"/>
        <v>271.60754570002939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2.1</v>
      </c>
      <c r="EJ12" s="12">
        <f>IF('Données projet'!$A$192&gt;35,EJ11+EI12-ER11,IF(A12&lt;'Données projet'!$A$192,$EG$205^A12,IF(A12='Données projet'!$A$192,'Données projet'!$B$192,EJ11+EI12-ER11)))</f>
        <v>5.3760361537574148</v>
      </c>
      <c r="EK12" s="17">
        <f>EJ12*VLOOKUP('Données projet'!$B$15,Paramètres!$A$1:$I$89,3,0)*VLOOKUP('Données projet'!$B$15,Paramètres!$A$1:$I$89,5,0)</f>
        <v>3.6062450519404741</v>
      </c>
      <c r="EL12" s="13">
        <f t="shared" si="45"/>
        <v>1.4314166685408396</v>
      </c>
      <c r="EM12" s="20">
        <f t="shared" si="19"/>
        <v>8.773927496504955</v>
      </c>
      <c r="EN12" s="59">
        <f t="shared" si="20"/>
        <v>198.13188624906104</v>
      </c>
      <c r="EO12" s="59">
        <f ca="1">AVERAGE(OFFSET($EN$3,0,0,'Données projet'!$E$15+1,1))-AVERAGE(OFFSET($H$3,0,0,'Données projet'!$E$15+1,1))</f>
        <v>321.44781099085594</v>
      </c>
      <c r="EP12" s="59">
        <f t="shared" si="46"/>
        <v>201.22243186578183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0.6</v>
      </c>
      <c r="FE12" s="12">
        <f>IF('Données projet'!$A$218&gt;35,FE11+FD12-FM11,IF(A12&lt;'Données projet'!$A$218,$FB$205^A12,IF(A12='Données projet'!$A$218,'Données projet'!$B$218,FE11+FD12-FM11)))</f>
        <v>3.7371928188465526</v>
      </c>
      <c r="FF12" s="17">
        <f>FE12*VLOOKUP('Données projet'!$B$16,Paramètres!$A$1:$I$89,3,0)*VLOOKUP('Données projet'!$B$16,Paramètres!$A$1:$I$89,5,0)</f>
        <v>3.2648116465443486</v>
      </c>
      <c r="FG12" s="13">
        <f t="shared" si="47"/>
        <v>1.310983149038857</v>
      </c>
      <c r="FH12" s="20">
        <f t="shared" si="22"/>
        <v>7.9695092689740825</v>
      </c>
      <c r="FI12" s="59">
        <f t="shared" si="23"/>
        <v>197.32746802153017</v>
      </c>
      <c r="FJ12" s="59">
        <f ca="1">AVERAGE(OFFSET($FI$3,0,0,'Données projet'!$E$16+1,1))-AVERAGE(OFFSET($H$3,0,0,'Données projet'!$E$16+1,1))</f>
        <v>285.8437404763045</v>
      </c>
      <c r="FK12" s="59">
        <f t="shared" si="48"/>
        <v>276.01618888357268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2.4666666666666668</v>
      </c>
      <c r="FZ12" s="12">
        <f>IF('Données projet'!$A$244&gt;35,FZ11+FY12-GH11,IF(A12&lt;'Données projet'!$A$244,$FW$205^A12,IF(A12='Données projet'!$A$244,'Données projet'!$B$244,FZ11+FY12-GH11)))</f>
        <v>8.7281265486761299</v>
      </c>
      <c r="GA12" s="17">
        <f>FZ12*VLOOKUP('Données projet'!$B$17,Paramètres!$A$1:$I$89,3,0)*VLOOKUP('Données projet'!$B$17,Paramètres!$A$1:$I$89,5,0)</f>
        <v>6.9440974821267289</v>
      </c>
      <c r="GB12" s="13">
        <f t="shared" si="49"/>
        <v>2.5538994442566798</v>
      </c>
      <c r="GC12" s="20">
        <f t="shared" si="25"/>
        <v>16.542344646784436</v>
      </c>
      <c r="GD12" s="59">
        <f t="shared" si="26"/>
        <v>205.90030339934052</v>
      </c>
      <c r="GE12" s="59">
        <f ca="1">AVERAGE(OFFSET($GD$3,0,0,'Données projet'!$E$17+1,1))-AVERAGE(OFFSET($H$3,0,0,'Données projet'!$E$17+1,1))</f>
        <v>323.01113210765487</v>
      </c>
      <c r="GF12" s="59">
        <f t="shared" si="50"/>
        <v>311.68541696405975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0.6</v>
      </c>
      <c r="GU12" s="12">
        <f>IF('Données projet'!$A$270&gt;35,GU11+GT12-HC11,IF(A12&lt;'Données projet'!$A$270,$GR$205^A12,IF(A12='Données projet'!$A$270,'Données projet'!$B$270,GU11+GT12-HC11)))</f>
        <v>3.7371928188465526</v>
      </c>
      <c r="GV12" s="17">
        <f>GU12*VLOOKUP('Données projet'!$B$18,Paramètres!$A$1:$I$89,3,0)*VLOOKUP('Données projet'!$B$18,Paramètres!$A$1:$I$89,5,0)</f>
        <v>3.2648116465443486</v>
      </c>
      <c r="GW12" s="13">
        <f t="shared" si="51"/>
        <v>1.310983149038857</v>
      </c>
      <c r="GX12" s="20">
        <f t="shared" si="28"/>
        <v>7.9695092689740825</v>
      </c>
      <c r="GY12" s="59">
        <f t="shared" si="29"/>
        <v>197.32746802153017</v>
      </c>
      <c r="GZ12" s="59">
        <f ca="1">AVERAGE(OFFSET($GY$3,0,0,'Données projet'!$E$18+1,1))-AVERAGE(OFFSET($H$3,0,0,'Données projet'!$E$18+1,1))</f>
        <v>285.8437404763045</v>
      </c>
      <c r="HA12" s="59">
        <f t="shared" si="52"/>
        <v>276.01618888357268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1.2</v>
      </c>
      <c r="N13" s="13">
        <f>IF('Données projet'!$A$36&gt;35,N12+M13-V12,IF(A13&lt;'Données projet'!$A$36,$K$205^A13,IF(A13='Données projet'!$A$36,'Données projet'!$B$36,N12+M13-V12)))</f>
        <v>3.8980598409161908</v>
      </c>
      <c r="O13" s="13">
        <f>N13*VLOOKUP('Données projet'!$B$9,Paramètres!$A$1:$I$89,3,0)*VLOOKUP('Données projet'!$B$9,Paramètres!$A$1:$I$89,5,0)</f>
        <v>3.5269645440609696</v>
      </c>
      <c r="P13" s="13">
        <f t="shared" si="33"/>
        <v>1.403575152701934</v>
      </c>
      <c r="Q13" s="20">
        <f t="shared" si="2"/>
        <v>8.587356638528723</v>
      </c>
      <c r="R13" s="59">
        <f t="shared" si="0"/>
        <v>200.52601862357361</v>
      </c>
      <c r="S13" s="59">
        <f ca="1">AVERAGE(OFFSET($R$3,0,0,'Données projet'!$E$9+1,1))-AVERAGE(OFFSET($H$3,0,0,'Données projet'!$E$9+1,1))</f>
        <v>315.34103933739129</v>
      </c>
      <c r="T13" s="59">
        <f t="shared" si="34"/>
        <v>165.80901858372513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7.1952941176470588</v>
      </c>
      <c r="AI13" s="13">
        <f>IF('Données projet'!$A$62&gt;35,AI12+AH13-AQ12,IF(A13&lt;'Données projet'!$A$62,$AF$205^A13,IF(A13='Données projet'!$A$62,'Données projet'!$B$62,AI12+AH13-AQ12)))</f>
        <v>16.902061968939393</v>
      </c>
      <c r="AJ13" s="13">
        <f>AI13*VLOOKUP('Données projet'!$B$10,Paramètres!$A$1:$I$89,3,0)*VLOOKUP('Données projet'!$B$10,Paramètres!$A$1:$I$89,5,0)</f>
        <v>10.107433057425759</v>
      </c>
      <c r="AK13" s="13">
        <f t="shared" si="35"/>
        <v>3.5583834102125023</v>
      </c>
      <c r="AL13" s="20">
        <f t="shared" si="4"/>
        <v>23.80129701446997</v>
      </c>
      <c r="AM13" s="59">
        <f t="shared" si="5"/>
        <v>215.73995899951487</v>
      </c>
      <c r="AN13" s="59">
        <f ca="1">AVERAGE(OFFSET($AM$3,0,0,'Données projet'!$E$10+1,1))-AVERAGE(OFFSET($H$3,0,0,'Données projet'!$E$10+1,1))</f>
        <v>317.328615425664</v>
      </c>
      <c r="AO13" s="59">
        <f t="shared" si="36"/>
        <v>324.95872842255744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5.654583333333334</v>
      </c>
      <c r="BD13" s="12">
        <f>IF('Données projet'!$A$88&gt;35,BD12+BC13-BL12,IF(A13&lt;'Données projet'!$A$88,$BA$205^A13,IF(A13='Données projet'!$A$88,'Données projet'!$B$88,BD12+BC13-BL12)))</f>
        <v>7.7372792421754193</v>
      </c>
      <c r="BE13" s="13">
        <f>BD13*VLOOKUP('Données projet'!$B$11,Paramètres!$A$1:$I$89,3,0)*VLOOKUP('Données projet'!$B$11,Paramètres!$A$1:$I$89,5,0)</f>
        <v>8.9133456869860819</v>
      </c>
      <c r="BF13" s="13">
        <f t="shared" si="37"/>
        <v>3.1842567029243685</v>
      </c>
      <c r="BG13" s="20">
        <f t="shared" si="7"/>
        <v>21.069990829094035</v>
      </c>
      <c r="BH13" s="59">
        <f t="shared" si="8"/>
        <v>213.00865281413891</v>
      </c>
      <c r="BI13" s="59">
        <f ca="1">AVERAGE(OFFSET($BH$3,0,0,'Données projet'!$E$11+1,1))-AVERAGE(OFFSET($H$3,0,0,'Données projet'!$E$11+1,1))</f>
        <v>418.31716673276725</v>
      </c>
      <c r="BJ13" s="59">
        <f t="shared" si="38"/>
        <v>472.37891533957929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0.53933333333333333</v>
      </c>
      <c r="BY13" s="12">
        <f>IF('Données projet'!$A$114&gt;35,BY12+BX13-CG12,IF(A13&lt;'Données projet'!$A$114,$BV$205^A13,IF(A13='Données projet'!$A$114,'Données projet'!$B$114,BY12+BX13-CG12)))</f>
        <v>4.0299440294180338</v>
      </c>
      <c r="BZ13" s="13">
        <f>BY13*VLOOKUP('Données projet'!$B$12,Paramètres!$A$1:$I$89,3,0)*VLOOKUP('Données projet'!$B$12,Paramètres!$A$1:$I$89,5,0)</f>
        <v>2.3575172572095502</v>
      </c>
      <c r="CA13" s="13">
        <f t="shared" si="39"/>
        <v>0.9832256444370131</v>
      </c>
      <c r="CB13" s="20">
        <f t="shared" si="10"/>
        <v>5.8184605537010974</v>
      </c>
      <c r="CC13" s="59">
        <f t="shared" si="11"/>
        <v>197.75712253874599</v>
      </c>
      <c r="CD13" s="59">
        <f ca="1">AVERAGE(OFFSET($CC$3,0,0,'Données projet'!$E$12+1,1))-AVERAGE(OFFSET($H$3,0,0,'Données projet'!$E$12+1,1))</f>
        <v>184.11352167663844</v>
      </c>
      <c r="CE13" s="59">
        <f t="shared" si="40"/>
        <v>145.86653500981791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2.1790000000000003</v>
      </c>
      <c r="CT13" s="12">
        <f>IF('Données projet'!$A$140&gt;35,CT12+CS13-DB12,IF(A13&lt;'Données projet'!$A$140,$CQ$205^A13,IF(A13='Données projet'!$A$140,'Données projet'!$B$140,CT12+CS13-DB12)))</f>
        <v>4.0283403979117951</v>
      </c>
      <c r="CU13" s="17">
        <f>CT13*VLOOKUP('Données projet'!$B$13,Paramètres!$A$1:$I$89,3,0)*VLOOKUP('Données projet'!$B$13,Paramètres!$A$1:$I$89,5,0)</f>
        <v>1.9376317313955735</v>
      </c>
      <c r="CV13" s="13">
        <f t="shared" si="41"/>
        <v>0.82677042122973265</v>
      </c>
      <c r="CW13" s="20">
        <f t="shared" si="13"/>
        <v>4.8146670824890752</v>
      </c>
      <c r="CX13" s="59">
        <f t="shared" si="14"/>
        <v>196.75332906753397</v>
      </c>
      <c r="CY13" s="59">
        <f ca="1">AVERAGE(OFFSET($CX$3,0,0,'Données projet'!$E$13+1,1))-AVERAGE(OFFSET($H$3,0,0,'Données projet'!$E$13+1,1))</f>
        <v>303.76035885073708</v>
      </c>
      <c r="CZ13" s="59">
        <f t="shared" si="42"/>
        <v>127.43112562890414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14</v>
      </c>
      <c r="DM13" s="12">
        <f>VLOOKUP(A13,'Données projet'!$A$165:$I$185,9,0)</f>
        <v>1.4</v>
      </c>
      <c r="DN13" s="12">
        <f t="array" ref="DN13">INDEX(DM:DM,MIN(IF(ISNUMBER(DM13:DM209),ROW(DM13:DM209),"")))</f>
        <v>1.4</v>
      </c>
      <c r="DO13" s="12">
        <f>IF('Données projet'!$A$166&gt;35,DO12+DN13-DW12,IF(A13&lt;'Données projet'!$A$166,$DL$205^A13,IF(A13='Données projet'!$A$166,'Données projet'!$B$166,DO12+DN13-DW12)))</f>
        <v>14</v>
      </c>
      <c r="DP13" s="17">
        <f>DO13*VLOOKUP('Données projet'!$B$14,Paramètres!$A$1:$I$89,3,0)*VLOOKUP('Données projet'!$B$14,Paramètres!$A$1:$I$89,5,0)</f>
        <v>8.0808</v>
      </c>
      <c r="DQ13" s="13">
        <f t="shared" si="43"/>
        <v>2.9199723276059735</v>
      </c>
      <c r="DR13" s="20">
        <f t="shared" si="16"/>
        <v>19.159678470580406</v>
      </c>
      <c r="DS13" s="59">
        <f t="shared" si="17"/>
        <v>211.0983404556253</v>
      </c>
      <c r="DT13" s="59">
        <f ca="1">AVERAGE(OFFSET($DS$3,0,0,'Données projet'!$E$14+1,1))-AVERAGE(OFFSET($H$3,0,0,'Données projet'!$E$14+1,1))</f>
        <v>243.65374431792841</v>
      </c>
      <c r="DU13" s="59">
        <f t="shared" si="44"/>
        <v>271.60754570002939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2.1</v>
      </c>
      <c r="EJ13" s="12">
        <f>IF('Données projet'!$A$192&gt;35,EJ12+EI13-ER12,IF(A13&lt;'Données projet'!$A$192,$EG$205^A13,IF(A13='Données projet'!$A$192,'Données projet'!$B$192,EJ12+EI13-ER12)))</f>
        <v>6.4807406984078657</v>
      </c>
      <c r="EK13" s="17">
        <f>EJ13*VLOOKUP('Données projet'!$B$15,Paramètres!$A$1:$I$89,3,0)*VLOOKUP('Données projet'!$B$15,Paramètres!$A$1:$I$89,5,0)</f>
        <v>4.3472808604919964</v>
      </c>
      <c r="EL13" s="13">
        <f t="shared" si="45"/>
        <v>1.6884228610667158</v>
      </c>
      <c r="EM13" s="20">
        <f t="shared" si="19"/>
        <v>10.512183981714756</v>
      </c>
      <c r="EN13" s="59">
        <f t="shared" si="20"/>
        <v>202.45084596675963</v>
      </c>
      <c r="EO13" s="59">
        <f ca="1">AVERAGE(OFFSET($EN$3,0,0,'Données projet'!$E$15+1,1))-AVERAGE(OFFSET($H$3,0,0,'Données projet'!$E$15+1,1))</f>
        <v>321.44781099085594</v>
      </c>
      <c r="EP13" s="59">
        <f t="shared" si="46"/>
        <v>201.22243186578183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0.6</v>
      </c>
      <c r="FE13" s="12">
        <f>IF('Données projet'!$A$218&gt;35,FE12+FD13-FM12,IF(A13&lt;'Données projet'!$A$218,$FB$205^A13,IF(A13='Données projet'!$A$218,'Données projet'!$B$218,FE12+FD13-FM12)))</f>
        <v>4.3267487109222253</v>
      </c>
      <c r="FF13" s="17">
        <f>FE13*VLOOKUP('Données projet'!$B$16,Paramètres!$A$1:$I$89,3,0)*VLOOKUP('Données projet'!$B$16,Paramètres!$A$1:$I$89,5,0)</f>
        <v>3.7798476738616569</v>
      </c>
      <c r="FG13" s="13">
        <f t="shared" si="47"/>
        <v>1.4921358157334794</v>
      </c>
      <c r="FH13" s="20">
        <f t="shared" si="22"/>
        <v>9.182037911044862</v>
      </c>
      <c r="FI13" s="59">
        <f t="shared" si="23"/>
        <v>201.12069989608975</v>
      </c>
      <c r="FJ13" s="59">
        <f ca="1">AVERAGE(OFFSET($FI$3,0,0,'Données projet'!$E$16+1,1))-AVERAGE(OFFSET($H$3,0,0,'Données projet'!$E$16+1,1))</f>
        <v>285.8437404763045</v>
      </c>
      <c r="FK13" s="59">
        <f t="shared" si="48"/>
        <v>276.01618888357268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2.4666666666666668</v>
      </c>
      <c r="FZ13" s="12">
        <f>IF('Données projet'!$A$244&gt;35,FZ12+FY13-GH12,IF(A13&lt;'Données projet'!$A$244,$FW$205^A13,IF(A13='Données projet'!$A$244,'Données projet'!$B$244,FZ12+FY13-GH12)))</f>
        <v>11.103702468586782</v>
      </c>
      <c r="GA13" s="17">
        <f>FZ13*VLOOKUP('Données projet'!$B$17,Paramètres!$A$1:$I$89,3,0)*VLOOKUP('Données projet'!$B$17,Paramètres!$A$1:$I$89,5,0)</f>
        <v>8.8341056840076444</v>
      </c>
      <c r="GB13" s="13">
        <f t="shared" si="49"/>
        <v>3.1592306185484516</v>
      </c>
      <c r="GC13" s="20">
        <f t="shared" si="25"/>
        <v>20.888394060285197</v>
      </c>
      <c r="GD13" s="59">
        <f t="shared" si="26"/>
        <v>212.8270560453301</v>
      </c>
      <c r="GE13" s="59">
        <f ca="1">AVERAGE(OFFSET($GD$3,0,0,'Données projet'!$E$17+1,1))-AVERAGE(OFFSET($H$3,0,0,'Données projet'!$E$17+1,1))</f>
        <v>323.01113210765487</v>
      </c>
      <c r="GF13" s="59">
        <f t="shared" si="50"/>
        <v>311.68541696405975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0.6</v>
      </c>
      <c r="GU13" s="12">
        <f>IF('Données projet'!$A$270&gt;35,GU12+GT13-HC12,IF(A13&lt;'Données projet'!$A$270,$GR$205^A13,IF(A13='Données projet'!$A$270,'Données projet'!$B$270,GU12+GT13-HC12)))</f>
        <v>4.3267487109222253</v>
      </c>
      <c r="GV13" s="17">
        <f>GU13*VLOOKUP('Données projet'!$B$18,Paramètres!$A$1:$I$89,3,0)*VLOOKUP('Données projet'!$B$18,Paramètres!$A$1:$I$89,5,0)</f>
        <v>3.7798476738616569</v>
      </c>
      <c r="GW13" s="13">
        <f t="shared" si="51"/>
        <v>1.4921358157334794</v>
      </c>
      <c r="GX13" s="20">
        <f t="shared" si="28"/>
        <v>9.182037911044862</v>
      </c>
      <c r="GY13" s="59">
        <f t="shared" si="29"/>
        <v>201.12069989608975</v>
      </c>
      <c r="GZ13" s="59">
        <f ca="1">AVERAGE(OFFSET($GY$3,0,0,'Données projet'!$E$18+1,1))-AVERAGE(OFFSET($H$3,0,0,'Données projet'!$E$18+1,1))</f>
        <v>285.8437404763045</v>
      </c>
      <c r="HA13" s="59">
        <f t="shared" si="52"/>
        <v>276.01618888357268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1.2</v>
      </c>
      <c r="N14" s="13">
        <f>IF('Données projet'!$A$36&gt;35,N13+M14-V13,IF(A14&lt;'Données projet'!$A$36,$K$205^A14,IF(A14='Données projet'!$A$36,'Données projet'!$B$36,N13+M14-V13)))</f>
        <v>4.4661504822319662</v>
      </c>
      <c r="O14" s="13">
        <f>N14*VLOOKUP('Données projet'!$B$9,Paramètres!$A$1:$I$89,3,0)*VLOOKUP('Données projet'!$B$9,Paramètres!$A$1:$I$89,5,0)</f>
        <v>4.0409729563234826</v>
      </c>
      <c r="P14" s="13">
        <f t="shared" si="33"/>
        <v>1.5828619706020071</v>
      </c>
      <c r="Q14" s="20">
        <f t="shared" si="2"/>
        <v>9.7948458310618953</v>
      </c>
      <c r="R14" s="59">
        <f t="shared" si="0"/>
        <v>204.29064444017604</v>
      </c>
      <c r="S14" s="59">
        <f ca="1">AVERAGE(OFFSET($R$3,0,0,'Données projet'!$E$9+1,1))-AVERAGE(OFFSET($H$3,0,0,'Données projet'!$E$9+1,1))</f>
        <v>315.34103933739129</v>
      </c>
      <c r="T14" s="59">
        <f t="shared" si="34"/>
        <v>165.80901858372513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7.1952941176470588</v>
      </c>
      <c r="AI14" s="13">
        <f>IF('Données projet'!$A$62&gt;35,AI13+AH14-AQ13,IF(A14&lt;'Données projet'!$A$62,$AF$205^A14,IF(A14='Données projet'!$A$62,'Données projet'!$B$62,AI13+AH14-AQ13)))</f>
        <v>22.425062318853254</v>
      </c>
      <c r="AJ14" s="13">
        <f>AI14*VLOOKUP('Données projet'!$B$10,Paramètres!$A$1:$I$89,3,0)*VLOOKUP('Données projet'!$B$10,Paramètres!$A$1:$I$89,5,0)</f>
        <v>13.410187266674248</v>
      </c>
      <c r="AK14" s="13">
        <f t="shared" si="35"/>
        <v>4.5682881717800319</v>
      </c>
      <c r="AL14" s="20">
        <f t="shared" si="4"/>
        <v>31.312511388641202</v>
      </c>
      <c r="AM14" s="59">
        <f t="shared" si="5"/>
        <v>225.80830999775534</v>
      </c>
      <c r="AN14" s="59">
        <f ca="1">AVERAGE(OFFSET($AM$3,0,0,'Données projet'!$E$10+1,1))-AVERAGE(OFFSET($H$3,0,0,'Données projet'!$E$10+1,1))</f>
        <v>317.328615425664</v>
      </c>
      <c r="AO14" s="59">
        <f t="shared" si="36"/>
        <v>324.95872842255744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5.654583333333334</v>
      </c>
      <c r="BD14" s="12">
        <f>IF('Données projet'!$A$88&gt;35,BD13+BC14-BL13,IF(A14&lt;'Données projet'!$A$88,$BA$205^A14,IF(A14='Données projet'!$A$88,'Données projet'!$B$88,BD13+BC14-BL13)))</f>
        <v>9.4939534533767294</v>
      </c>
      <c r="BE14" s="13">
        <f>BD14*VLOOKUP('Données projet'!$B$11,Paramètres!$A$1:$I$89,3,0)*VLOOKUP('Données projet'!$B$11,Paramètres!$A$1:$I$89,5,0)</f>
        <v>10.93703437828999</v>
      </c>
      <c r="BF14" s="13">
        <f t="shared" si="37"/>
        <v>3.8152564155378963</v>
      </c>
      <c r="BG14" s="20">
        <f t="shared" si="7"/>
        <v>25.693573132583566</v>
      </c>
      <c r="BH14" s="59">
        <f t="shared" si="8"/>
        <v>220.1893717416977</v>
      </c>
      <c r="BI14" s="59">
        <f ca="1">AVERAGE(OFFSET($BH$3,0,0,'Données projet'!$E$11+1,1))-AVERAGE(OFFSET($H$3,0,0,'Données projet'!$E$11+1,1))</f>
        <v>418.31716673276725</v>
      </c>
      <c r="BJ14" s="59">
        <f t="shared" si="38"/>
        <v>472.37891533957929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0.53933333333333333</v>
      </c>
      <c r="BY14" s="12">
        <f>IF('Données projet'!$A$114&gt;35,BY13+BX14-CG13,IF(A14&lt;'Données projet'!$A$114,$BV$205^A14,IF(A14='Données projet'!$A$114,'Données projet'!$B$114,BY13+BX14-CG13)))</f>
        <v>4.6326438735129223</v>
      </c>
      <c r="BZ14" s="13">
        <f>BY14*VLOOKUP('Données projet'!$B$12,Paramètres!$A$1:$I$89,3,0)*VLOOKUP('Données projet'!$B$12,Paramètres!$A$1:$I$89,5,0)</f>
        <v>2.7100966660050596</v>
      </c>
      <c r="CA14" s="13">
        <f t="shared" si="39"/>
        <v>1.1120835538273302</v>
      </c>
      <c r="CB14" s="20">
        <f t="shared" si="10"/>
        <v>6.6569638828747459</v>
      </c>
      <c r="CC14" s="59">
        <f t="shared" si="11"/>
        <v>201.15276249198888</v>
      </c>
      <c r="CD14" s="59">
        <f ca="1">AVERAGE(OFFSET($CC$3,0,0,'Données projet'!$E$12+1,1))-AVERAGE(OFFSET($H$3,0,0,'Données projet'!$E$12+1,1))</f>
        <v>184.11352167663844</v>
      </c>
      <c r="CE14" s="59">
        <f t="shared" si="40"/>
        <v>145.86653500981791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2.1790000000000003</v>
      </c>
      <c r="CT14" s="12">
        <f>IF('Données projet'!$A$140&gt;35,CT13+CS14-DB13,IF(A14&lt;'Données projet'!$A$140,$CQ$205^A14,IF(A14='Données projet'!$A$140,'Données projet'!$B$140,CT13+CS14-DB13)))</f>
        <v>4.6306161043012439</v>
      </c>
      <c r="CU14" s="17">
        <f>CT14*VLOOKUP('Données projet'!$B$13,Paramètres!$A$1:$I$89,3,0)*VLOOKUP('Données projet'!$B$13,Paramètres!$A$1:$I$89,5,0)</f>
        <v>2.2273263461688986</v>
      </c>
      <c r="CV14" s="13">
        <f t="shared" si="41"/>
        <v>0.93509100298684811</v>
      </c>
      <c r="CW14" s="20">
        <f t="shared" si="13"/>
        <v>5.5078768831129246</v>
      </c>
      <c r="CX14" s="59">
        <f t="shared" si="14"/>
        <v>200.00367549222705</v>
      </c>
      <c r="CY14" s="59">
        <f ca="1">AVERAGE(OFFSET($CX$3,0,0,'Données projet'!$E$13+1,1))-AVERAGE(OFFSET($H$3,0,0,'Données projet'!$E$13+1,1))</f>
        <v>303.76035885073708</v>
      </c>
      <c r="CZ14" s="59">
        <f t="shared" si="42"/>
        <v>127.43112562890414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5.6</v>
      </c>
      <c r="DO14" s="12">
        <f>IF('Données projet'!$A$166&gt;35,DO13+DN14-DW13,IF(A14&lt;'Données projet'!$A$166,$DL$205^A14,IF(A14='Données projet'!$A$166,'Données projet'!$B$166,DO13+DN14-DW13)))</f>
        <v>19.600000000000001</v>
      </c>
      <c r="DP14" s="17">
        <f>DO14*VLOOKUP('Données projet'!$B$14,Paramètres!$A$1:$I$89,3,0)*VLOOKUP('Données projet'!$B$14,Paramètres!$A$1:$I$89,5,0)</f>
        <v>11.313120000000001</v>
      </c>
      <c r="DQ14" s="13">
        <f t="shared" si="43"/>
        <v>3.9309495311065148</v>
      </c>
      <c r="DR14" s="20">
        <f t="shared" si="16"/>
        <v>26.550087766677184</v>
      </c>
      <c r="DS14" s="59">
        <f t="shared" si="17"/>
        <v>221.04588637579133</v>
      </c>
      <c r="DT14" s="59">
        <f ca="1">AVERAGE(OFFSET($DS$3,0,0,'Données projet'!$E$14+1,1))-AVERAGE(OFFSET($H$3,0,0,'Données projet'!$E$14+1,1))</f>
        <v>243.65374431792841</v>
      </c>
      <c r="DU14" s="59">
        <f t="shared" si="44"/>
        <v>271.60754570002939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2.1</v>
      </c>
      <c r="EJ14" s="12">
        <f>IF('Données projet'!$A$192&gt;35,EJ13+EI14-ER13,IF(A14&lt;'Données projet'!$A$192,$EG$205^A14,IF(A14='Données projet'!$A$192,'Données projet'!$B$192,EJ13+EI14-ER13)))</f>
        <v>7.8124474610620815</v>
      </c>
      <c r="EK14" s="17">
        <f>EJ14*VLOOKUP('Données projet'!$B$15,Paramètres!$A$1:$I$89,3,0)*VLOOKUP('Données projet'!$B$15,Paramètres!$A$1:$I$89,5,0)</f>
        <v>5.2405897568804445</v>
      </c>
      <c r="EL14" s="13">
        <f t="shared" si="45"/>
        <v>1.9915736769215775</v>
      </c>
      <c r="EM14" s="20">
        <f t="shared" si="19"/>
        <v>12.59601798053852</v>
      </c>
      <c r="EN14" s="59">
        <f t="shared" si="20"/>
        <v>207.09181658965264</v>
      </c>
      <c r="EO14" s="59">
        <f ca="1">AVERAGE(OFFSET($EN$3,0,0,'Données projet'!$E$15+1,1))-AVERAGE(OFFSET($H$3,0,0,'Données projet'!$E$15+1,1))</f>
        <v>321.44781099085594</v>
      </c>
      <c r="EP14" s="59">
        <f t="shared" si="46"/>
        <v>201.22243186578183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0.6</v>
      </c>
      <c r="FE14" s="12">
        <f>IF('Données projet'!$A$218&gt;35,FE13+FD14-FM13,IF(A14&lt;'Données projet'!$A$218,$FB$205^A14,IF(A14='Données projet'!$A$218,'Données projet'!$B$218,FE13+FD14-FM13)))</f>
        <v>5.0093092101266317</v>
      </c>
      <c r="FF14" s="17">
        <f>FE14*VLOOKUP('Données projet'!$B$16,Paramètres!$A$1:$I$89,3,0)*VLOOKUP('Données projet'!$B$16,Paramètres!$A$1:$I$89,5,0)</f>
        <v>4.3761325259666259</v>
      </c>
      <c r="FG14" s="13">
        <f t="shared" si="47"/>
        <v>1.69832029818762</v>
      </c>
      <c r="FH14" s="20">
        <f t="shared" si="22"/>
        <v>10.579672002068646</v>
      </c>
      <c r="FI14" s="59">
        <f t="shared" si="23"/>
        <v>205.07547061118277</v>
      </c>
      <c r="FJ14" s="59">
        <f ca="1">AVERAGE(OFFSET($FI$3,0,0,'Données projet'!$E$16+1,1))-AVERAGE(OFFSET($H$3,0,0,'Données projet'!$E$16+1,1))</f>
        <v>285.8437404763045</v>
      </c>
      <c r="FK14" s="59">
        <f t="shared" si="48"/>
        <v>276.01618888357268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2.4666666666666668</v>
      </c>
      <c r="FZ14" s="12">
        <f>IF('Données projet'!$A$244&gt;35,FZ13+FY14-GH13,IF(A14&lt;'Données projet'!$A$244,$FW$205^A14,IF(A14='Données projet'!$A$244,'Données projet'!$B$244,FZ13+FY14-GH13)))</f>
        <v>14.125850240977657</v>
      </c>
      <c r="GA14" s="17">
        <f>FZ14*VLOOKUP('Données projet'!$B$17,Paramètres!$A$1:$I$89,3,0)*VLOOKUP('Données projet'!$B$17,Paramètres!$A$1:$I$89,5,0)</f>
        <v>11.238526451721825</v>
      </c>
      <c r="GB14" s="13">
        <f t="shared" si="49"/>
        <v>3.9080387928425129</v>
      </c>
      <c r="GC14" s="20">
        <f t="shared" si="25"/>
        <v>26.380267800949554</v>
      </c>
      <c r="GD14" s="59">
        <f t="shared" si="26"/>
        <v>220.87606641006369</v>
      </c>
      <c r="GE14" s="59">
        <f ca="1">AVERAGE(OFFSET($GD$3,0,0,'Données projet'!$E$17+1,1))-AVERAGE(OFFSET($H$3,0,0,'Données projet'!$E$17+1,1))</f>
        <v>323.01113210765487</v>
      </c>
      <c r="GF14" s="59">
        <f t="shared" si="50"/>
        <v>311.68541696405975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0.6</v>
      </c>
      <c r="GU14" s="12">
        <f>IF('Données projet'!$A$270&gt;35,GU13+GT14-HC13,IF(A14&lt;'Données projet'!$A$270,$GR$205^A14,IF(A14='Données projet'!$A$270,'Données projet'!$B$270,GU13+GT14-HC13)))</f>
        <v>5.0093092101266317</v>
      </c>
      <c r="GV14" s="17">
        <f>GU14*VLOOKUP('Données projet'!$B$18,Paramètres!$A$1:$I$89,3,0)*VLOOKUP('Données projet'!$B$18,Paramètres!$A$1:$I$89,5,0)</f>
        <v>4.3761325259666259</v>
      </c>
      <c r="GW14" s="13">
        <f t="shared" si="51"/>
        <v>1.69832029818762</v>
      </c>
      <c r="GX14" s="20">
        <f t="shared" si="28"/>
        <v>10.579672002068646</v>
      </c>
      <c r="GY14" s="59">
        <f t="shared" si="29"/>
        <v>205.07547061118277</v>
      </c>
      <c r="GZ14" s="59">
        <f ca="1">AVERAGE(OFFSET($GY$3,0,0,'Données projet'!$E$18+1,1))-AVERAGE(OFFSET($H$3,0,0,'Données projet'!$E$18+1,1))</f>
        <v>285.8437404763045</v>
      </c>
      <c r="HA14" s="59">
        <f t="shared" si="52"/>
        <v>276.01618888357268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1.2</v>
      </c>
      <c r="N15" s="13">
        <f>IF('Données projet'!$A$36&gt;35,N14+M15-V14,IF(A15&lt;'Données projet'!$A$36,$K$205^A15,IF(A15='Données projet'!$A$36,'Données projet'!$B$36,N14+M15-V14)))</f>
        <v>5.1170328173444979</v>
      </c>
      <c r="O15" s="13">
        <f>N15*VLOOKUP('Données projet'!$B$9,Paramètres!$A$1:$I$89,3,0)*VLOOKUP('Données projet'!$B$9,Paramètres!$A$1:$I$89,5,0)</f>
        <v>4.6298912931333014</v>
      </c>
      <c r="P15" s="13">
        <f t="shared" si="33"/>
        <v>1.7850501365423737</v>
      </c>
      <c r="Q15" s="20">
        <f t="shared" si="2"/>
        <v>11.172689656685135</v>
      </c>
      <c r="R15" s="59">
        <f t="shared" si="0"/>
        <v>208.202467109418</v>
      </c>
      <c r="S15" s="59">
        <f ca="1">AVERAGE(OFFSET($R$3,0,0,'Données projet'!$E$9+1,1))-AVERAGE(OFFSET($H$3,0,0,'Données projet'!$E$9+1,1))</f>
        <v>315.34103933739129</v>
      </c>
      <c r="T15" s="59">
        <f t="shared" si="34"/>
        <v>165.80901858372513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7.1952941176470588</v>
      </c>
      <c r="AI15" s="13">
        <f>IF('Données projet'!$A$62&gt;35,AI14+AH15-AQ14,IF(A15&lt;'Données projet'!$A$62,$AF$205^A15,IF(A15='Données projet'!$A$62,'Données projet'!$B$62,AI14+AH15-AQ14)))</f>
        <v>29.752785247657449</v>
      </c>
      <c r="AJ15" s="13">
        <f>AI15*VLOOKUP('Données projet'!$B$10,Paramètres!$A$1:$I$89,3,0)*VLOOKUP('Données projet'!$B$10,Paramètres!$A$1:$I$89,5,0)</f>
        <v>17.792165578099155</v>
      </c>
      <c r="AK15" s="13">
        <f t="shared" si="35"/>
        <v>5.8648139940544119</v>
      </c>
      <c r="AL15" s="20">
        <f t="shared" si="4"/>
        <v>41.202572754834129</v>
      </c>
      <c r="AM15" s="59">
        <f t="shared" si="5"/>
        <v>238.23235020756701</v>
      </c>
      <c r="AN15" s="59">
        <f ca="1">AVERAGE(OFFSET($AM$3,0,0,'Données projet'!$E$10+1,1))-AVERAGE(OFFSET($H$3,0,0,'Données projet'!$E$10+1,1))</f>
        <v>317.328615425664</v>
      </c>
      <c r="AO15" s="59">
        <f t="shared" si="36"/>
        <v>324.95872842255744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5.654583333333334</v>
      </c>
      <c r="BD15" s="12">
        <f>IF('Données projet'!$A$88&gt;35,BD14+BC15-BL14,IF(A15&lt;'Données projet'!$A$88,$BA$205^A15,IF(A15='Données projet'!$A$88,'Données projet'!$B$88,BD14+BC15-BL14)))</f>
        <v>11.649463506960293</v>
      </c>
      <c r="BE15" s="13">
        <f>BD15*VLOOKUP('Données projet'!$B$11,Paramètres!$A$1:$I$89,3,0)*VLOOKUP('Données projet'!$B$11,Paramètres!$A$1:$I$89,5,0)</f>
        <v>13.420181960018256</v>
      </c>
      <c r="BF15" s="13">
        <f t="shared" si="37"/>
        <v>4.5712964984685227</v>
      </c>
      <c r="BG15" s="20">
        <f t="shared" si="7"/>
        <v>31.335158315197802</v>
      </c>
      <c r="BH15" s="59">
        <f t="shared" si="8"/>
        <v>228.36493576793066</v>
      </c>
      <c r="BI15" s="59">
        <f ca="1">AVERAGE(OFFSET($BH$3,0,0,'Données projet'!$E$11+1,1))-AVERAGE(OFFSET($H$3,0,0,'Données projet'!$E$11+1,1))</f>
        <v>418.31716673276725</v>
      </c>
      <c r="BJ15" s="59">
        <f t="shared" si="38"/>
        <v>472.37891533957929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0.53933333333333333</v>
      </c>
      <c r="BY15" s="12">
        <f>IF('Données projet'!$A$114&gt;35,BY14+BX15-CG14,IF(A15&lt;'Données projet'!$A$114,$BV$205^A15,IF(A15='Données projet'!$A$114,'Données projet'!$B$114,BY14+BX15-CG14)))</f>
        <v>5.3254807268119979</v>
      </c>
      <c r="BZ15" s="13">
        <f>BY15*VLOOKUP('Données projet'!$B$12,Paramètres!$A$1:$I$89,3,0)*VLOOKUP('Données projet'!$B$12,Paramètres!$A$1:$I$89,5,0)</f>
        <v>3.1154062251850188</v>
      </c>
      <c r="CA15" s="13">
        <f t="shared" si="39"/>
        <v>1.2578291033096136</v>
      </c>
      <c r="CB15" s="20">
        <f t="shared" si="10"/>
        <v>7.6167181971281517</v>
      </c>
      <c r="CC15" s="59">
        <f t="shared" si="11"/>
        <v>204.64649564986104</v>
      </c>
      <c r="CD15" s="59">
        <f ca="1">AVERAGE(OFFSET($CC$3,0,0,'Données projet'!$E$12+1,1))-AVERAGE(OFFSET($H$3,0,0,'Données projet'!$E$12+1,1))</f>
        <v>184.11352167663844</v>
      </c>
      <c r="CE15" s="59">
        <f t="shared" si="40"/>
        <v>145.86653500981791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2.1790000000000003</v>
      </c>
      <c r="CT15" s="12">
        <f>IF('Données projet'!$A$140&gt;35,CT14+CS15-DB14,IF(A15&lt;'Données projet'!$A$140,$CQ$205^A15,IF(A15='Données projet'!$A$140,'Données projet'!$B$140,CT14+CS15-DB14)))</f>
        <v>5.3229378322967476</v>
      </c>
      <c r="CU15" s="17">
        <f>CT15*VLOOKUP('Données projet'!$B$13,Paramètres!$A$1:$I$89,3,0)*VLOOKUP('Données projet'!$B$13,Paramètres!$A$1:$I$89,5,0)</f>
        <v>2.5603330973347358</v>
      </c>
      <c r="CV15" s="13">
        <f t="shared" si="41"/>
        <v>1.0576033701911833</v>
      </c>
      <c r="CW15" s="20">
        <f t="shared" si="13"/>
        <v>6.301239347607642</v>
      </c>
      <c r="CX15" s="59">
        <f t="shared" si="14"/>
        <v>203.33101680034051</v>
      </c>
      <c r="CY15" s="59">
        <f ca="1">AVERAGE(OFFSET($CX$3,0,0,'Données projet'!$E$13+1,1))-AVERAGE(OFFSET($H$3,0,0,'Données projet'!$E$13+1,1))</f>
        <v>303.76035885073708</v>
      </c>
      <c r="CZ15" s="59">
        <f t="shared" si="42"/>
        <v>127.43112562890414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5.6</v>
      </c>
      <c r="DO15" s="12">
        <f>IF('Données projet'!$A$166&gt;35,DO14+DN15-DW14,IF(A15&lt;'Données projet'!$A$166,$DL$205^A15,IF(A15='Données projet'!$A$166,'Données projet'!$B$166,DO14+DN15-DW14)))</f>
        <v>25.200000000000003</v>
      </c>
      <c r="DP15" s="17">
        <f>DO15*VLOOKUP('Données projet'!$B$14,Paramètres!$A$1:$I$89,3,0)*VLOOKUP('Données projet'!$B$14,Paramètres!$A$1:$I$89,5,0)</f>
        <v>14.545440000000003</v>
      </c>
      <c r="DQ15" s="13">
        <f t="shared" si="43"/>
        <v>4.908372578687783</v>
      </c>
      <c r="DR15" s="20">
        <f t="shared" si="16"/>
        <v>33.882056907881221</v>
      </c>
      <c r="DS15" s="59">
        <f t="shared" si="17"/>
        <v>230.91183436061408</v>
      </c>
      <c r="DT15" s="59">
        <f ca="1">AVERAGE(OFFSET($DS$3,0,0,'Données projet'!$E$14+1,1))-AVERAGE(OFFSET($H$3,0,0,'Données projet'!$E$14+1,1))</f>
        <v>243.65374431792841</v>
      </c>
      <c r="DU15" s="59">
        <f t="shared" si="44"/>
        <v>271.60754570002939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2.1</v>
      </c>
      <c r="EJ15" s="12">
        <f>IF('Données projet'!$A$192&gt;35,EJ14+EI15-ER14,IF(A15&lt;'Données projet'!$A$192,$EG$205^A15,IF(A15='Données projet'!$A$192,'Données projet'!$B$192,EJ14+EI15-ER14)))</f>
        <v>9.4178024044149407</v>
      </c>
      <c r="EK15" s="17">
        <f>EJ15*VLOOKUP('Données projet'!$B$15,Paramètres!$A$1:$I$89,3,0)*VLOOKUP('Données projet'!$B$15,Paramètres!$A$1:$I$89,5,0)</f>
        <v>6.3174618528815421</v>
      </c>
      <c r="EL15" s="13">
        <f t="shared" si="45"/>
        <v>2.3491542326671957</v>
      </c>
      <c r="EM15" s="20">
        <f t="shared" si="19"/>
        <v>15.094356348997385</v>
      </c>
      <c r="EN15" s="59">
        <f t="shared" si="20"/>
        <v>212.12413380173027</v>
      </c>
      <c r="EO15" s="59">
        <f ca="1">AVERAGE(OFFSET($EN$3,0,0,'Données projet'!$E$15+1,1))-AVERAGE(OFFSET($H$3,0,0,'Données projet'!$E$15+1,1))</f>
        <v>321.44781099085594</v>
      </c>
      <c r="EP15" s="59">
        <f t="shared" si="46"/>
        <v>201.22243186578183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0.6</v>
      </c>
      <c r="FE15" s="12">
        <f>IF('Données projet'!$A$218&gt;35,FE14+FD15-FM14,IF(A15&lt;'Données projet'!$A$218,$FB$205^A15,IF(A15='Données projet'!$A$218,'Données projet'!$B$218,FE14+FD15-FM14)))</f>
        <v>5.799546134795289</v>
      </c>
      <c r="FF15" s="17">
        <f>FE15*VLOOKUP('Données projet'!$B$16,Paramètres!$A$1:$I$89,3,0)*VLOOKUP('Données projet'!$B$16,Paramètres!$A$1:$I$89,5,0)</f>
        <v>5.0664835033571656</v>
      </c>
      <c r="FG15" s="13">
        <f t="shared" si="47"/>
        <v>1.9329955120863267</v>
      </c>
      <c r="FH15" s="20">
        <f t="shared" si="22"/>
        <v>12.190759285230749</v>
      </c>
      <c r="FI15" s="59">
        <f t="shared" si="23"/>
        <v>209.22053673796361</v>
      </c>
      <c r="FJ15" s="59">
        <f ca="1">AVERAGE(OFFSET($FI$3,0,0,'Données projet'!$E$16+1,1))-AVERAGE(OFFSET($H$3,0,0,'Données projet'!$E$16+1,1))</f>
        <v>285.8437404763045</v>
      </c>
      <c r="FK15" s="59">
        <f t="shared" si="48"/>
        <v>276.01618888357268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2.4666666666666668</v>
      </c>
      <c r="FZ15" s="12">
        <f>IF('Données projet'!$A$244&gt;35,FZ14+FY15-GH14,IF(A15&lt;'Données projet'!$A$244,$FW$205^A15,IF(A15='Données projet'!$A$244,'Données projet'!$B$244,FZ14+FY15-GH14)))</f>
        <v>17.970550417308221</v>
      </c>
      <c r="GA15" s="17">
        <f>FZ15*VLOOKUP('Données projet'!$B$17,Paramètres!$A$1:$I$89,3,0)*VLOOKUP('Données projet'!$B$17,Paramètres!$A$1:$I$89,5,0)</f>
        <v>14.297369912010421</v>
      </c>
      <c r="GB15" s="13">
        <f t="shared" si="49"/>
        <v>4.8343312187127445</v>
      </c>
      <c r="GC15" s="20">
        <f t="shared" si="25"/>
        <v>33.321046136009507</v>
      </c>
      <c r="GD15" s="59">
        <f t="shared" si="26"/>
        <v>230.35082358874237</v>
      </c>
      <c r="GE15" s="59">
        <f ca="1">AVERAGE(OFFSET($GD$3,0,0,'Données projet'!$E$17+1,1))-AVERAGE(OFFSET($H$3,0,0,'Données projet'!$E$17+1,1))</f>
        <v>323.01113210765487</v>
      </c>
      <c r="GF15" s="59">
        <f t="shared" si="50"/>
        <v>311.68541696405975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0.6</v>
      </c>
      <c r="GU15" s="12">
        <f>IF('Données projet'!$A$270&gt;35,GU14+GT15-HC14,IF(A15&lt;'Données projet'!$A$270,$GR$205^A15,IF(A15='Données projet'!$A$270,'Données projet'!$B$270,GU14+GT15-HC14)))</f>
        <v>5.799546134795289</v>
      </c>
      <c r="GV15" s="17">
        <f>GU15*VLOOKUP('Données projet'!$B$18,Paramètres!$A$1:$I$89,3,0)*VLOOKUP('Données projet'!$B$18,Paramètres!$A$1:$I$89,5,0)</f>
        <v>5.0664835033571656</v>
      </c>
      <c r="GW15" s="13">
        <f t="shared" si="51"/>
        <v>1.9329955120863267</v>
      </c>
      <c r="GX15" s="20">
        <f t="shared" si="28"/>
        <v>12.190759285230749</v>
      </c>
      <c r="GY15" s="59">
        <f t="shared" si="29"/>
        <v>209.22053673796361</v>
      </c>
      <c r="GZ15" s="59">
        <f ca="1">AVERAGE(OFFSET($GY$3,0,0,'Données projet'!$E$18+1,1))-AVERAGE(OFFSET($H$3,0,0,'Données projet'!$E$18+1,1))</f>
        <v>285.8437404763045</v>
      </c>
      <c r="HA15" s="59">
        <f t="shared" si="52"/>
        <v>276.01618888357268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1.2</v>
      </c>
      <c r="N16" s="13">
        <f>IF('Données projet'!$A$36&gt;35,N15+M16-V15,IF(A16&lt;'Données projet'!$A$36,$K$205^A16,IF(A16='Données projet'!$A$36,'Données projet'!$B$36,N15+M16-V15)))</f>
        <v>5.8627726400958746</v>
      </c>
      <c r="O16" s="13">
        <f>N16*VLOOKUP('Données projet'!$B$9,Paramètres!$A$1:$I$89,3,0)*VLOOKUP('Données projet'!$B$9,Paramètres!$A$1:$I$89,5,0)</f>
        <v>5.3046366847587469</v>
      </c>
      <c r="P16" s="13">
        <f t="shared" si="33"/>
        <v>2.0130649729098407</v>
      </c>
      <c r="Q16" s="20">
        <f t="shared" si="2"/>
        <v>12.74499705377279</v>
      </c>
      <c r="R16" s="59">
        <f t="shared" si="0"/>
        <v>212.28599730539159</v>
      </c>
      <c r="S16" s="59">
        <f ca="1">AVERAGE(OFFSET($R$3,0,0,'Données projet'!$E$9+1,1))-AVERAGE(OFFSET($H$3,0,0,'Données projet'!$E$9+1,1))</f>
        <v>315.34103933739129</v>
      </c>
      <c r="T16" s="59">
        <f t="shared" si="34"/>
        <v>165.80901858372513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7.1952941176470588</v>
      </c>
      <c r="AI16" s="13">
        <f>IF('Données projet'!$A$62&gt;35,AI15+AH16-AQ15,IF(A16&lt;'Données projet'!$A$62,$AF$205^A16,IF(A16='Données projet'!$A$62,'Données projet'!$B$62,AI15+AH16-AQ15)))</f>
        <v>39.474950722834407</v>
      </c>
      <c r="AJ16" s="13">
        <f>AI16*VLOOKUP('Données projet'!$B$10,Paramètres!$A$1:$I$89,3,0)*VLOOKUP('Données projet'!$B$10,Paramètres!$A$1:$I$89,5,0)</f>
        <v>23.606020532254977</v>
      </c>
      <c r="AK16" s="13">
        <f t="shared" si="35"/>
        <v>7.5293067975293804</v>
      </c>
      <c r="AL16" s="20">
        <f t="shared" si="4"/>
        <v>54.227361766041078</v>
      </c>
      <c r="AM16" s="59">
        <f t="shared" si="5"/>
        <v>253.76836201765988</v>
      </c>
      <c r="AN16" s="59">
        <f ca="1">AVERAGE(OFFSET($AM$3,0,0,'Données projet'!$E$10+1,1))-AVERAGE(OFFSET($H$3,0,0,'Données projet'!$E$10+1,1))</f>
        <v>317.328615425664</v>
      </c>
      <c r="AO16" s="59">
        <f t="shared" si="36"/>
        <v>324.95872842255744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5.654583333333334</v>
      </c>
      <c r="BD16" s="12">
        <f>IF('Données projet'!$A$88&gt;35,BD15+BC16-BL15,IF(A16&lt;'Données projet'!$A$88,$BA$205^A16,IF(A16='Données projet'!$A$88,'Données projet'!$B$88,BD15+BC16-BL15)))</f>
        <v>14.294361212791856</v>
      </c>
      <c r="BE16" s="13">
        <f>BD16*VLOOKUP('Données projet'!$B$11,Paramètres!$A$1:$I$89,3,0)*VLOOKUP('Données projet'!$B$11,Paramètres!$A$1:$I$89,5,0)</f>
        <v>16.467104117136216</v>
      </c>
      <c r="BF16" s="13">
        <f t="shared" si="37"/>
        <v>5.4771552422550425</v>
      </c>
      <c r="BG16" s="20">
        <f t="shared" si="7"/>
        <v>38.219585050939777</v>
      </c>
      <c r="BH16" s="59">
        <f t="shared" si="8"/>
        <v>237.76058530255858</v>
      </c>
      <c r="BI16" s="59">
        <f ca="1">AVERAGE(OFFSET($BH$3,0,0,'Données projet'!$E$11+1,1))-AVERAGE(OFFSET($H$3,0,0,'Données projet'!$E$11+1,1))</f>
        <v>418.31716673276725</v>
      </c>
      <c r="BJ16" s="59">
        <f t="shared" si="38"/>
        <v>472.37891533957929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0.53933333333333333</v>
      </c>
      <c r="BY16" s="12">
        <f>IF('Données projet'!$A$114&gt;35,BY15+BX16-CG15,IF(A16&lt;'Données projet'!$A$114,$BV$205^A16,IF(A16='Données projet'!$A$114,'Données projet'!$B$114,BY15+BX16-CG15)))</f>
        <v>6.121935064725827</v>
      </c>
      <c r="BZ16" s="13">
        <f>BY16*VLOOKUP('Données projet'!$B$12,Paramètres!$A$1:$I$89,3,0)*VLOOKUP('Données projet'!$B$12,Paramètres!$A$1:$I$89,5,0)</f>
        <v>3.5813320128646091</v>
      </c>
      <c r="CA16" s="13">
        <f t="shared" si="39"/>
        <v>1.4226755244132667</v>
      </c>
      <c r="CB16" s="20">
        <f t="shared" si="10"/>
        <v>8.7153131274256328</v>
      </c>
      <c r="CC16" s="59">
        <f t="shared" si="11"/>
        <v>208.25631337904446</v>
      </c>
      <c r="CD16" s="59">
        <f ca="1">AVERAGE(OFFSET($CC$3,0,0,'Données projet'!$E$12+1,1))-AVERAGE(OFFSET($H$3,0,0,'Données projet'!$E$12+1,1))</f>
        <v>184.11352167663844</v>
      </c>
      <c r="CE16" s="59">
        <f t="shared" si="40"/>
        <v>145.86653500981791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2.1790000000000003</v>
      </c>
      <c r="CT16" s="12">
        <f>IF('Données projet'!$A$140&gt;35,CT15+CS16-DB15,IF(A16&lt;'Données projet'!$A$140,$CQ$205^A16,IF(A16='Données projet'!$A$140,'Données projet'!$B$140,CT15+CS16-DB15)))</f>
        <v>6.1187683298077093</v>
      </c>
      <c r="CU16" s="17">
        <f>CT16*VLOOKUP('Données projet'!$B$13,Paramètres!$A$1:$I$89,3,0)*VLOOKUP('Données projet'!$B$13,Paramètres!$A$1:$I$89,5,0)</f>
        <v>2.9431275666375081</v>
      </c>
      <c r="CV16" s="13">
        <f t="shared" si="41"/>
        <v>1.1961668811559309</v>
      </c>
      <c r="CW16" s="20">
        <f t="shared" si="13"/>
        <v>7.2092711632402393</v>
      </c>
      <c r="CX16" s="59">
        <f t="shared" si="14"/>
        <v>206.75027141485904</v>
      </c>
      <c r="CY16" s="59">
        <f ca="1">AVERAGE(OFFSET($CX$3,0,0,'Données projet'!$E$13+1,1))-AVERAGE(OFFSET($H$3,0,0,'Données projet'!$E$13+1,1))</f>
        <v>303.76035885073708</v>
      </c>
      <c r="CZ16" s="59">
        <f t="shared" si="42"/>
        <v>127.43112562890414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5.6</v>
      </c>
      <c r="DO16" s="12">
        <f>IF('Données projet'!$A$166&gt;35,DO15+DN16-DW15,IF(A16&lt;'Données projet'!$A$166,$DL$205^A16,IF(A16='Données projet'!$A$166,'Données projet'!$B$166,DO15+DN16-DW15)))</f>
        <v>30.800000000000004</v>
      </c>
      <c r="DP16" s="17">
        <f>DO16*VLOOKUP('Données projet'!$B$14,Paramètres!$A$1:$I$89,3,0)*VLOOKUP('Données projet'!$B$14,Paramètres!$A$1:$I$89,5,0)</f>
        <v>17.777760000000001</v>
      </c>
      <c r="DQ16" s="13">
        <f t="shared" si="43"/>
        <v>5.8606180247710986</v>
      </c>
      <c r="DR16" s="20">
        <f t="shared" si="16"/>
        <v>41.170175059809658</v>
      </c>
      <c r="DS16" s="59">
        <f t="shared" si="17"/>
        <v>240.71117531142846</v>
      </c>
      <c r="DT16" s="59">
        <f ca="1">AVERAGE(OFFSET($DS$3,0,0,'Données projet'!$E$14+1,1))-AVERAGE(OFFSET($H$3,0,0,'Données projet'!$E$14+1,1))</f>
        <v>243.65374431792841</v>
      </c>
      <c r="DU16" s="59">
        <f t="shared" si="44"/>
        <v>271.60754570002939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2.1</v>
      </c>
      <c r="EJ16" s="12">
        <f>IF('Données projet'!$A$192&gt;35,EJ15+EI16-ER15,IF(A16&lt;'Données projet'!$A$192,$EG$205^A16,IF(A16='Données projet'!$A$192,'Données projet'!$B$192,EJ15+EI16-ER15)))</f>
        <v>11.35303662145153</v>
      </c>
      <c r="EK16" s="17">
        <f>EJ16*VLOOKUP('Données projet'!$B$15,Paramètres!$A$1:$I$89,3,0)*VLOOKUP('Données projet'!$B$15,Paramètres!$A$1:$I$89,5,0)</f>
        <v>7.6156169656696866</v>
      </c>
      <c r="EL16" s="13">
        <f t="shared" si="45"/>
        <v>2.7709372105119989</v>
      </c>
      <c r="EM16" s="20">
        <f t="shared" si="19"/>
        <v>18.089915190183103</v>
      </c>
      <c r="EN16" s="59">
        <f t="shared" si="20"/>
        <v>217.6309154418019</v>
      </c>
      <c r="EO16" s="59">
        <f ca="1">AVERAGE(OFFSET($EN$3,0,0,'Données projet'!$E$15+1,1))-AVERAGE(OFFSET($H$3,0,0,'Données projet'!$E$15+1,1))</f>
        <v>321.44781099085594</v>
      </c>
      <c r="EP16" s="59">
        <f t="shared" si="46"/>
        <v>201.22243186578183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0.6</v>
      </c>
      <c r="FE16" s="12">
        <f>IF('Données projet'!$A$218&gt;35,FE15+FD16-FM15,IF(A16&lt;'Données projet'!$A$218,$FB$205^A16,IF(A16='Données projet'!$A$218,'Données projet'!$B$218,FE15+FD16-FM15)))</f>
        <v>6.7144458364886441</v>
      </c>
      <c r="FF16" s="17">
        <f>FE16*VLOOKUP('Données projet'!$B$16,Paramètres!$A$1:$I$89,3,0)*VLOOKUP('Données projet'!$B$16,Paramètres!$A$1:$I$89,5,0)</f>
        <v>5.86573988275648</v>
      </c>
      <c r="FG16" s="13">
        <f t="shared" si="47"/>
        <v>2.2000983287624218</v>
      </c>
      <c r="FH16" s="20">
        <f t="shared" si="22"/>
        <v>14.048001551728753</v>
      </c>
      <c r="FI16" s="59">
        <f t="shared" si="23"/>
        <v>213.58900180334757</v>
      </c>
      <c r="FJ16" s="59">
        <f ca="1">AVERAGE(OFFSET($FI$3,0,0,'Données projet'!$E$16+1,1))-AVERAGE(OFFSET($H$3,0,0,'Données projet'!$E$16+1,1))</f>
        <v>285.8437404763045</v>
      </c>
      <c r="FK16" s="59">
        <f t="shared" si="48"/>
        <v>276.01618888357268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2.4666666666666668</v>
      </c>
      <c r="FZ16" s="12">
        <f>IF('Données projet'!$A$244&gt;35,FZ15+FY16-GH15,IF(A16&lt;'Données projet'!$A$244,$FW$205^A16,IF(A16='Données projet'!$A$244,'Données projet'!$B$244,FZ15+FY16-GH15)))</f>
        <v>22.86168101684942</v>
      </c>
      <c r="GA16" s="17">
        <f>FZ16*VLOOKUP('Données projet'!$B$17,Paramètres!$A$1:$I$89,3,0)*VLOOKUP('Données projet'!$B$17,Paramètres!$A$1:$I$89,5,0)</f>
        <v>18.188753417005401</v>
      </c>
      <c r="GB16" s="13">
        <f t="shared" si="49"/>
        <v>5.9801756254374139</v>
      </c>
      <c r="GC16" s="20">
        <f t="shared" si="25"/>
        <v>42.094218082254564</v>
      </c>
      <c r="GD16" s="59">
        <f t="shared" si="26"/>
        <v>241.63521833387338</v>
      </c>
      <c r="GE16" s="59">
        <f ca="1">AVERAGE(OFFSET($GD$3,0,0,'Données projet'!$E$17+1,1))-AVERAGE(OFFSET($H$3,0,0,'Données projet'!$E$17+1,1))</f>
        <v>323.01113210765487</v>
      </c>
      <c r="GF16" s="59">
        <f t="shared" si="50"/>
        <v>311.68541696405975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0.6</v>
      </c>
      <c r="GU16" s="12">
        <f>IF('Données projet'!$A$270&gt;35,GU15+GT16-HC15,IF(A16&lt;'Données projet'!$A$270,$GR$205^A16,IF(A16='Données projet'!$A$270,'Données projet'!$B$270,GU15+GT16-HC15)))</f>
        <v>6.7144458364886441</v>
      </c>
      <c r="GV16" s="17">
        <f>GU16*VLOOKUP('Données projet'!$B$18,Paramètres!$A$1:$I$89,3,0)*VLOOKUP('Données projet'!$B$18,Paramètres!$A$1:$I$89,5,0)</f>
        <v>5.86573988275648</v>
      </c>
      <c r="GW16" s="13">
        <f t="shared" si="51"/>
        <v>2.2000983287624218</v>
      </c>
      <c r="GX16" s="20">
        <f t="shared" si="28"/>
        <v>14.048001551728753</v>
      </c>
      <c r="GY16" s="59">
        <f t="shared" si="29"/>
        <v>213.58900180334757</v>
      </c>
      <c r="GZ16" s="59">
        <f ca="1">AVERAGE(OFFSET($GY$3,0,0,'Données projet'!$E$18+1,1))-AVERAGE(OFFSET($H$3,0,0,'Données projet'!$E$18+1,1))</f>
        <v>285.8437404763045</v>
      </c>
      <c r="HA16" s="59">
        <f t="shared" si="52"/>
        <v>276.01618888357268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1.2</v>
      </c>
      <c r="N17" s="13">
        <f>IF('Données projet'!$A$36&gt;35,N16+M17-V16,IF(A17&lt;'Données projet'!$A$36,$K$205^A17,IF(A17='Données projet'!$A$36,'Données projet'!$B$36,N16+M17-V16)))</f>
        <v>6.7171941741218459</v>
      </c>
      <c r="O17" s="13">
        <f>N17*VLOOKUP('Données projet'!$B$9,Paramètres!$A$1:$I$89,3,0)*VLOOKUP('Données projet'!$B$9,Paramètres!$A$1:$I$89,5,0)</f>
        <v>6.077717288745446</v>
      </c>
      <c r="P17" s="13">
        <f t="shared" si="33"/>
        <v>2.2702054705343011</v>
      </c>
      <c r="Q17" s="20">
        <f t="shared" si="2"/>
        <v>14.53929880574556</v>
      </c>
      <c r="R17" s="59">
        <f t="shared" si="0"/>
        <v>216.56916057801874</v>
      </c>
      <c r="S17" s="59">
        <f ca="1">AVERAGE(OFFSET($R$3,0,0,'Données projet'!$E$9+1,1))-AVERAGE(OFFSET($H$3,0,0,'Données projet'!$E$9+1,1))</f>
        <v>315.34103933739129</v>
      </c>
      <c r="T17" s="59">
        <f t="shared" si="34"/>
        <v>165.80901858372513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7.1952941176470588</v>
      </c>
      <c r="AI17" s="13">
        <f>IF('Données projet'!$A$62&gt;35,AI16+AH17-AQ16,IF(A17&lt;'Données projet'!$A$62,$AF$205^A17,IF(A17='Données projet'!$A$62,'Données projet'!$B$62,AI16+AH17-AQ16)))</f>
        <v>52.373978489724536</v>
      </c>
      <c r="AJ17" s="13">
        <f>AI17*VLOOKUP('Données projet'!$B$10,Paramètres!$A$1:$I$89,3,0)*VLOOKUP('Données projet'!$B$10,Paramètres!$A$1:$I$89,5,0)</f>
        <v>31.319639136855276</v>
      </c>
      <c r="AK17" s="13">
        <f t="shared" si="35"/>
        <v>9.6661992876148126</v>
      </c>
      <c r="AL17" s="20">
        <f t="shared" si="4"/>
        <v>71.383668589285392</v>
      </c>
      <c r="AM17" s="59">
        <f t="shared" si="5"/>
        <v>273.41353036155857</v>
      </c>
      <c r="AN17" s="59">
        <f ca="1">AVERAGE(OFFSET($AM$3,0,0,'Données projet'!$E$10+1,1))-AVERAGE(OFFSET($H$3,0,0,'Données projet'!$E$10+1,1))</f>
        <v>317.328615425664</v>
      </c>
      <c r="AO17" s="59">
        <f t="shared" si="36"/>
        <v>324.95872842255744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5.654583333333334</v>
      </c>
      <c r="BD17" s="12">
        <f>IF('Données projet'!$A$88&gt;35,BD16+BC17-BL16,IF(A17&lt;'Données projet'!$A$88,$BA$205^A17,IF(A17='Données projet'!$A$88,'Données projet'!$B$88,BD16+BC17-BL16)))</f>
        <v>17.539757290941886</v>
      </c>
      <c r="BE17" s="13">
        <f>BD17*VLOOKUP('Données projet'!$B$11,Paramètres!$A$1:$I$89,3,0)*VLOOKUP('Données projet'!$B$11,Paramètres!$A$1:$I$89,5,0)</f>
        <v>20.205800399165053</v>
      </c>
      <c r="BF17" s="13">
        <f t="shared" si="37"/>
        <v>6.5625210611064588</v>
      </c>
      <c r="BG17" s="20">
        <f t="shared" si="7"/>
        <v>46.621493209972876</v>
      </c>
      <c r="BH17" s="59">
        <f t="shared" si="8"/>
        <v>248.65135498224606</v>
      </c>
      <c r="BI17" s="59">
        <f ca="1">AVERAGE(OFFSET($BH$3,0,0,'Données projet'!$E$11+1,1))-AVERAGE(OFFSET($H$3,0,0,'Données projet'!$E$11+1,1))</f>
        <v>418.31716673276725</v>
      </c>
      <c r="BJ17" s="59">
        <f t="shared" si="38"/>
        <v>472.37891533957929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0.53933333333333333</v>
      </c>
      <c r="BY17" s="12">
        <f>IF('Données projet'!$A$114&gt;35,BY16+BX17-CG16,IF(A17&lt;'Données projet'!$A$114,$BV$205^A17,IF(A17='Données projet'!$A$114,'Données projet'!$B$114,BY16+BX17-CG16)))</f>
        <v>7.0375034403993038</v>
      </c>
      <c r="BZ17" s="13">
        <f>BY17*VLOOKUP('Données projet'!$B$12,Paramètres!$A$1:$I$89,3,0)*VLOOKUP('Données projet'!$B$12,Paramètres!$A$1:$I$89,5,0)</f>
        <v>4.1169395126335928</v>
      </c>
      <c r="CA17" s="13">
        <f t="shared" si="39"/>
        <v>1.6091261065902971</v>
      </c>
      <c r="CB17" s="20">
        <f t="shared" si="10"/>
        <v>9.9728976201482755</v>
      </c>
      <c r="CC17" s="59">
        <f t="shared" si="11"/>
        <v>212.00275939242147</v>
      </c>
      <c r="CD17" s="59">
        <f ca="1">AVERAGE(OFFSET($CC$3,0,0,'Données projet'!$E$12+1,1))-AVERAGE(OFFSET($H$3,0,0,'Données projet'!$E$12+1,1))</f>
        <v>184.11352167663844</v>
      </c>
      <c r="CE17" s="59">
        <f t="shared" si="40"/>
        <v>145.86653500981791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2.1790000000000003</v>
      </c>
      <c r="CT17" s="12">
        <f>IF('Données projet'!$A$140&gt;35,CT16+CS17-DB16,IF(A17&lt;'Données projet'!$A$140,$CQ$205^A17,IF(A17='Données projet'!$A$140,'Données projet'!$B$140,CT16+CS17-DB16)))</f>
        <v>7.0335831552823995</v>
      </c>
      <c r="CU17" s="17">
        <f>CT17*VLOOKUP('Données projet'!$B$13,Paramètres!$A$1:$I$89,3,0)*VLOOKUP('Données projet'!$B$13,Paramètres!$A$1:$I$89,5,0)</f>
        <v>3.383153497690834</v>
      </c>
      <c r="CV17" s="13">
        <f t="shared" si="41"/>
        <v>1.3528845008461514</v>
      </c>
      <c r="CW17" s="20">
        <f t="shared" si="13"/>
        <v>8.2485995141185828</v>
      </c>
      <c r="CX17" s="59">
        <f t="shared" si="14"/>
        <v>210.27846128639177</v>
      </c>
      <c r="CY17" s="59">
        <f ca="1">AVERAGE(OFFSET($CX$3,0,0,'Données projet'!$E$13+1,1))-AVERAGE(OFFSET($H$3,0,0,'Données projet'!$E$13+1,1))</f>
        <v>303.76035885073708</v>
      </c>
      <c r="CZ17" s="59">
        <f t="shared" si="42"/>
        <v>127.43112562890414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5.6</v>
      </c>
      <c r="DO17" s="12">
        <f>IF('Données projet'!$A$166&gt;35,DO16+DN17-DW16,IF(A17&lt;'Données projet'!$A$166,$DL$205^A17,IF(A17='Données projet'!$A$166,'Données projet'!$B$166,DO16+DN17-DW16)))</f>
        <v>36.400000000000006</v>
      </c>
      <c r="DP17" s="17">
        <f>DO17*VLOOKUP('Données projet'!$B$14,Paramètres!$A$1:$I$89,3,0)*VLOOKUP('Données projet'!$B$14,Paramètres!$A$1:$I$89,5,0)</f>
        <v>21.010080000000002</v>
      </c>
      <c r="DQ17" s="13">
        <f t="shared" si="43"/>
        <v>6.7928056007422697</v>
      </c>
      <c r="DR17" s="20">
        <f t="shared" si="16"/>
        <v>48.423359087959454</v>
      </c>
      <c r="DS17" s="59">
        <f t="shared" si="17"/>
        <v>250.45322086023265</v>
      </c>
      <c r="DT17" s="59">
        <f ca="1">AVERAGE(OFFSET($DS$3,0,0,'Données projet'!$E$14+1,1))-AVERAGE(OFFSET($H$3,0,0,'Données projet'!$E$14+1,1))</f>
        <v>243.65374431792841</v>
      </c>
      <c r="DU17" s="59">
        <f t="shared" si="44"/>
        <v>271.60754570002939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2.1</v>
      </c>
      <c r="EJ17" s="12">
        <f>IF('Données projet'!$A$192&gt;35,EJ16+EI17-ER16,IF(A17&lt;'Données projet'!$A$192,$EG$205^A17,IF(A17='Données projet'!$A$192,'Données projet'!$B$192,EJ16+EI17-ER16)))</f>
        <v>13.685935953338433</v>
      </c>
      <c r="EK17" s="17">
        <f>EJ17*VLOOKUP('Données projet'!$B$15,Paramètres!$A$1:$I$89,3,0)*VLOOKUP('Données projet'!$B$15,Paramètres!$A$1:$I$89,5,0)</f>
        <v>9.1805258374994221</v>
      </c>
      <c r="EL17" s="13">
        <f t="shared" si="45"/>
        <v>3.2684499458694205</v>
      </c>
      <c r="EM17" s="20">
        <f t="shared" si="19"/>
        <v>21.681966156034065</v>
      </c>
      <c r="EN17" s="59">
        <f t="shared" si="20"/>
        <v>223.71182792830726</v>
      </c>
      <c r="EO17" s="59">
        <f ca="1">AVERAGE(OFFSET($EN$3,0,0,'Données projet'!$E$15+1,1))-AVERAGE(OFFSET($H$3,0,0,'Données projet'!$E$15+1,1))</f>
        <v>321.44781099085594</v>
      </c>
      <c r="EP17" s="59">
        <f t="shared" si="46"/>
        <v>201.22243186578183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0.6</v>
      </c>
      <c r="FE17" s="12">
        <f>IF('Données projet'!$A$218&gt;35,FE16+FD17-FM16,IF(A17&lt;'Données projet'!$A$218,$FB$205^A17,IF(A17='Données projet'!$A$218,'Données projet'!$B$218,FE16+FD17-FM16)))</f>
        <v>7.7736743261084582</v>
      </c>
      <c r="FF17" s="17">
        <f>FE17*VLOOKUP('Données projet'!$B$16,Paramètres!$A$1:$I$89,3,0)*VLOOKUP('Données projet'!$B$16,Paramètres!$A$1:$I$89,5,0)</f>
        <v>6.7910818912883508</v>
      </c>
      <c r="FG17" s="13">
        <f t="shared" si="47"/>
        <v>2.5041096194780144</v>
      </c>
      <c r="FH17" s="20">
        <f t="shared" si="22"/>
        <v>16.189125214584752</v>
      </c>
      <c r="FI17" s="59">
        <f t="shared" si="23"/>
        <v>218.21898698685794</v>
      </c>
      <c r="FJ17" s="59">
        <f ca="1">AVERAGE(OFFSET($FI$3,0,0,'Données projet'!$E$16+1,1))-AVERAGE(OFFSET($H$3,0,0,'Données projet'!$E$16+1,1))</f>
        <v>285.8437404763045</v>
      </c>
      <c r="FK17" s="59">
        <f t="shared" si="48"/>
        <v>276.01618888357268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2.4666666666666668</v>
      </c>
      <c r="FZ17" s="12">
        <f>IF('Données projet'!$A$244&gt;35,FZ16+FY17-GH16,IF(A17&lt;'Données projet'!$A$244,$FW$205^A17,IF(A17='Données projet'!$A$244,'Données projet'!$B$244,FZ16+FY17-GH16)))</f>
        <v>29.084054009429774</v>
      </c>
      <c r="GA17" s="17">
        <f>FZ17*VLOOKUP('Données projet'!$B$17,Paramètres!$A$1:$I$89,3,0)*VLOOKUP('Données projet'!$B$17,Paramètres!$A$1:$I$89,5,0)</f>
        <v>23.13927336990233</v>
      </c>
      <c r="GB17" s="13">
        <f t="shared" si="49"/>
        <v>7.3976107331343286</v>
      </c>
      <c r="GC17" s="20">
        <f t="shared" si="25"/>
        <v>53.185073146122171</v>
      </c>
      <c r="GD17" s="59">
        <f t="shared" si="26"/>
        <v>255.21493491839536</v>
      </c>
      <c r="GE17" s="59">
        <f ca="1">AVERAGE(OFFSET($GD$3,0,0,'Données projet'!$E$17+1,1))-AVERAGE(OFFSET($H$3,0,0,'Données projet'!$E$17+1,1))</f>
        <v>323.01113210765487</v>
      </c>
      <c r="GF17" s="59">
        <f t="shared" si="50"/>
        <v>311.68541696405975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0.6</v>
      </c>
      <c r="GU17" s="12">
        <f>IF('Données projet'!$A$270&gt;35,GU16+GT17-HC16,IF(A17&lt;'Données projet'!$A$270,$GR$205^A17,IF(A17='Données projet'!$A$270,'Données projet'!$B$270,GU16+GT17-HC16)))</f>
        <v>7.7736743261084582</v>
      </c>
      <c r="GV17" s="17">
        <f>GU17*VLOOKUP('Données projet'!$B$18,Paramètres!$A$1:$I$89,3,0)*VLOOKUP('Données projet'!$B$18,Paramètres!$A$1:$I$89,5,0)</f>
        <v>6.7910818912883508</v>
      </c>
      <c r="GW17" s="13">
        <f t="shared" si="51"/>
        <v>2.5041096194780144</v>
      </c>
      <c r="GX17" s="20">
        <f t="shared" si="28"/>
        <v>16.189125214584752</v>
      </c>
      <c r="GY17" s="59">
        <f t="shared" si="29"/>
        <v>218.21898698685794</v>
      </c>
      <c r="GZ17" s="59">
        <f ca="1">AVERAGE(OFFSET($GY$3,0,0,'Données projet'!$E$18+1,1))-AVERAGE(OFFSET($H$3,0,0,'Données projet'!$E$18+1,1))</f>
        <v>285.8437404763045</v>
      </c>
      <c r="HA17" s="59">
        <f t="shared" si="52"/>
        <v>276.01618888357268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1.2</v>
      </c>
      <c r="N18" s="13">
        <f>IF('Données projet'!$A$36&gt;35,N17+M18-V17,IF(A18&lt;'Données projet'!$A$36,$K$205^A18,IF(A18='Données projet'!$A$36,'Données projet'!$B$36,N17+M18-V17)))</f>
        <v>7.6961363407260848</v>
      </c>
      <c r="O18" s="13">
        <f>N18*VLOOKUP('Données projet'!$B$9,Paramètres!$A$1:$I$89,3,0)*VLOOKUP('Données projet'!$B$9,Paramètres!$A$1:$I$89,5,0)</f>
        <v>6.9634641610889609</v>
      </c>
      <c r="P18" s="13">
        <f t="shared" si="33"/>
        <v>2.5601920195323435</v>
      </c>
      <c r="Q18" s="20">
        <f t="shared" si="2"/>
        <v>16.587034514582104</v>
      </c>
      <c r="R18" s="59">
        <f t="shared" si="0"/>
        <v>221.08378444746316</v>
      </c>
      <c r="S18" s="59">
        <f ca="1">AVERAGE(OFFSET($R$3,0,0,'Données projet'!$E$9+1,1))-AVERAGE(OFFSET($H$3,0,0,'Données projet'!$E$9+1,1))</f>
        <v>315.34103933739129</v>
      </c>
      <c r="T18" s="59">
        <f t="shared" si="34"/>
        <v>165.80901858372513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7.1952941176470588</v>
      </c>
      <c r="AI18" s="13">
        <f>IF('Données projet'!$A$62&gt;35,AI17+AH18-AQ17,IF(A18&lt;'Données projet'!$A$62,$AF$205^A18,IF(A18='Données projet'!$A$62,'Données projet'!$B$62,AI17+AH18-AQ17)))</f>
        <v>69.487955592441367</v>
      </c>
      <c r="AJ18" s="13">
        <f>AI18*VLOOKUP('Données projet'!$B$10,Paramètres!$A$1:$I$89,3,0)*VLOOKUP('Données projet'!$B$10,Paramètres!$A$1:$I$89,5,0)</f>
        <v>41.553797444279937</v>
      </c>
      <c r="AK18" s="13">
        <f t="shared" si="35"/>
        <v>12.409563214842624</v>
      </c>
      <c r="AL18" s="20">
        <f t="shared" si="4"/>
        <v>93.986186481305097</v>
      </c>
      <c r="AM18" s="59">
        <f t="shared" si="5"/>
        <v>298.48293641418616</v>
      </c>
      <c r="AN18" s="59">
        <f ca="1">AVERAGE(OFFSET($AM$3,0,0,'Données projet'!$E$10+1,1))-AVERAGE(OFFSET($H$3,0,0,'Données projet'!$E$10+1,1))</f>
        <v>317.328615425664</v>
      </c>
      <c r="AO18" s="59">
        <f t="shared" si="36"/>
        <v>324.95872842255744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5.654583333333334</v>
      </c>
      <c r="BD18" s="12">
        <f>IF('Données projet'!$A$88&gt;35,BD17+BC18-BL17,IF(A18&lt;'Données projet'!$A$88,$BA$205^A18,IF(A18='Données projet'!$A$88,'Données projet'!$B$88,BD17+BC18-BL17)))</f>
        <v>21.521989072855028</v>
      </c>
      <c r="BE18" s="13">
        <f>BD18*VLOOKUP('Données projet'!$B$11,Paramètres!$A$1:$I$89,3,0)*VLOOKUP('Données projet'!$B$11,Paramètres!$A$1:$I$89,5,0)</f>
        <v>24.793331411928989</v>
      </c>
      <c r="BF18" s="13">
        <f t="shared" si="37"/>
        <v>7.8629654944259881</v>
      </c>
      <c r="BG18" s="20">
        <f t="shared" si="7"/>
        <v>56.876383778568247</v>
      </c>
      <c r="BH18" s="59">
        <f t="shared" si="8"/>
        <v>261.37313371144927</v>
      </c>
      <c r="BI18" s="59">
        <f ca="1">AVERAGE(OFFSET($BH$3,0,0,'Données projet'!$E$11+1,1))-AVERAGE(OFFSET($H$3,0,0,'Données projet'!$E$11+1,1))</f>
        <v>418.31716673276725</v>
      </c>
      <c r="BJ18" s="59">
        <f t="shared" si="38"/>
        <v>472.37891533957929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8.09</v>
      </c>
      <c r="BW18" s="12">
        <f>VLOOKUP(A18,'Données projet'!$A$113:$I$133,9,0)</f>
        <v>0.53933333333333333</v>
      </c>
      <c r="BX18" s="12">
        <f t="array" ref="BX18">INDEX(BW:BW,MIN(IF(ISNUMBER(BW18:BW214),ROW(BW18:BW214),"")))</f>
        <v>0.53933333333333333</v>
      </c>
      <c r="BY18" s="12">
        <f>IF('Données projet'!$A$114&gt;35,BY17+BX18-CG17,IF(A18&lt;'Données projet'!$A$114,$BV$205^A18,IF(A18='Données projet'!$A$114,'Données projet'!$B$114,BY17+BX18-CG17)))</f>
        <v>8.09</v>
      </c>
      <c r="BZ18" s="13">
        <f>BY18*VLOOKUP('Données projet'!$B$12,Paramètres!$A$1:$I$89,3,0)*VLOOKUP('Données projet'!$B$12,Paramètres!$A$1:$I$89,5,0)</f>
        <v>4.7326499999999996</v>
      </c>
      <c r="CA18" s="13">
        <f t="shared" si="39"/>
        <v>1.8200122111317725</v>
      </c>
      <c r="CB18" s="20">
        <f t="shared" si="10"/>
        <v>11.412553351054504</v>
      </c>
      <c r="CC18" s="59">
        <f t="shared" si="11"/>
        <v>215.90930328393554</v>
      </c>
      <c r="CD18" s="59">
        <f ca="1">AVERAGE(OFFSET($CC$3,0,0,'Données projet'!$E$12+1,1))-AVERAGE(OFFSET($H$3,0,0,'Données projet'!$E$12+1,1))</f>
        <v>184.11352167663844</v>
      </c>
      <c r="CE18" s="59">
        <f t="shared" si="40"/>
        <v>145.86653500981791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0.25200000000000006</v>
      </c>
      <c r="CJ18" s="16">
        <f>IF(ISNA(VLOOKUP(A18,'Données projet'!$A$113:$I$133,7,0)),0%,VLOOKUP(A18,'Données projet'!$A$113:$I$133,7,0))</f>
        <v>0.44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2.1790000000000003</v>
      </c>
      <c r="CT18" s="12">
        <f>IF('Données projet'!$A$140&gt;35,CT17+CS18-DB17,IF(A18&lt;'Données projet'!$A$140,$CQ$205^A18,IF(A18='Données projet'!$A$140,'Données projet'!$B$140,CT17+CS18-DB17)))</f>
        <v>8.0851716122788755</v>
      </c>
      <c r="CU18" s="17">
        <f>CT18*VLOOKUP('Données projet'!$B$13,Paramètres!$A$1:$I$89,3,0)*VLOOKUP('Données projet'!$B$13,Paramètres!$A$1:$I$89,5,0)</f>
        <v>3.888967545506139</v>
      </c>
      <c r="CV18" s="13">
        <f t="shared" si="41"/>
        <v>1.5301347173740594</v>
      </c>
      <c r="CW18" s="20">
        <f t="shared" si="13"/>
        <v>9.4382697745163444</v>
      </c>
      <c r="CX18" s="59">
        <f t="shared" si="14"/>
        <v>213.9350197073974</v>
      </c>
      <c r="CY18" s="59">
        <f ca="1">AVERAGE(OFFSET($CX$3,0,0,'Données projet'!$E$13+1,1))-AVERAGE(OFFSET($H$3,0,0,'Données projet'!$E$13+1,1))</f>
        <v>303.76035885073708</v>
      </c>
      <c r="CZ18" s="59">
        <f t="shared" si="42"/>
        <v>127.43112562890414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42</v>
      </c>
      <c r="DM18" s="12">
        <f>VLOOKUP(A18,'Données projet'!$A$165:$I$185,9,0)</f>
        <v>5.6</v>
      </c>
      <c r="DN18" s="12">
        <f t="array" ref="DN18">INDEX(DM:DM,MIN(IF(ISNUMBER(DM18:DM214),ROW(DM18:DM214),"")))</f>
        <v>5.6</v>
      </c>
      <c r="DO18" s="12">
        <f>IF('Données projet'!$A$166&gt;35,DO17+DN18-DW17,IF(A18&lt;'Données projet'!$A$166,$DL$205^A18,IF(A18='Données projet'!$A$166,'Données projet'!$B$166,DO17+DN18-DW17)))</f>
        <v>42.000000000000007</v>
      </c>
      <c r="DP18" s="17">
        <f>DO18*VLOOKUP('Données projet'!$B$14,Paramètres!$A$1:$I$89,3,0)*VLOOKUP('Données projet'!$B$14,Paramètres!$A$1:$I$89,5,0)</f>
        <v>24.242400000000004</v>
      </c>
      <c r="DQ18" s="13">
        <f t="shared" si="43"/>
        <v>7.7083792976822032</v>
      </c>
      <c r="DR18" s="20">
        <f t="shared" si="16"/>
        <v>55.647607276796499</v>
      </c>
      <c r="DS18" s="59">
        <f t="shared" si="17"/>
        <v>260.14435720967754</v>
      </c>
      <c r="DT18" s="59">
        <f ca="1">AVERAGE(OFFSET($DS$3,0,0,'Données projet'!$E$14+1,1))-AVERAGE(OFFSET($H$3,0,0,'Données projet'!$E$14+1,1))</f>
        <v>243.65374431792841</v>
      </c>
      <c r="DU18" s="59">
        <f t="shared" si="44"/>
        <v>271.60754570002939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2.1</v>
      </c>
      <c r="EJ18" s="12">
        <f>IF('Données projet'!$A$192&gt;35,EJ17+EI18-ER17,IF(A18&lt;'Données projet'!$A$192,$EG$205^A18,IF(A18='Données projet'!$A$192,'Données projet'!$B$192,EJ17+EI18-ER17)))</f>
        <v>16.498215337821566</v>
      </c>
      <c r="EK18" s="17">
        <f>EJ18*VLOOKUP('Données projet'!$B$15,Paramètres!$A$1:$I$89,3,0)*VLOOKUP('Données projet'!$B$15,Paramètres!$A$1:$I$89,5,0)</f>
        <v>11.067002848610706</v>
      </c>
      <c r="EL18" s="13">
        <f t="shared" si="45"/>
        <v>3.8552894696159199</v>
      </c>
      <c r="EM18" s="20">
        <f t="shared" si="19"/>
        <v>25.989659120911373</v>
      </c>
      <c r="EN18" s="59">
        <f t="shared" si="20"/>
        <v>230.48640905379241</v>
      </c>
      <c r="EO18" s="59">
        <f ca="1">AVERAGE(OFFSET($EN$3,0,0,'Données projet'!$E$15+1,1))-AVERAGE(OFFSET($H$3,0,0,'Données projet'!$E$15+1,1))</f>
        <v>321.44781099085594</v>
      </c>
      <c r="EP18" s="59">
        <f t="shared" si="46"/>
        <v>201.22243186578183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9</v>
      </c>
      <c r="FC18" s="12">
        <f>VLOOKUP(A18,'Données projet'!$A$217:$I$237,9,0)</f>
        <v>0.6</v>
      </c>
      <c r="FD18" s="12">
        <f t="array" ref="FD18">INDEX(FC:FC,MIN(IF(ISNUMBER(FC18:FC214),ROW(FC18:FC214),"")))</f>
        <v>0.6</v>
      </c>
      <c r="FE18" s="12">
        <f>IF('Données projet'!$A$218&gt;35,FE17+FD18-FM17,IF(A18&lt;'Données projet'!$A$218,$FB$205^A18,IF(A18='Données projet'!$A$218,'Données projet'!$B$218,FE17+FD18-FM17)))</f>
        <v>9</v>
      </c>
      <c r="FF18" s="17">
        <f>FE18*VLOOKUP('Données projet'!$B$16,Paramètres!$A$1:$I$89,3,0)*VLOOKUP('Données projet'!$B$16,Paramètres!$A$1:$I$89,5,0)</f>
        <v>7.8624000000000018</v>
      </c>
      <c r="FG18" s="13">
        <f t="shared" si="47"/>
        <v>2.8501294257559766</v>
      </c>
      <c r="FH18" s="20">
        <f t="shared" si="22"/>
        <v>18.657655416524996</v>
      </c>
      <c r="FI18" s="59">
        <f t="shared" si="23"/>
        <v>223.15440534940603</v>
      </c>
      <c r="FJ18" s="59">
        <f ca="1">AVERAGE(OFFSET($FI$3,0,0,'Données projet'!$E$16+1,1))-AVERAGE(OFFSET($H$3,0,0,'Données projet'!$E$16+1,1))</f>
        <v>285.8437404763045</v>
      </c>
      <c r="FK18" s="59">
        <f t="shared" si="48"/>
        <v>276.01618888357268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37</v>
      </c>
      <c r="FX18" s="12">
        <f>VLOOKUP(A18,'Données projet'!$A$243:$I$263,9,0)</f>
        <v>2.4666666666666668</v>
      </c>
      <c r="FY18" s="12">
        <f t="array" ref="FY18">INDEX(FX:FX,MIN(IF(ISNUMBER(FX18:FX214),ROW(FX18:FX214),"")))</f>
        <v>2.4666666666666668</v>
      </c>
      <c r="FZ18" s="12">
        <f>IF('Données projet'!$A$244&gt;35,FZ17+FY18-GH17,IF(A18&lt;'Données projet'!$A$244,$FW$205^A18,IF(A18='Données projet'!$A$244,'Données projet'!$B$244,FZ17+FY18-GH17)))</f>
        <v>37</v>
      </c>
      <c r="GA18" s="17">
        <f>FZ18*VLOOKUP('Données projet'!$B$17,Paramètres!$A$1:$I$89,3,0)*VLOOKUP('Données projet'!$B$17,Paramètres!$A$1:$I$89,5,0)</f>
        <v>29.437200000000004</v>
      </c>
      <c r="GB18" s="13">
        <f t="shared" si="49"/>
        <v>9.1510096001539196</v>
      </c>
      <c r="GC18" s="20">
        <f t="shared" si="25"/>
        <v>67.207798386934755</v>
      </c>
      <c r="GD18" s="59">
        <f t="shared" si="26"/>
        <v>271.70454831981579</v>
      </c>
      <c r="GE18" s="59">
        <f ca="1">AVERAGE(OFFSET($GD$3,0,0,'Données projet'!$E$17+1,1))-AVERAGE(OFFSET($H$3,0,0,'Données projet'!$E$17+1,1))</f>
        <v>323.01113210765487</v>
      </c>
      <c r="GF18" s="59">
        <f t="shared" si="50"/>
        <v>311.68541696405975</v>
      </c>
      <c r="GG18" s="15">
        <f>IF(ISNA(VLOOKUP(A18,'Données projet'!$A$243:$I$263,3,0)),0,VLOOKUP(A18,'Données projet'!$A$243:$I$263,3,0))</f>
        <v>1</v>
      </c>
      <c r="GH18" s="15">
        <f>IF(ISNA(VLOOKUP(A18,'Données projet'!$A$243:$I$263,4,0)),0,VLOOKUP(A18,'Données projet'!$A$243:$I$263,4,0))</f>
        <v>15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9</v>
      </c>
      <c r="GS18" s="12">
        <f>VLOOKUP(A18,'Données projet'!$A$269:$I$289,9,0)</f>
        <v>0.6</v>
      </c>
      <c r="GT18" s="12">
        <f t="array" ref="GT18">INDEX(GS:GS,MIN(IF(ISNUMBER(GS18:GS214),ROW(GS18:GS214),"")))</f>
        <v>0.6</v>
      </c>
      <c r="GU18" s="12">
        <f>IF('Données projet'!$A$270&gt;35,GU17+GT18-HC17,IF(A18&lt;'Données projet'!$A$270,$GR$205^A18,IF(A18='Données projet'!$A$270,'Données projet'!$B$270,GU17+GT18-HC17)))</f>
        <v>9</v>
      </c>
      <c r="GV18" s="17">
        <f>GU18*VLOOKUP('Données projet'!$B$18,Paramètres!$A$1:$I$89,3,0)*VLOOKUP('Données projet'!$B$18,Paramètres!$A$1:$I$89,5,0)</f>
        <v>7.8624000000000018</v>
      </c>
      <c r="GW18" s="13">
        <f t="shared" si="51"/>
        <v>2.8501294257559766</v>
      </c>
      <c r="GX18" s="20">
        <f t="shared" si="28"/>
        <v>18.657655416524996</v>
      </c>
      <c r="GY18" s="59">
        <f t="shared" si="29"/>
        <v>223.15440534940603</v>
      </c>
      <c r="GZ18" s="59">
        <f ca="1">AVERAGE(OFFSET($GY$3,0,0,'Données projet'!$E$18+1,1))-AVERAGE(OFFSET($H$3,0,0,'Données projet'!$E$18+1,1))</f>
        <v>285.8437404763045</v>
      </c>
      <c r="HA18" s="59">
        <f t="shared" si="52"/>
        <v>276.01618888357268</v>
      </c>
      <c r="HB18" s="15">
        <f>IF(ISNA(VLOOKUP(A18,'Données projet'!$A$269:$I$289,3,0)),0,VLOOKUP(A18,'Données projet'!$A$269:$I$289,3,0))</f>
        <v>1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1.2</v>
      </c>
      <c r="N19" s="13">
        <f>IF('Données projet'!$A$36&gt;35,N18+M19-V18,IF(A19&lt;'Données projet'!$A$36,$K$205^A19,IF(A19='Données projet'!$A$36,'Données projet'!$B$36,N18+M19-V18)))</f>
        <v>8.8177463744060987</v>
      </c>
      <c r="O19" s="13">
        <f>N19*VLOOKUP('Données projet'!$B$9,Paramètres!$A$1:$I$89,3,0)*VLOOKUP('Données projet'!$B$9,Paramètres!$A$1:$I$89,5,0)</f>
        <v>7.9782969195626388</v>
      </c>
      <c r="P19" s="13">
        <f t="shared" si="33"/>
        <v>2.887220237089136</v>
      </c>
      <c r="Q19" s="20">
        <f t="shared" si="2"/>
        <v>18.924109047835174</v>
      </c>
      <c r="R19" s="59">
        <f t="shared" si="0"/>
        <v>225.86615496994924</v>
      </c>
      <c r="S19" s="59">
        <f ca="1">AVERAGE(OFFSET($R$3,0,0,'Données projet'!$E$9+1,1))-AVERAGE(OFFSET($H$3,0,0,'Données projet'!$E$9+1,1))</f>
        <v>315.34103933739129</v>
      </c>
      <c r="T19" s="59">
        <f t="shared" si="34"/>
        <v>165.80901858372513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7.1952941176470588</v>
      </c>
      <c r="AI19" s="13">
        <f>IF('Données projet'!$A$62&gt;35,AI18+AH19-AQ18,IF(A19&lt;'Données projet'!$A$62,$AF$205^A19,IF(A19='Données projet'!$A$62,'Données projet'!$B$62,AI18+AH19-AQ18)))</f>
        <v>92.194179469570756</v>
      </c>
      <c r="AJ19" s="13">
        <f>AI19*VLOOKUP('Données projet'!$B$10,Paramètres!$A$1:$I$89,3,0)*VLOOKUP('Données projet'!$B$10,Paramètres!$A$1:$I$89,5,0)</f>
        <v>55.13211932280332</v>
      </c>
      <c r="AK19" s="13">
        <f t="shared" si="35"/>
        <v>15.931521231978957</v>
      </c>
      <c r="AL19" s="20">
        <f t="shared" si="4"/>
        <v>123.76917396624582</v>
      </c>
      <c r="AM19" s="59">
        <f t="shared" si="5"/>
        <v>330.71121988835989</v>
      </c>
      <c r="AN19" s="59">
        <f ca="1">AVERAGE(OFFSET($AM$3,0,0,'Données projet'!$E$10+1,1))-AVERAGE(OFFSET($H$3,0,0,'Données projet'!$E$10+1,1))</f>
        <v>317.328615425664</v>
      </c>
      <c r="AO19" s="59">
        <f t="shared" si="36"/>
        <v>324.95872842255744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5.654583333333334</v>
      </c>
      <c r="BD19" s="12">
        <f>IF('Données projet'!$A$88&gt;35,BD18+BC19-BL18,IF(A19&lt;'Données projet'!$A$88,$BA$205^A19,IF(A19='Données projet'!$A$88,'Données projet'!$B$88,BD18+BC19-BL18)))</f>
        <v>26.408347958799922</v>
      </c>
      <c r="BE19" s="13">
        <f>BD19*VLOOKUP('Données projet'!$B$11,Paramètres!$A$1:$I$89,3,0)*VLOOKUP('Données projet'!$B$11,Paramètres!$A$1:$I$89,5,0)</f>
        <v>30.422416848537505</v>
      </c>
      <c r="BF19" s="13">
        <f t="shared" si="37"/>
        <v>9.4211090205796104</v>
      </c>
      <c r="BG19" s="20">
        <f t="shared" si="7"/>
        <v>69.3941408887123</v>
      </c>
      <c r="BH19" s="59">
        <f t="shared" si="8"/>
        <v>276.33618681082635</v>
      </c>
      <c r="BI19" s="59">
        <f ca="1">AVERAGE(OFFSET($BH$3,0,0,'Données projet'!$E$11+1,1))-AVERAGE(OFFSET($H$3,0,0,'Données projet'!$E$11+1,1))</f>
        <v>418.31716673276725</v>
      </c>
      <c r="BJ19" s="59">
        <f t="shared" si="38"/>
        <v>472.37891533957929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2.7566666666666664</v>
      </c>
      <c r="BY19" s="12">
        <f>IF('Données projet'!$A$114&gt;35,BY18+BX19-CG18,IF(A19&lt;'Données projet'!$A$114,$BV$205^A19,IF(A19='Données projet'!$A$114,'Données projet'!$B$114,BY18+BX19-CG18)))</f>
        <v>10.846666666666666</v>
      </c>
      <c r="BZ19" s="13">
        <f>BY19*VLOOKUP('Données projet'!$B$12,Paramètres!$A$1:$I$89,3,0)*VLOOKUP('Données projet'!$B$12,Paramètres!$A$1:$I$89,5,0)</f>
        <v>6.3452999999999991</v>
      </c>
      <c r="CA19" s="13">
        <f t="shared" si="39"/>
        <v>2.3582986012810325</v>
      </c>
      <c r="CB19" s="20">
        <f t="shared" si="10"/>
        <v>15.158767563897795</v>
      </c>
      <c r="CC19" s="59">
        <f t="shared" si="11"/>
        <v>222.10081348601184</v>
      </c>
      <c r="CD19" s="59">
        <f ca="1">AVERAGE(OFFSET($CC$3,0,0,'Données projet'!$E$12+1,1))-AVERAGE(OFFSET($H$3,0,0,'Données projet'!$E$12+1,1))</f>
        <v>184.11352167663844</v>
      </c>
      <c r="CE19" s="59">
        <f t="shared" si="40"/>
        <v>145.86653500981791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2.1790000000000003</v>
      </c>
      <c r="CT19" s="12">
        <f>IF('Données projet'!$A$140&gt;35,CT18+CS19-DB18,IF(A19&lt;'Données projet'!$A$140,$CQ$205^A19,IF(A19='Données projet'!$A$140,'Données projet'!$B$140,CT18+CS19-DB18)))</f>
        <v>9.2939826766540286</v>
      </c>
      <c r="CU19" s="17">
        <f>CT19*VLOOKUP('Données projet'!$B$13,Paramètres!$A$1:$I$89,3,0)*VLOOKUP('Données projet'!$B$13,Paramètres!$A$1:$I$89,5,0)</f>
        <v>4.4704056674705877</v>
      </c>
      <c r="CV19" s="13">
        <f t="shared" si="41"/>
        <v>1.7306076400823847</v>
      </c>
      <c r="CW19" s="20">
        <f t="shared" si="13"/>
        <v>10.800098177321425</v>
      </c>
      <c r="CX19" s="59">
        <f t="shared" si="14"/>
        <v>217.74214409943548</v>
      </c>
      <c r="CY19" s="59">
        <f ca="1">AVERAGE(OFFSET($CX$3,0,0,'Données projet'!$E$13+1,1))-AVERAGE(OFFSET($H$3,0,0,'Données projet'!$E$13+1,1))</f>
        <v>303.76035885073708</v>
      </c>
      <c r="CZ19" s="59">
        <f t="shared" si="42"/>
        <v>127.43112562890414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7.8</v>
      </c>
      <c r="DO19" s="12">
        <f>IF('Données projet'!$A$166&gt;35,DO18+DN19-DW18,IF(A19&lt;'Données projet'!$A$166,$DL$205^A19,IF(A19='Données projet'!$A$166,'Données projet'!$B$166,DO18+DN19-DW18)))</f>
        <v>49.800000000000004</v>
      </c>
      <c r="DP19" s="17">
        <f>DO19*VLOOKUP('Données projet'!$B$14,Paramètres!$A$1:$I$89,3,0)*VLOOKUP('Données projet'!$B$14,Paramètres!$A$1:$I$89,5,0)</f>
        <v>28.744560000000003</v>
      </c>
      <c r="DQ19" s="13">
        <f t="shared" si="43"/>
        <v>8.9604918802504674</v>
      </c>
      <c r="DR19" s="20">
        <f t="shared" si="16"/>
        <v>65.66963202476957</v>
      </c>
      <c r="DS19" s="59">
        <f t="shared" si="17"/>
        <v>272.61167794688362</v>
      </c>
      <c r="DT19" s="59">
        <f ca="1">AVERAGE(OFFSET($DS$3,0,0,'Données projet'!$E$14+1,1))-AVERAGE(OFFSET($H$3,0,0,'Données projet'!$E$14+1,1))</f>
        <v>243.65374431792841</v>
      </c>
      <c r="DU19" s="59">
        <f t="shared" si="44"/>
        <v>271.60754570002939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2.1</v>
      </c>
      <c r="EJ19" s="12">
        <f>IF('Données projet'!$A$192&gt;35,EJ18+EI19-ER18,IF(A19&lt;'Données projet'!$A$192,$EG$205^A19,IF(A19='Données projet'!$A$192,'Données projet'!$B$192,EJ18+EI19-ER18)))</f>
        <v>19.888381054913147</v>
      </c>
      <c r="EK19" s="17">
        <f>EJ19*VLOOKUP('Données projet'!$B$15,Paramètres!$A$1:$I$89,3,0)*VLOOKUP('Données projet'!$B$15,Paramètres!$A$1:$I$89,5,0)</f>
        <v>13.34112601163574</v>
      </c>
      <c r="EL19" s="13">
        <f t="shared" si="45"/>
        <v>4.5474941151585293</v>
      </c>
      <c r="EM19" s="20">
        <f t="shared" si="19"/>
        <v>31.156013387500014</v>
      </c>
      <c r="EN19" s="59">
        <f t="shared" si="20"/>
        <v>238.09805930961409</v>
      </c>
      <c r="EO19" s="59">
        <f ca="1">AVERAGE(OFFSET($EN$3,0,0,'Données projet'!$E$15+1,1))-AVERAGE(OFFSET($H$3,0,0,'Données projet'!$E$15+1,1))</f>
        <v>321.44781099085594</v>
      </c>
      <c r="EP19" s="59">
        <f t="shared" si="46"/>
        <v>201.22243186578183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9.6</v>
      </c>
      <c r="FE19" s="12">
        <f>IF('Données projet'!$A$218&gt;35,FE18+FD19-FM18,IF(A19&lt;'Données projet'!$A$218,$FB$205^A19,IF(A19='Données projet'!$A$218,'Données projet'!$B$218,FE18+FD19-FM18)))</f>
        <v>18.600000000000001</v>
      </c>
      <c r="FF19" s="17">
        <f>FE19*VLOOKUP('Données projet'!$B$16,Paramètres!$A$1:$I$89,3,0)*VLOOKUP('Données projet'!$B$16,Paramètres!$A$1:$I$89,5,0)</f>
        <v>16.248960000000004</v>
      </c>
      <c r="FG19" s="13">
        <f t="shared" si="47"/>
        <v>5.4129939058841199</v>
      </c>
      <c r="FH19" s="20">
        <f t="shared" si="22"/>
        <v>37.727903052748182</v>
      </c>
      <c r="FI19" s="59">
        <f t="shared" si="23"/>
        <v>244.66994897486225</v>
      </c>
      <c r="FJ19" s="59">
        <f ca="1">AVERAGE(OFFSET($FI$3,0,0,'Données projet'!$E$16+1,1))-AVERAGE(OFFSET($H$3,0,0,'Données projet'!$E$16+1,1))</f>
        <v>285.8437404763045</v>
      </c>
      <c r="FK19" s="59">
        <f t="shared" si="48"/>
        <v>276.01618888357268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11.6</v>
      </c>
      <c r="FZ19" s="12">
        <f>IF('Données projet'!$A$244&gt;35,FZ18+FY19-GH18,IF(A19&lt;'Données projet'!$A$244,$FW$205^A19,IF(A19='Données projet'!$A$244,'Données projet'!$B$244,FZ18+FY19-GH18)))</f>
        <v>33.6</v>
      </c>
      <c r="GA19" s="17">
        <f>FZ19*VLOOKUP('Données projet'!$B$17,Paramètres!$A$1:$I$89,3,0)*VLOOKUP('Données projet'!$B$17,Paramètres!$A$1:$I$89,5,0)</f>
        <v>26.732160000000004</v>
      </c>
      <c r="GB19" s="13">
        <f t="shared" si="49"/>
        <v>8.4038705306032053</v>
      </c>
      <c r="GC19" s="20">
        <f t="shared" si="25"/>
        <v>61.195253174133917</v>
      </c>
      <c r="GD19" s="59">
        <f t="shared" si="26"/>
        <v>268.137299096248</v>
      </c>
      <c r="GE19" s="59">
        <f ca="1">AVERAGE(OFFSET($GD$3,0,0,'Données projet'!$E$17+1,1))-AVERAGE(OFFSET($H$3,0,0,'Données projet'!$E$17+1,1))</f>
        <v>323.01113210765487</v>
      </c>
      <c r="GF19" s="59">
        <f t="shared" si="50"/>
        <v>311.68541696405975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9.6</v>
      </c>
      <c r="GU19" s="12">
        <f>IF('Données projet'!$A$270&gt;35,GU18+GT19-HC18,IF(A19&lt;'Données projet'!$A$270,$GR$205^A19,IF(A19='Données projet'!$A$270,'Données projet'!$B$270,GU18+GT19-HC18)))</f>
        <v>18.600000000000001</v>
      </c>
      <c r="GV19" s="17">
        <f>GU19*VLOOKUP('Données projet'!$B$18,Paramètres!$A$1:$I$89,3,0)*VLOOKUP('Données projet'!$B$18,Paramètres!$A$1:$I$89,5,0)</f>
        <v>16.248960000000004</v>
      </c>
      <c r="GW19" s="13">
        <f t="shared" si="51"/>
        <v>5.4129939058841199</v>
      </c>
      <c r="GX19" s="20">
        <f t="shared" si="28"/>
        <v>37.727903052748182</v>
      </c>
      <c r="GY19" s="59">
        <f t="shared" si="29"/>
        <v>244.66994897486225</v>
      </c>
      <c r="GZ19" s="59">
        <f ca="1">AVERAGE(OFFSET($GY$3,0,0,'Données projet'!$E$18+1,1))-AVERAGE(OFFSET($H$3,0,0,'Données projet'!$E$18+1,1))</f>
        <v>285.8437404763045</v>
      </c>
      <c r="HA19" s="59">
        <f t="shared" si="52"/>
        <v>276.01618888357268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1.2</v>
      </c>
      <c r="N20" s="13">
        <f>IF('Données projet'!$A$36&gt;35,N19+M20-V19,IF(A20&lt;'Données projet'!$A$36,$K$205^A20,IF(A20='Données projet'!$A$36,'Données projet'!$B$36,N19+M20-V19)))</f>
        <v>10.102816228956828</v>
      </c>
      <c r="O20" s="13">
        <f>N20*VLOOKUP('Données projet'!$B$9,Paramètres!$A$1:$I$89,3,0)*VLOOKUP('Données projet'!$B$9,Paramètres!$A$1:$I$89,5,0)</f>
        <v>9.1410281239601368</v>
      </c>
      <c r="P20" s="13">
        <f t="shared" si="33"/>
        <v>3.2560216709759704</v>
      </c>
      <c r="Q20" s="20">
        <f t="shared" si="2"/>
        <v>21.591528392847053</v>
      </c>
      <c r="R20" s="59">
        <f t="shared" si="0"/>
        <v>230.95765270871976</v>
      </c>
      <c r="S20" s="59">
        <f ca="1">AVERAGE(OFFSET($R$3,0,0,'Données projet'!$E$9+1,1))-AVERAGE(OFFSET($H$3,0,0,'Données projet'!$E$9+1,1))</f>
        <v>315.34103933739129</v>
      </c>
      <c r="T20" s="59">
        <f t="shared" si="34"/>
        <v>165.80901858372513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122.32</v>
      </c>
      <c r="AG20" s="12">
        <f>VLOOKUP(A20,'Données projet'!$A$61:$I$81,9,0)</f>
        <v>7.1952941176470588</v>
      </c>
      <c r="AH20" s="12">
        <f t="array" ref="AH20">INDEX(AG:AG,MIN(IF(ISNUMBER(AG20:AG216),ROW(AG20:AG216),"")))</f>
        <v>7.1952941176470588</v>
      </c>
      <c r="AI20" s="13">
        <f>IF('Données projet'!$A$62&gt;35,AI19+AH20-AQ19,IF(A20&lt;'Données projet'!$A$62,$AF$205^A20,IF(A20='Données projet'!$A$62,'Données projet'!$B$62,AI19+AH20-AQ19)))</f>
        <v>122.32</v>
      </c>
      <c r="AJ20" s="13">
        <f>AI20*VLOOKUP('Données projet'!$B$10,Paramètres!$A$1:$I$89,3,0)*VLOOKUP('Données projet'!$B$10,Paramètres!$A$1:$I$89,5,0)</f>
        <v>73.147360000000006</v>
      </c>
      <c r="AK20" s="13">
        <f t="shared" si="35"/>
        <v>20.453046120222783</v>
      </c>
      <c r="AL20" s="20">
        <f t="shared" si="4"/>
        <v>163.02070732605469</v>
      </c>
      <c r="AM20" s="59">
        <f t="shared" si="5"/>
        <v>372.38683164192742</v>
      </c>
      <c r="AN20" s="59">
        <f ca="1">AVERAGE(OFFSET($AM$3,0,0,'Données projet'!$E$10+1,1))-AVERAGE(OFFSET($H$3,0,0,'Données projet'!$E$10+1,1))</f>
        <v>317.328615425664</v>
      </c>
      <c r="AO20" s="59">
        <f t="shared" si="36"/>
        <v>324.95872842255744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41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0.25200000000000006</v>
      </c>
      <c r="AT20" s="16">
        <f>IF(ISNA(VLOOKUP(A20,'Données projet'!$A$61:$I$81,7,0)),0%,VLOOKUP(A20,'Données projet'!$A$61:$I$81,7,0))</f>
        <v>0.44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8.163954578522933</v>
      </c>
      <c r="AW20" s="21">
        <f>EXP(-LN(2)/2)*AW19+(1-EXP(-LN(2)/2))/(LN(2)/2)*AQ20*AT20*VLOOKUP('Données projet'!$B$10,Paramètres!$A$1:$I$89,3,0)*0.475*44/12</f>
        <v>12.214431447131711</v>
      </c>
      <c r="AX20" s="21">
        <f t="shared" si="6"/>
        <v>20.378386025654642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5.654583333333334</v>
      </c>
      <c r="BD20" s="12">
        <f>IF('Données projet'!$A$88&gt;35,BD19+BC20-BL19,IF(A20&lt;'Données projet'!$A$88,$BA$205^A20,IF(A20='Données projet'!$A$88,'Données projet'!$B$88,BD19+BC20-BL19)))</f>
        <v>32.404107238984736</v>
      </c>
      <c r="BE20" s="13">
        <f>BD20*VLOOKUP('Données projet'!$B$11,Paramètres!$A$1:$I$89,3,0)*VLOOKUP('Données projet'!$B$11,Paramètres!$A$1:$I$89,5,0)</f>
        <v>37.329531539310416</v>
      </c>
      <c r="BF20" s="13">
        <f t="shared" si="37"/>
        <v>11.288017891031837</v>
      </c>
      <c r="BG20" s="20">
        <f t="shared" si="7"/>
        <v>84.675565257846088</v>
      </c>
      <c r="BH20" s="59">
        <f t="shared" si="8"/>
        <v>294.04168957371883</v>
      </c>
      <c r="BI20" s="59">
        <f ca="1">AVERAGE(OFFSET($BH$3,0,0,'Données projet'!$E$11+1,1))-AVERAGE(OFFSET($H$3,0,0,'Données projet'!$E$11+1,1))</f>
        <v>418.31716673276725</v>
      </c>
      <c r="BJ20" s="59">
        <f t="shared" si="38"/>
        <v>472.37891533957929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2.7566666666666664</v>
      </c>
      <c r="BY20" s="12">
        <f>IF('Données projet'!$A$114&gt;35,BY19+BX20-CG19,IF(A20&lt;'Données projet'!$A$114,$BV$205^A20,IF(A20='Données projet'!$A$114,'Données projet'!$B$114,BY19+BX20-CG19)))</f>
        <v>13.603333333333332</v>
      </c>
      <c r="BZ20" s="13">
        <f>BY20*VLOOKUP('Données projet'!$B$12,Paramètres!$A$1:$I$89,3,0)*VLOOKUP('Données projet'!$B$12,Paramètres!$A$1:$I$89,5,0)</f>
        <v>7.9579499999999994</v>
      </c>
      <c r="CA20" s="13">
        <f t="shared" si="39"/>
        <v>2.8807131201596161</v>
      </c>
      <c r="CB20" s="20">
        <f t="shared" si="10"/>
        <v>18.877338267611329</v>
      </c>
      <c r="CC20" s="59">
        <f t="shared" si="11"/>
        <v>228.24346258348405</v>
      </c>
      <c r="CD20" s="59">
        <f ca="1">AVERAGE(OFFSET($CC$3,0,0,'Données projet'!$E$12+1,1))-AVERAGE(OFFSET($H$3,0,0,'Données projet'!$E$12+1,1))</f>
        <v>184.11352167663844</v>
      </c>
      <c r="CE20" s="59">
        <f t="shared" si="40"/>
        <v>145.86653500981791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2.1790000000000003</v>
      </c>
      <c r="CT20" s="12">
        <f>IF('Données projet'!$A$140&gt;35,CT19+CS20-DB19,IF(A20&lt;'Données projet'!$A$140,$CQ$205^A20,IF(A20='Données projet'!$A$140,'Données projet'!$B$140,CT19+CS20-DB19)))</f>
        <v>10.683522643200737</v>
      </c>
      <c r="CU20" s="17">
        <f>CT20*VLOOKUP('Données projet'!$B$13,Paramètres!$A$1:$I$89,3,0)*VLOOKUP('Données projet'!$B$13,Paramètres!$A$1:$I$89,5,0)</f>
        <v>5.1387743913795552</v>
      </c>
      <c r="CV20" s="13">
        <f t="shared" si="41"/>
        <v>1.9573458270729229</v>
      </c>
      <c r="CW20" s="20">
        <f t="shared" si="13"/>
        <v>12.359076047138066</v>
      </c>
      <c r="CX20" s="59">
        <f t="shared" si="14"/>
        <v>221.7252003630108</v>
      </c>
      <c r="CY20" s="59">
        <f ca="1">AVERAGE(OFFSET($CX$3,0,0,'Données projet'!$E$13+1,1))-AVERAGE(OFFSET($H$3,0,0,'Données projet'!$E$13+1,1))</f>
        <v>303.76035885073708</v>
      </c>
      <c r="CZ20" s="59">
        <f t="shared" si="42"/>
        <v>127.43112562890414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7.8</v>
      </c>
      <c r="DO20" s="12">
        <f>IF('Données projet'!$A$166&gt;35,DO19+DN20-DW19,IF(A20&lt;'Données projet'!$A$166,$DL$205^A20,IF(A20='Données projet'!$A$166,'Données projet'!$B$166,DO19+DN20-DW19)))</f>
        <v>57.6</v>
      </c>
      <c r="DP20" s="17">
        <f>DO20*VLOOKUP('Données projet'!$B$14,Paramètres!$A$1:$I$89,3,0)*VLOOKUP('Données projet'!$B$14,Paramètres!$A$1:$I$89,5,0)</f>
        <v>33.246720000000003</v>
      </c>
      <c r="DQ20" s="13">
        <f t="shared" si="43"/>
        <v>10.189885633448766</v>
      </c>
      <c r="DR20" s="20">
        <f t="shared" si="16"/>
        <v>75.652088144923269</v>
      </c>
      <c r="DS20" s="59">
        <f t="shared" si="17"/>
        <v>285.01821246079601</v>
      </c>
      <c r="DT20" s="59">
        <f ca="1">AVERAGE(OFFSET($DS$3,0,0,'Données projet'!$E$14+1,1))-AVERAGE(OFFSET($H$3,0,0,'Données projet'!$E$14+1,1))</f>
        <v>243.65374431792841</v>
      </c>
      <c r="DU20" s="59">
        <f t="shared" si="44"/>
        <v>271.60754570002939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2.1</v>
      </c>
      <c r="EJ20" s="12">
        <f>IF('Données projet'!$A$192&gt;35,EJ19+EI20-ER19,IF(A20&lt;'Données projet'!$A$192,$EG$205^A20,IF(A20='Données projet'!$A$192,'Données projet'!$B$192,EJ19+EI20-ER19)))</f>
        <v>23.975181126327602</v>
      </c>
      <c r="EK20" s="17">
        <f>EJ20*VLOOKUP('Données projet'!$B$15,Paramètres!$A$1:$I$89,3,0)*VLOOKUP('Données projet'!$B$15,Paramètres!$A$1:$I$89,5,0)</f>
        <v>16.082551499540557</v>
      </c>
      <c r="EL20" s="13">
        <f t="shared" si="45"/>
        <v>5.363981846338933</v>
      </c>
      <c r="EM20" s="20">
        <f t="shared" si="19"/>
        <v>37.352712244073444</v>
      </c>
      <c r="EN20" s="59">
        <f t="shared" si="20"/>
        <v>246.71883655994617</v>
      </c>
      <c r="EO20" s="59">
        <f ca="1">AVERAGE(OFFSET($EN$3,0,0,'Données projet'!$E$15+1,1))-AVERAGE(OFFSET($H$3,0,0,'Données projet'!$E$15+1,1))</f>
        <v>321.44781099085594</v>
      </c>
      <c r="EP20" s="59">
        <f t="shared" si="46"/>
        <v>201.22243186578183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9.6</v>
      </c>
      <c r="FE20" s="12">
        <f>IF('Données projet'!$A$218&gt;35,FE19+FD20-FM19,IF(A20&lt;'Données projet'!$A$218,$FB$205^A20,IF(A20='Données projet'!$A$218,'Données projet'!$B$218,FE19+FD20-FM19)))</f>
        <v>28.200000000000003</v>
      </c>
      <c r="FF20" s="17">
        <f>FE20*VLOOKUP('Données projet'!$B$16,Paramètres!$A$1:$I$89,3,0)*VLOOKUP('Données projet'!$B$16,Paramètres!$A$1:$I$89,5,0)</f>
        <v>24.635520000000007</v>
      </c>
      <c r="FG20" s="13">
        <f t="shared" si="47"/>
        <v>7.8187263384607988</v>
      </c>
      <c r="FH20" s="20">
        <f t="shared" si="22"/>
        <v>56.524479039485897</v>
      </c>
      <c r="FI20" s="59">
        <f t="shared" si="23"/>
        <v>265.89060335535862</v>
      </c>
      <c r="FJ20" s="59">
        <f ca="1">AVERAGE(OFFSET($FI$3,0,0,'Données projet'!$E$16+1,1))-AVERAGE(OFFSET($H$3,0,0,'Données projet'!$E$16+1,1))</f>
        <v>285.8437404763045</v>
      </c>
      <c r="FK20" s="59">
        <f t="shared" si="48"/>
        <v>276.01618888357268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11.6</v>
      </c>
      <c r="FZ20" s="12">
        <f>IF('Données projet'!$A$244&gt;35,FZ19+FY20-GH19,IF(A20&lt;'Données projet'!$A$244,$FW$205^A20,IF(A20='Données projet'!$A$244,'Données projet'!$B$244,FZ19+FY20-GH19)))</f>
        <v>45.2</v>
      </c>
      <c r="GA20" s="17">
        <f>FZ20*VLOOKUP('Données projet'!$B$17,Paramètres!$A$1:$I$89,3,0)*VLOOKUP('Données projet'!$B$17,Paramètres!$A$1:$I$89,5,0)</f>
        <v>35.961120000000008</v>
      </c>
      <c r="GB20" s="13">
        <f t="shared" si="49"/>
        <v>10.921600552662685</v>
      </c>
      <c r="GC20" s="20">
        <f t="shared" si="25"/>
        <v>81.654071629220851</v>
      </c>
      <c r="GD20" s="59">
        <f t="shared" si="26"/>
        <v>291.02019594509358</v>
      </c>
      <c r="GE20" s="59">
        <f ca="1">AVERAGE(OFFSET($GD$3,0,0,'Données projet'!$E$17+1,1))-AVERAGE(OFFSET($H$3,0,0,'Données projet'!$E$17+1,1))</f>
        <v>323.01113210765487</v>
      </c>
      <c r="GF20" s="59">
        <f t="shared" si="50"/>
        <v>311.68541696405975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9.6</v>
      </c>
      <c r="GU20" s="12">
        <f>IF('Données projet'!$A$270&gt;35,GU19+GT20-HC19,IF(A20&lt;'Données projet'!$A$270,$GR$205^A20,IF(A20='Données projet'!$A$270,'Données projet'!$B$270,GU19+GT20-HC19)))</f>
        <v>28.200000000000003</v>
      </c>
      <c r="GV20" s="17">
        <f>GU20*VLOOKUP('Données projet'!$B$18,Paramètres!$A$1:$I$89,3,0)*VLOOKUP('Données projet'!$B$18,Paramètres!$A$1:$I$89,5,0)</f>
        <v>24.635520000000007</v>
      </c>
      <c r="GW20" s="13">
        <f t="shared" si="51"/>
        <v>7.8187263384607988</v>
      </c>
      <c r="GX20" s="20">
        <f t="shared" si="28"/>
        <v>56.524479039485897</v>
      </c>
      <c r="GY20" s="59">
        <f t="shared" si="29"/>
        <v>265.89060335535862</v>
      </c>
      <c r="GZ20" s="59">
        <f ca="1">AVERAGE(OFFSET($GY$3,0,0,'Données projet'!$E$18+1,1))-AVERAGE(OFFSET($H$3,0,0,'Données projet'!$E$18+1,1))</f>
        <v>285.8437404763045</v>
      </c>
      <c r="HA20" s="59">
        <f t="shared" si="52"/>
        <v>276.01618888357268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1.2</v>
      </c>
      <c r="N21" s="13">
        <f>IF('Données projet'!$A$36&gt;35,N20+M21-V20,IF(A21&lt;'Données projet'!$A$36,$K$205^A21,IF(A21='Données projet'!$A$36,'Données projet'!$B$36,N20+M21-V20)))</f>
        <v>11.575168010312384</v>
      </c>
      <c r="O21" s="13">
        <f>N21*VLOOKUP('Données projet'!$B$9,Paramètres!$A$1:$I$89,3,0)*VLOOKUP('Données projet'!$B$9,Paramètres!$A$1:$I$89,5,0)</f>
        <v>10.473212015730644</v>
      </c>
      <c r="P21" s="13">
        <f t="shared" si="33"/>
        <v>3.6719322570811741</v>
      </c>
      <c r="Q21" s="20">
        <f t="shared" si="2"/>
        <v>24.636126275147248</v>
      </c>
      <c r="R21" s="59">
        <f t="shared" si="0"/>
        <v>236.40547946715037</v>
      </c>
      <c r="S21" s="59">
        <f ca="1">AVERAGE(OFFSET($R$3,0,0,'Données projet'!$E$9+1,1))-AVERAGE(OFFSET($H$3,0,0,'Données projet'!$E$9+1,1))</f>
        <v>315.34103933739129</v>
      </c>
      <c r="T21" s="59">
        <f t="shared" si="34"/>
        <v>165.80901858372513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17.72666666666667</v>
      </c>
      <c r="AI21" s="13">
        <f>IF('Données projet'!$A$62&gt;35,AI20+AH21-AQ20,IF(A21&lt;'Données projet'!$A$62,$AF$205^A21,IF(A21='Données projet'!$A$62,'Données projet'!$B$62,AI20+AH21-AQ20)))</f>
        <v>99.046666666666653</v>
      </c>
      <c r="AJ21" s="13">
        <f>AI21*VLOOKUP('Données projet'!$B$10,Paramètres!$A$1:$I$89,3,0)*VLOOKUP('Données projet'!$B$10,Paramètres!$A$1:$I$89,5,0)</f>
        <v>59.229906666666658</v>
      </c>
      <c r="AK21" s="13">
        <f t="shared" si="35"/>
        <v>16.973419114868605</v>
      </c>
      <c r="AL21" s="20">
        <f t="shared" si="4"/>
        <v>132.72079240284057</v>
      </c>
      <c r="AM21" s="59">
        <f t="shared" si="5"/>
        <v>344.49014559484368</v>
      </c>
      <c r="AN21" s="59">
        <f ca="1">AVERAGE(OFFSET($AM$3,0,0,'Données projet'!$E$10+1,1))-AVERAGE(OFFSET($H$3,0,0,'Données projet'!$E$10+1,1))</f>
        <v>317.328615425664</v>
      </c>
      <c r="AO21" s="59">
        <f t="shared" si="36"/>
        <v>324.95872842255744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7.9407108112495113</v>
      </c>
      <c r="AW21" s="21">
        <f>EXP(-LN(2)/2)*AW20+(1-EXP(-LN(2)/2))/(LN(2)/2)*AQ21*AT21*VLOOKUP('Données projet'!$B$10,Paramètres!$A$1:$I$89,3,0)*0.475*44/12</f>
        <v>8.6369073046050477</v>
      </c>
      <c r="AX21" s="21">
        <f t="shared" si="6"/>
        <v>16.577618115854559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5.654583333333334</v>
      </c>
      <c r="BD21" s="12">
        <f>IF('Données projet'!$A$88&gt;35,BD20+BC21-BL20,IF(A21&lt;'Données projet'!$A$88,$BA$205^A21,IF(A21='Données projet'!$A$88,'Données projet'!$B$88,BD20+BC21-BL20)))</f>
        <v>39.761145513296981</v>
      </c>
      <c r="BE21" s="13">
        <f>BD21*VLOOKUP('Données projet'!$B$11,Paramètres!$A$1:$I$89,3,0)*VLOOKUP('Données projet'!$B$11,Paramètres!$A$1:$I$89,5,0)</f>
        <v>45.804839631318117</v>
      </c>
      <c r="BF21" s="13">
        <f t="shared" si="37"/>
        <v>13.524877764381888</v>
      </c>
      <c r="BG21" s="20">
        <f t="shared" si="7"/>
        <v>103.33259113084416</v>
      </c>
      <c r="BH21" s="59">
        <f t="shared" si="8"/>
        <v>315.10194432284726</v>
      </c>
      <c r="BI21" s="59">
        <f ca="1">AVERAGE(OFFSET($BH$3,0,0,'Données projet'!$E$11+1,1))-AVERAGE(OFFSET($H$3,0,0,'Données projet'!$E$11+1,1))</f>
        <v>418.31716673276725</v>
      </c>
      <c r="BJ21" s="59">
        <f t="shared" si="38"/>
        <v>472.37891533957929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>
        <f>VLOOKUP(A21,'Données projet'!$A$113:$I$133,2,0)</f>
        <v>16.36</v>
      </c>
      <c r="BW21" s="12">
        <f>VLOOKUP(A21,'Données projet'!$A$113:$I$133,9,0)</f>
        <v>2.7566666666666664</v>
      </c>
      <c r="BX21" s="12">
        <f t="array" ref="BX21">INDEX(BW:BW,MIN(IF(ISNUMBER(BW21:BW217),ROW(BW21:BW217),"")))</f>
        <v>2.7566666666666664</v>
      </c>
      <c r="BY21" s="12">
        <f>IF('Données projet'!$A$114&gt;35,BY20+BX21-CG20,IF(A21&lt;'Données projet'!$A$114,$BV$205^A21,IF(A21='Données projet'!$A$114,'Données projet'!$B$114,BY20+BX21-CG20)))</f>
        <v>16.36</v>
      </c>
      <c r="BZ21" s="13">
        <f>BY21*VLOOKUP('Données projet'!$B$12,Paramètres!$A$1:$I$89,3,0)*VLOOKUP('Données projet'!$B$12,Paramètres!$A$1:$I$89,5,0)</f>
        <v>9.5706000000000007</v>
      </c>
      <c r="CA21" s="13">
        <f t="shared" si="39"/>
        <v>3.3908604075696052</v>
      </c>
      <c r="CB21" s="20">
        <f t="shared" si="10"/>
        <v>22.574543543183726</v>
      </c>
      <c r="CC21" s="59">
        <f t="shared" si="11"/>
        <v>234.34389673518683</v>
      </c>
      <c r="CD21" s="59">
        <f ca="1">AVERAGE(OFFSET($CC$3,0,0,'Données projet'!$E$12+1,1))-AVERAGE(OFFSET($H$3,0,0,'Données projet'!$E$12+1,1))</f>
        <v>184.11352167663844</v>
      </c>
      <c r="CE21" s="59">
        <f t="shared" si="40"/>
        <v>145.86653500981791</v>
      </c>
      <c r="CF21" s="15">
        <f>IF(ISNA(VLOOKUP(A21,'Données projet'!$A$113:$I$133,3,0)),0,VLOOKUP(A21,'Données projet'!$A$113:$I$133,3,0))</f>
        <v>1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0.25200000000000006</v>
      </c>
      <c r="CJ21" s="16">
        <f>IF(ISNA(VLOOKUP(A21,'Données projet'!$A$113:$I$133,7,0)),0%,VLOOKUP(A21,'Données projet'!$A$113:$I$133,7,0))</f>
        <v>0.44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2.1790000000000003</v>
      </c>
      <c r="CT21" s="12">
        <f>IF('Données projet'!$A$140&gt;35,CT20+CS21-DB20,IF(A21&lt;'Données projet'!$A$140,$CQ$205^A21,IF(A21='Données projet'!$A$140,'Données projet'!$B$140,CT20+CS21-DB20)))</f>
        <v>12.280812224288985</v>
      </c>
      <c r="CU21" s="17">
        <f>CT21*VLOOKUP('Données projet'!$B$13,Paramètres!$A$1:$I$89,3,0)*VLOOKUP('Données projet'!$B$13,Paramètres!$A$1:$I$89,5,0)</f>
        <v>5.9070706798830024</v>
      </c>
      <c r="CV21" s="13">
        <f t="shared" si="41"/>
        <v>2.2137904618157127</v>
      </c>
      <c r="CW21" s="20">
        <f t="shared" si="13"/>
        <v>14.143833155125259</v>
      </c>
      <c r="CX21" s="59">
        <f t="shared" si="14"/>
        <v>225.91318634712837</v>
      </c>
      <c r="CY21" s="59">
        <f ca="1">AVERAGE(OFFSET($CX$3,0,0,'Données projet'!$E$13+1,1))-AVERAGE(OFFSET($H$3,0,0,'Données projet'!$E$13+1,1))</f>
        <v>303.76035885073708</v>
      </c>
      <c r="CZ21" s="59">
        <f t="shared" si="42"/>
        <v>127.43112562890414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7.8</v>
      </c>
      <c r="DO21" s="12">
        <f>IF('Données projet'!$A$166&gt;35,DO20+DN21-DW20,IF(A21&lt;'Données projet'!$A$166,$DL$205^A21,IF(A21='Données projet'!$A$166,'Données projet'!$B$166,DO20+DN21-DW20)))</f>
        <v>65.400000000000006</v>
      </c>
      <c r="DP21" s="17">
        <f>DO21*VLOOKUP('Données projet'!$B$14,Paramètres!$A$1:$I$89,3,0)*VLOOKUP('Données projet'!$B$14,Paramètres!$A$1:$I$89,5,0)</f>
        <v>37.74888</v>
      </c>
      <c r="DQ21" s="13">
        <f t="shared" si="43"/>
        <v>11.399990824343929</v>
      </c>
      <c r="DR21" s="20">
        <f t="shared" si="16"/>
        <v>85.600950019065678</v>
      </c>
      <c r="DS21" s="59">
        <f t="shared" si="17"/>
        <v>297.3703032110688</v>
      </c>
      <c r="DT21" s="59">
        <f ca="1">AVERAGE(OFFSET($DS$3,0,0,'Données projet'!$E$14+1,1))-AVERAGE(OFFSET($H$3,0,0,'Données projet'!$E$14+1,1))</f>
        <v>243.65374431792841</v>
      </c>
      <c r="DU21" s="59">
        <f t="shared" si="44"/>
        <v>271.60754570002939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2.1</v>
      </c>
      <c r="EJ21" s="12">
        <f>IF('Données projet'!$A$192&gt;35,EJ20+EI21-ER20,IF(A21&lt;'Données projet'!$A$192,$EG$205^A21,IF(A21='Données projet'!$A$192,'Données projet'!$B$192,EJ20+EI21-ER20)))</f>
        <v>28.901764726506816</v>
      </c>
      <c r="EK21" s="17">
        <f>EJ21*VLOOKUP('Données projet'!$B$15,Paramètres!$A$1:$I$89,3,0)*VLOOKUP('Données projet'!$B$15,Paramètres!$A$1:$I$89,5,0)</f>
        <v>19.387303778540772</v>
      </c>
      <c r="EL21" s="13">
        <f t="shared" si="45"/>
        <v>6.32706728568259</v>
      </c>
      <c r="EM21" s="20">
        <f t="shared" si="19"/>
        <v>44.785862936855693</v>
      </c>
      <c r="EN21" s="59">
        <f t="shared" si="20"/>
        <v>256.55521612885877</v>
      </c>
      <c r="EO21" s="59">
        <f ca="1">AVERAGE(OFFSET($EN$3,0,0,'Données projet'!$E$15+1,1))-AVERAGE(OFFSET($H$3,0,0,'Données projet'!$E$15+1,1))</f>
        <v>321.44781099085594</v>
      </c>
      <c r="EP21" s="59">
        <f t="shared" si="46"/>
        <v>201.22243186578183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9.6</v>
      </c>
      <c r="FE21" s="12">
        <f>IF('Données projet'!$A$218&gt;35,FE20+FD21-FM20,IF(A21&lt;'Données projet'!$A$218,$FB$205^A21,IF(A21='Données projet'!$A$218,'Données projet'!$B$218,FE20+FD21-FM20)))</f>
        <v>37.800000000000004</v>
      </c>
      <c r="FF21" s="17">
        <f>FE21*VLOOKUP('Données projet'!$B$16,Paramètres!$A$1:$I$89,3,0)*VLOOKUP('Données projet'!$B$16,Paramètres!$A$1:$I$89,5,0)</f>
        <v>33.022080000000003</v>
      </c>
      <c r="FG21" s="13">
        <f t="shared" si="47"/>
        <v>10.129025278332465</v>
      </c>
      <c r="FH21" s="20">
        <f t="shared" si="22"/>
        <v>75.154841693095705</v>
      </c>
      <c r="FI21" s="59">
        <f t="shared" si="23"/>
        <v>286.92419488509881</v>
      </c>
      <c r="FJ21" s="59">
        <f ca="1">AVERAGE(OFFSET($FI$3,0,0,'Données projet'!$E$16+1,1))-AVERAGE(OFFSET($H$3,0,0,'Données projet'!$E$16+1,1))</f>
        <v>285.8437404763045</v>
      </c>
      <c r="FK21" s="59">
        <f t="shared" si="48"/>
        <v>276.01618888357268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11.6</v>
      </c>
      <c r="FZ21" s="12">
        <f>IF('Données projet'!$A$244&gt;35,FZ20+FY21-GH20,IF(A21&lt;'Données projet'!$A$244,$FW$205^A21,IF(A21='Données projet'!$A$244,'Données projet'!$B$244,FZ20+FY21-GH20)))</f>
        <v>56.800000000000004</v>
      </c>
      <c r="GA21" s="17">
        <f>FZ21*VLOOKUP('Données projet'!$B$17,Paramètres!$A$1:$I$89,3,0)*VLOOKUP('Données projet'!$B$17,Paramètres!$A$1:$I$89,5,0)</f>
        <v>45.190080000000009</v>
      </c>
      <c r="GB21" s="13">
        <f t="shared" si="49"/>
        <v>13.364359727915414</v>
      </c>
      <c r="GC21" s="20">
        <f t="shared" si="25"/>
        <v>101.98231585945268</v>
      </c>
      <c r="GD21" s="59">
        <f t="shared" si="26"/>
        <v>313.75166905145579</v>
      </c>
      <c r="GE21" s="59">
        <f ca="1">AVERAGE(OFFSET($GD$3,0,0,'Données projet'!$E$17+1,1))-AVERAGE(OFFSET($H$3,0,0,'Données projet'!$E$17+1,1))</f>
        <v>323.01113210765487</v>
      </c>
      <c r="GF21" s="59">
        <f t="shared" si="50"/>
        <v>311.68541696405975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9.6</v>
      </c>
      <c r="GU21" s="12">
        <f>IF('Données projet'!$A$270&gt;35,GU20+GT21-HC20,IF(A21&lt;'Données projet'!$A$270,$GR$205^A21,IF(A21='Données projet'!$A$270,'Données projet'!$B$270,GU20+GT21-HC20)))</f>
        <v>37.800000000000004</v>
      </c>
      <c r="GV21" s="17">
        <f>GU21*VLOOKUP('Données projet'!$B$18,Paramètres!$A$1:$I$89,3,0)*VLOOKUP('Données projet'!$B$18,Paramètres!$A$1:$I$89,5,0)</f>
        <v>33.022080000000003</v>
      </c>
      <c r="GW21" s="13">
        <f t="shared" si="51"/>
        <v>10.129025278332465</v>
      </c>
      <c r="GX21" s="20">
        <f t="shared" si="28"/>
        <v>75.154841693095705</v>
      </c>
      <c r="GY21" s="59">
        <f t="shared" si="29"/>
        <v>286.92419488509881</v>
      </c>
      <c r="GZ21" s="59">
        <f ca="1">AVERAGE(OFFSET($GY$3,0,0,'Données projet'!$E$18+1,1))-AVERAGE(OFFSET($H$3,0,0,'Données projet'!$E$18+1,1))</f>
        <v>285.8437404763045</v>
      </c>
      <c r="HA21" s="59">
        <f t="shared" si="52"/>
        <v>276.01618888357268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1.2</v>
      </c>
      <c r="N22" s="13">
        <f>IF('Données projet'!$A$36&gt;35,N21+M22-V21,IF(A22&lt;'Données projet'!$A$36,$K$205^A22,IF(A22='Données projet'!$A$36,'Données projet'!$B$36,N21+M22-V21)))</f>
        <v>13.262095581124292</v>
      </c>
      <c r="O22" s="13">
        <f>N22*VLOOKUP('Données projet'!$B$9,Paramètres!$A$1:$I$89,3,0)*VLOOKUP('Données projet'!$B$9,Paramètres!$A$1:$I$89,5,0)</f>
        <v>11.999544081801259</v>
      </c>
      <c r="P22" s="13">
        <f t="shared" si="33"/>
        <v>4.1409695214196116</v>
      </c>
      <c r="Q22" s="20">
        <f t="shared" si="2"/>
        <v>28.111394525609683</v>
      </c>
      <c r="R22" s="59">
        <f t="shared" si="0"/>
        <v>242.26348876863321</v>
      </c>
      <c r="S22" s="59">
        <f ca="1">AVERAGE(OFFSET($R$3,0,0,'Données projet'!$E$9+1,1))-AVERAGE(OFFSET($H$3,0,0,'Données projet'!$E$9+1,1))</f>
        <v>315.34103933739129</v>
      </c>
      <c r="T22" s="59">
        <f t="shared" si="34"/>
        <v>165.80901858372513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17.72666666666667</v>
      </c>
      <c r="AI22" s="13">
        <f>IF('Données projet'!$A$62&gt;35,AI21+AH22-AQ21,IF(A22&lt;'Données projet'!$A$62,$AF$205^A22,IF(A22='Données projet'!$A$62,'Données projet'!$B$62,AI21+AH22-AQ21)))</f>
        <v>116.77333333333333</v>
      </c>
      <c r="AJ22" s="13">
        <f>AI22*VLOOKUP('Données projet'!$B$10,Paramètres!$A$1:$I$89,3,0)*VLOOKUP('Données projet'!$B$10,Paramètres!$A$1:$I$89,5,0)</f>
        <v>69.830453333333338</v>
      </c>
      <c r="AK22" s="13">
        <f t="shared" si="35"/>
        <v>19.631347217825276</v>
      </c>
      <c r="AL22" s="20">
        <f t="shared" si="4"/>
        <v>155.8126359599346</v>
      </c>
      <c r="AM22" s="59">
        <f t="shared" si="5"/>
        <v>369.96473020295809</v>
      </c>
      <c r="AN22" s="59">
        <f ca="1">AVERAGE(OFFSET($AM$3,0,0,'Données projet'!$E$10+1,1))-AVERAGE(OFFSET($H$3,0,0,'Données projet'!$E$10+1,1))</f>
        <v>317.328615425664</v>
      </c>
      <c r="AO22" s="59">
        <f t="shared" si="36"/>
        <v>324.95872842255744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7.7235716565320605</v>
      </c>
      <c r="AW22" s="21">
        <f>EXP(-LN(2)/2)*AW21+(1-EXP(-LN(2)/2))/(LN(2)/2)*AQ22*AT22*VLOOKUP('Données projet'!$B$10,Paramètres!$A$1:$I$89,3,0)*0.475*44/12</f>
        <v>6.1072157235658562</v>
      </c>
      <c r="AX22" s="21">
        <f t="shared" si="6"/>
        <v>13.830787380097917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5.654583333333334</v>
      </c>
      <c r="BD22" s="12">
        <f>IF('Données projet'!$A$88&gt;35,BD21+BC22-BL21,IF(A22&lt;'Données projet'!$A$88,$BA$205^A22,IF(A22='Données projet'!$A$88,'Données projet'!$B$88,BD21+BC22-BL21)))</f>
        <v>48.788527974860202</v>
      </c>
      <c r="BE22" s="13">
        <f>BD22*VLOOKUP('Données projet'!$B$11,Paramètres!$A$1:$I$89,3,0)*VLOOKUP('Données projet'!$B$11,Paramètres!$A$1:$I$89,5,0)</f>
        <v>56.204384227038943</v>
      </c>
      <c r="BF22" s="13">
        <f t="shared" si="37"/>
        <v>16.204998991612232</v>
      </c>
      <c r="BG22" s="20">
        <f t="shared" si="7"/>
        <v>126.11300910581747</v>
      </c>
      <c r="BH22" s="59">
        <f t="shared" si="8"/>
        <v>340.26510334884097</v>
      </c>
      <c r="BI22" s="59">
        <f ca="1">AVERAGE(OFFSET($BH$3,0,0,'Données projet'!$E$11+1,1))-AVERAGE(OFFSET($H$3,0,0,'Données projet'!$E$11+1,1))</f>
        <v>418.31716673276725</v>
      </c>
      <c r="BJ22" s="59">
        <f t="shared" si="38"/>
        <v>472.37891533957929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3.1050000000000004</v>
      </c>
      <c r="BY22" s="12">
        <f>IF('Données projet'!$A$114&gt;35,BY21+BX22-CG21,IF(A22&lt;'Données projet'!$A$114,$BV$205^A22,IF(A22='Données projet'!$A$114,'Données projet'!$B$114,BY21+BX22-CG21)))</f>
        <v>19.465</v>
      </c>
      <c r="BZ22" s="13">
        <f>BY22*VLOOKUP('Données projet'!$B$12,Paramètres!$A$1:$I$89,3,0)*VLOOKUP('Données projet'!$B$12,Paramètres!$A$1:$I$89,5,0)</f>
        <v>11.387025</v>
      </c>
      <c r="CA22" s="13">
        <f t="shared" si="39"/>
        <v>3.9536314530689731</v>
      </c>
      <c r="CB22" s="20">
        <f t="shared" si="10"/>
        <v>26.718309989095129</v>
      </c>
      <c r="CC22" s="59">
        <f t="shared" si="11"/>
        <v>240.87040423211866</v>
      </c>
      <c r="CD22" s="59">
        <f ca="1">AVERAGE(OFFSET($CC$3,0,0,'Données projet'!$E$12+1,1))-AVERAGE(OFFSET($H$3,0,0,'Données projet'!$E$12+1,1))</f>
        <v>184.11352167663844</v>
      </c>
      <c r="CE22" s="59">
        <f t="shared" si="40"/>
        <v>145.86653500981791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2.1790000000000003</v>
      </c>
      <c r="CT22" s="12">
        <f>IF('Données projet'!$A$140&gt;35,CT21+CS22-DB21,IF(A22&lt;'Données projet'!$A$140,$CQ$205^A22,IF(A22='Données projet'!$A$140,'Données projet'!$B$140,CT21+CS22-DB21)))</f>
        <v>14.116911989158403</v>
      </c>
      <c r="CU22" s="17">
        <f>CT22*VLOOKUP('Données projet'!$B$13,Paramètres!$A$1:$I$89,3,0)*VLOOKUP('Données projet'!$B$13,Paramètres!$A$1:$I$89,5,0)</f>
        <v>6.7902346667851923</v>
      </c>
      <c r="CV22" s="13">
        <f t="shared" si="41"/>
        <v>2.5038335796567646</v>
      </c>
      <c r="CW22" s="20">
        <f t="shared" si="13"/>
        <v>16.187168862553072</v>
      </c>
      <c r="CX22" s="59">
        <f t="shared" si="14"/>
        <v>230.33926310557661</v>
      </c>
      <c r="CY22" s="59">
        <f ca="1">AVERAGE(OFFSET($CX$3,0,0,'Données projet'!$E$13+1,1))-AVERAGE(OFFSET($H$3,0,0,'Données projet'!$E$13+1,1))</f>
        <v>303.76035885073708</v>
      </c>
      <c r="CZ22" s="59">
        <f t="shared" si="42"/>
        <v>127.43112562890414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7.8</v>
      </c>
      <c r="DO22" s="12">
        <f>IF('Données projet'!$A$166&gt;35,DO21+DN22-DW21,IF(A22&lt;'Données projet'!$A$166,$DL$205^A22,IF(A22='Données projet'!$A$166,'Données projet'!$B$166,DO21+DN22-DW21)))</f>
        <v>73.2</v>
      </c>
      <c r="DP22" s="17">
        <f>DO22*VLOOKUP('Données projet'!$B$14,Paramètres!$A$1:$I$89,3,0)*VLOOKUP('Données projet'!$B$14,Paramètres!$A$1:$I$89,5,0)</f>
        <v>42.251040000000003</v>
      </c>
      <c r="DQ22" s="13">
        <f t="shared" si="43"/>
        <v>12.593370905616945</v>
      </c>
      <c r="DR22" s="20">
        <f t="shared" si="16"/>
        <v>95.520682327282842</v>
      </c>
      <c r="DS22" s="59">
        <f t="shared" si="17"/>
        <v>309.67277657030638</v>
      </c>
      <c r="DT22" s="59">
        <f ca="1">AVERAGE(OFFSET($DS$3,0,0,'Données projet'!$E$14+1,1))-AVERAGE(OFFSET($H$3,0,0,'Données projet'!$E$14+1,1))</f>
        <v>243.65374431792841</v>
      </c>
      <c r="DU22" s="59">
        <f t="shared" si="44"/>
        <v>271.60754570002939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2.1</v>
      </c>
      <c r="EJ22" s="12">
        <f>IF('Données projet'!$A$192&gt;35,EJ21+EI22-ER21,IF(A22&lt;'Données projet'!$A$192,$EG$205^A22,IF(A22='Données projet'!$A$192,'Données projet'!$B$192,EJ21+EI22-ER21)))</f>
        <v>34.840696297767764</v>
      </c>
      <c r="EK22" s="17">
        <f>EJ22*VLOOKUP('Données projet'!$B$15,Paramètres!$A$1:$I$89,3,0)*VLOOKUP('Données projet'!$B$15,Paramètres!$A$1:$I$89,5,0)</f>
        <v>23.371139076542615</v>
      </c>
      <c r="EL22" s="13">
        <f t="shared" si="45"/>
        <v>7.463071573383055</v>
      </c>
      <c r="EM22" s="20">
        <f t="shared" si="19"/>
        <v>53.702916881953875</v>
      </c>
      <c r="EN22" s="59">
        <f t="shared" si="20"/>
        <v>267.85501112497741</v>
      </c>
      <c r="EO22" s="59">
        <f ca="1">AVERAGE(OFFSET($EN$3,0,0,'Données projet'!$E$15+1,1))-AVERAGE(OFFSET($H$3,0,0,'Données projet'!$E$15+1,1))</f>
        <v>321.44781099085594</v>
      </c>
      <c r="EP22" s="59">
        <f t="shared" si="46"/>
        <v>201.22243186578183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9.6</v>
      </c>
      <c r="FE22" s="12">
        <f>IF('Données projet'!$A$218&gt;35,FE21+FD22-FM21,IF(A22&lt;'Données projet'!$A$218,$FB$205^A22,IF(A22='Données projet'!$A$218,'Données projet'!$B$218,FE21+FD22-FM21)))</f>
        <v>47.400000000000006</v>
      </c>
      <c r="FF22" s="17">
        <f>FE22*VLOOKUP('Données projet'!$B$16,Paramètres!$A$1:$I$89,3,0)*VLOOKUP('Données projet'!$B$16,Paramètres!$A$1:$I$89,5,0)</f>
        <v>41.408640000000005</v>
      </c>
      <c r="FG22" s="13">
        <f t="shared" si="47"/>
        <v>12.371251711099637</v>
      </c>
      <c r="FH22" s="20">
        <f t="shared" si="22"/>
        <v>93.666644730165203</v>
      </c>
      <c r="FI22" s="59">
        <f t="shared" si="23"/>
        <v>307.81873897318872</v>
      </c>
      <c r="FJ22" s="59">
        <f ca="1">AVERAGE(OFFSET($FI$3,0,0,'Données projet'!$E$16+1,1))-AVERAGE(OFFSET($H$3,0,0,'Données projet'!$E$16+1,1))</f>
        <v>285.8437404763045</v>
      </c>
      <c r="FK22" s="59">
        <f t="shared" si="48"/>
        <v>276.01618888357268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11.6</v>
      </c>
      <c r="FZ22" s="12">
        <f>IF('Données projet'!$A$244&gt;35,FZ21+FY22-GH21,IF(A22&lt;'Données projet'!$A$244,$FW$205^A22,IF(A22='Données projet'!$A$244,'Données projet'!$B$244,FZ21+FY22-GH21)))</f>
        <v>68.400000000000006</v>
      </c>
      <c r="GA22" s="17">
        <f>FZ22*VLOOKUP('Données projet'!$B$17,Paramètres!$A$1:$I$89,3,0)*VLOOKUP('Données projet'!$B$17,Paramètres!$A$1:$I$89,5,0)</f>
        <v>54.419040000000003</v>
      </c>
      <c r="GB22" s="13">
        <f t="shared" si="49"/>
        <v>15.749310274925152</v>
      </c>
      <c r="GC22" s="20">
        <f t="shared" si="25"/>
        <v>122.20987672882796</v>
      </c>
      <c r="GD22" s="59">
        <f t="shared" si="26"/>
        <v>336.36197097185152</v>
      </c>
      <c r="GE22" s="59">
        <f ca="1">AVERAGE(OFFSET($GD$3,0,0,'Données projet'!$E$17+1,1))-AVERAGE(OFFSET($H$3,0,0,'Données projet'!$E$17+1,1))</f>
        <v>323.01113210765487</v>
      </c>
      <c r="GF22" s="59">
        <f t="shared" si="50"/>
        <v>311.68541696405975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9.6</v>
      </c>
      <c r="GU22" s="12">
        <f>IF('Données projet'!$A$270&gt;35,GU21+GT22-HC21,IF(A22&lt;'Données projet'!$A$270,$GR$205^A22,IF(A22='Données projet'!$A$270,'Données projet'!$B$270,GU21+GT22-HC21)))</f>
        <v>47.400000000000006</v>
      </c>
      <c r="GV22" s="17">
        <f>GU22*VLOOKUP('Données projet'!$B$18,Paramètres!$A$1:$I$89,3,0)*VLOOKUP('Données projet'!$B$18,Paramètres!$A$1:$I$89,5,0)</f>
        <v>41.408640000000005</v>
      </c>
      <c r="GW22" s="13">
        <f t="shared" si="51"/>
        <v>12.371251711099637</v>
      </c>
      <c r="GX22" s="20">
        <f t="shared" si="28"/>
        <v>93.666644730165203</v>
      </c>
      <c r="GY22" s="59">
        <f t="shared" si="29"/>
        <v>307.81873897318872</v>
      </c>
      <c r="GZ22" s="59">
        <f ca="1">AVERAGE(OFFSET($GY$3,0,0,'Données projet'!$E$18+1,1))-AVERAGE(OFFSET($H$3,0,0,'Données projet'!$E$18+1,1))</f>
        <v>285.8437404763045</v>
      </c>
      <c r="HA22" s="59">
        <f t="shared" si="52"/>
        <v>276.01618888357268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1.2</v>
      </c>
      <c r="N23" s="13">
        <f>IF('Données projet'!$A$36&gt;35,N22+M23-V22,IF(A23&lt;'Données projet'!$A$36,$K$205^A23,IF(A23='Données projet'!$A$36,'Données projet'!$B$36,N22+M23-V22)))</f>
        <v>15.194870523363559</v>
      </c>
      <c r="O23" s="13">
        <f>N23*VLOOKUP('Données projet'!$B$9,Paramètres!$A$1:$I$89,3,0)*VLOOKUP('Données projet'!$B$9,Paramètres!$A$1:$I$89,5,0)</f>
        <v>13.748318849539347</v>
      </c>
      <c r="P23" s="13">
        <f t="shared" si="33"/>
        <v>4.6699196436038939</v>
      </c>
      <c r="Q23" s="20">
        <f t="shared" si="2"/>
        <v>32.078432042224485</v>
      </c>
      <c r="R23" s="59">
        <f t="shared" si="0"/>
        <v>248.5931349291202</v>
      </c>
      <c r="S23" s="59">
        <f ca="1">AVERAGE(OFFSET($R$3,0,0,'Données projet'!$E$9+1,1))-AVERAGE(OFFSET($H$3,0,0,'Données projet'!$E$9+1,1))</f>
        <v>315.34103933739129</v>
      </c>
      <c r="T23" s="59">
        <f t="shared" si="34"/>
        <v>165.80901858372513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17.72666666666667</v>
      </c>
      <c r="AI23" s="13">
        <f>IF('Données projet'!$A$62&gt;35,AI22+AH23-AQ22,IF(A23&lt;'Données projet'!$A$62,$AF$205^A23,IF(A23='Données projet'!$A$62,'Données projet'!$B$62,AI22+AH23-AQ22)))</f>
        <v>134.5</v>
      </c>
      <c r="AJ23" s="13">
        <f>AI23*VLOOKUP('Données projet'!$B$10,Paramètres!$A$1:$I$89,3,0)*VLOOKUP('Données projet'!$B$10,Paramètres!$A$1:$I$89,5,0)</f>
        <v>80.431000000000012</v>
      </c>
      <c r="AK23" s="13">
        <f t="shared" si="35"/>
        <v>22.242532892651344</v>
      </c>
      <c r="AL23" s="20">
        <f t="shared" si="4"/>
        <v>178.82306978803445</v>
      </c>
      <c r="AM23" s="59">
        <f t="shared" si="5"/>
        <v>395.33777267493019</v>
      </c>
      <c r="AN23" s="59">
        <f ca="1">AVERAGE(OFFSET($AM$3,0,0,'Données projet'!$E$10+1,1))-AVERAGE(OFFSET($H$3,0,0,'Données projet'!$E$10+1,1))</f>
        <v>317.328615425664</v>
      </c>
      <c r="AO23" s="59">
        <f t="shared" si="36"/>
        <v>324.95872842255744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7.5123701834192103</v>
      </c>
      <c r="AW23" s="21">
        <f>EXP(-LN(2)/2)*AW22+(1-EXP(-LN(2)/2))/(LN(2)/2)*AQ23*AT23*VLOOKUP('Données projet'!$B$10,Paramètres!$A$1:$I$89,3,0)*0.475*44/12</f>
        <v>4.3184536523025248</v>
      </c>
      <c r="AX23" s="21">
        <f t="shared" si="6"/>
        <v>11.830823835721734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5.654583333333334</v>
      </c>
      <c r="BD23" s="12">
        <f>IF('Données projet'!$A$88&gt;35,BD22+BC23-BL22,IF(A23&lt;'Données projet'!$A$88,$BA$205^A23,IF(A23='Données projet'!$A$88,'Données projet'!$B$88,BD22+BC23-BL22)))</f>
        <v>59.865490071398625</v>
      </c>
      <c r="BE23" s="13">
        <f>BD23*VLOOKUP('Données projet'!$B$11,Paramètres!$A$1:$I$89,3,0)*VLOOKUP('Données projet'!$B$11,Paramètres!$A$1:$I$89,5,0)</f>
        <v>68.965044562251208</v>
      </c>
      <c r="BF23" s="13">
        <f t="shared" si="37"/>
        <v>19.416219273324778</v>
      </c>
      <c r="BG23" s="20">
        <f t="shared" si="7"/>
        <v>153.93070118029485</v>
      </c>
      <c r="BH23" s="59">
        <f t="shared" si="8"/>
        <v>370.44540406719057</v>
      </c>
      <c r="BI23" s="59">
        <f ca="1">AVERAGE(OFFSET($BH$3,0,0,'Données projet'!$E$11+1,1))-AVERAGE(OFFSET($H$3,0,0,'Données projet'!$E$11+1,1))</f>
        <v>418.31716673276725</v>
      </c>
      <c r="BJ23" s="59">
        <f t="shared" si="38"/>
        <v>472.37891533957929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22.57</v>
      </c>
      <c r="BW23" s="12">
        <f>VLOOKUP(A23,'Données projet'!$A$113:$I$133,9,0)</f>
        <v>3.1050000000000004</v>
      </c>
      <c r="BX23" s="12">
        <f t="array" ref="BX23">INDEX(BW:BW,MIN(IF(ISNUMBER(BW23:BW219),ROW(BW23:BW219),"")))</f>
        <v>3.1050000000000004</v>
      </c>
      <c r="BY23" s="12">
        <f>IF('Données projet'!$A$114&gt;35,BY22+BX23-CG22,IF(A23&lt;'Données projet'!$A$114,$BV$205^A23,IF(A23='Données projet'!$A$114,'Données projet'!$B$114,BY22+BX23-CG22)))</f>
        <v>22.57</v>
      </c>
      <c r="BZ23" s="13">
        <f>BY23*VLOOKUP('Données projet'!$B$12,Paramètres!$A$1:$I$89,3,0)*VLOOKUP('Données projet'!$B$12,Paramètres!$A$1:$I$89,5,0)</f>
        <v>13.203450000000002</v>
      </c>
      <c r="CA23" s="13">
        <f t="shared" si="39"/>
        <v>4.5060029710424292</v>
      </c>
      <c r="CB23" s="20">
        <f t="shared" si="10"/>
        <v>30.843963924565561</v>
      </c>
      <c r="CC23" s="59">
        <f t="shared" si="11"/>
        <v>247.35866681146129</v>
      </c>
      <c r="CD23" s="59">
        <f ca="1">AVERAGE(OFFSET($CC$3,0,0,'Données projet'!$E$12+1,1))-AVERAGE(OFFSET($H$3,0,0,'Données projet'!$E$12+1,1))</f>
        <v>184.11352167663844</v>
      </c>
      <c r="CE23" s="59">
        <f t="shared" si="40"/>
        <v>145.86653500981791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0.25200000000000006</v>
      </c>
      <c r="CJ23" s="16">
        <f>IF(ISNA(VLOOKUP(A23,'Données projet'!$A$113:$I$133,7,0)),0%,VLOOKUP(A23,'Données projet'!$A$113:$I$133,7,0))</f>
        <v>0.44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2.1790000000000003</v>
      </c>
      <c r="CT23" s="12">
        <f>IF('Données projet'!$A$140&gt;35,CT22+CS23-DB22,IF(A23&lt;'Données projet'!$A$140,$CQ$205^A23,IF(A23='Données projet'!$A$140,'Données projet'!$B$140,CT22+CS23-DB22)))</f>
        <v>16.227526361448156</v>
      </c>
      <c r="CU23" s="17">
        <f>CT23*VLOOKUP('Données projet'!$B$13,Paramètres!$A$1:$I$89,3,0)*VLOOKUP('Données projet'!$B$13,Paramètres!$A$1:$I$89,5,0)</f>
        <v>7.8054401798565625</v>
      </c>
      <c r="CV23" s="13">
        <f t="shared" si="41"/>
        <v>2.8318771368609714</v>
      </c>
      <c r="CW23" s="20">
        <f t="shared" si="13"/>
        <v>18.526660993283034</v>
      </c>
      <c r="CX23" s="59">
        <f t="shared" si="14"/>
        <v>235.04136388017875</v>
      </c>
      <c r="CY23" s="59">
        <f ca="1">AVERAGE(OFFSET($CX$3,0,0,'Données projet'!$E$13+1,1))-AVERAGE(OFFSET($H$3,0,0,'Données projet'!$E$13+1,1))</f>
        <v>303.76035885073708</v>
      </c>
      <c r="CZ23" s="59">
        <f t="shared" si="42"/>
        <v>127.43112562890414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81</v>
      </c>
      <c r="DM23" s="12">
        <f>VLOOKUP(A23,'Données projet'!$A$165:$I$185,9,0)</f>
        <v>7.8</v>
      </c>
      <c r="DN23" s="12">
        <f t="array" ref="DN23">INDEX(DM:DM,MIN(IF(ISNUMBER(DM23:DM219),ROW(DM23:DM219),"")))</f>
        <v>7.8</v>
      </c>
      <c r="DO23" s="12">
        <f>IF('Données projet'!$A$166&gt;35,DO22+DN23-DW22,IF(A23&lt;'Données projet'!$A$166,$DL$205^A23,IF(A23='Données projet'!$A$166,'Données projet'!$B$166,DO22+DN23-DW22)))</f>
        <v>81</v>
      </c>
      <c r="DP23" s="17">
        <f>DO23*VLOOKUP('Données projet'!$B$14,Paramètres!$A$1:$I$89,3,0)*VLOOKUP('Données projet'!$B$14,Paramètres!$A$1:$I$89,5,0)</f>
        <v>46.7532</v>
      </c>
      <c r="DQ23" s="13">
        <f t="shared" si="43"/>
        <v>13.772011162654836</v>
      </c>
      <c r="DR23" s="20">
        <f t="shared" si="16"/>
        <v>105.41474277495716</v>
      </c>
      <c r="DS23" s="59">
        <f t="shared" si="17"/>
        <v>321.92944566185287</v>
      </c>
      <c r="DT23" s="59">
        <f ca="1">AVERAGE(OFFSET($DS$3,0,0,'Données projet'!$E$14+1,1))-AVERAGE(OFFSET($H$3,0,0,'Données projet'!$E$14+1,1))</f>
        <v>243.65374431792841</v>
      </c>
      <c r="DU23" s="59">
        <f t="shared" si="44"/>
        <v>271.60754570002939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42</v>
      </c>
      <c r="EH23" s="12">
        <f>VLOOKUP(A23,'Données projet'!$A$191:$I$211,9,0)</f>
        <v>2.1</v>
      </c>
      <c r="EI23" s="12">
        <f t="array" ref="EI23">INDEX(EH:EH,MIN(IF(ISNUMBER(EH23:EH219),ROW(EH23:EH219),"")))</f>
        <v>2.1</v>
      </c>
      <c r="EJ23" s="12">
        <f>IF('Données projet'!$A$192&gt;35,EJ22+EI23-ER22,IF(A23&lt;'Données projet'!$A$192,$EG$205^A23,IF(A23='Données projet'!$A$192,'Données projet'!$B$192,EJ22+EI23-ER22)))</f>
        <v>42</v>
      </c>
      <c r="EK23" s="17">
        <f>EJ23*VLOOKUP('Données projet'!$B$15,Paramètres!$A$1:$I$89,3,0)*VLOOKUP('Données projet'!$B$15,Paramètres!$A$1:$I$89,5,0)</f>
        <v>28.1736</v>
      </c>
      <c r="EL23" s="13">
        <f t="shared" si="45"/>
        <v>8.8030417244771453</v>
      </c>
      <c r="EM23" s="20">
        <f t="shared" si="19"/>
        <v>64.400984336797691</v>
      </c>
      <c r="EN23" s="59">
        <f t="shared" si="20"/>
        <v>280.9156872236934</v>
      </c>
      <c r="EO23" s="59">
        <f ca="1">AVERAGE(OFFSET($EN$3,0,0,'Données projet'!$E$15+1,1))-AVERAGE(OFFSET($H$3,0,0,'Données projet'!$E$15+1,1))</f>
        <v>321.44781099085594</v>
      </c>
      <c r="EP23" s="59">
        <f t="shared" si="46"/>
        <v>201.22243186578183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57</v>
      </c>
      <c r="FC23" s="12">
        <f>VLOOKUP(A23,'Données projet'!$A$217:$I$237,9,0)</f>
        <v>9.6</v>
      </c>
      <c r="FD23" s="12">
        <f t="array" ref="FD23">INDEX(FC:FC,MIN(IF(ISNUMBER(FC23:FC219),ROW(FC23:FC219),"")))</f>
        <v>9.6</v>
      </c>
      <c r="FE23" s="12">
        <f>IF('Données projet'!$A$218&gt;35,FE22+FD23-FM22,IF(A23&lt;'Données projet'!$A$218,$FB$205^A23,IF(A23='Données projet'!$A$218,'Données projet'!$B$218,FE22+FD23-FM22)))</f>
        <v>57.000000000000007</v>
      </c>
      <c r="FF23" s="17">
        <f>FE23*VLOOKUP('Données projet'!$B$16,Paramètres!$A$1:$I$89,3,0)*VLOOKUP('Données projet'!$B$16,Paramètres!$A$1:$I$89,5,0)</f>
        <v>49.795200000000008</v>
      </c>
      <c r="FG23" s="13">
        <f t="shared" si="47"/>
        <v>14.560856542690781</v>
      </c>
      <c r="FH23" s="20">
        <f t="shared" si="22"/>
        <v>112.08679847851981</v>
      </c>
      <c r="FI23" s="59">
        <f t="shared" si="23"/>
        <v>328.60150136541552</v>
      </c>
      <c r="FJ23" s="59">
        <f ca="1">AVERAGE(OFFSET($FI$3,0,0,'Données projet'!$E$16+1,1))-AVERAGE(OFFSET($H$3,0,0,'Données projet'!$E$16+1,1))</f>
        <v>285.8437404763045</v>
      </c>
      <c r="FK23" s="59">
        <f t="shared" si="48"/>
        <v>276.01618888357268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21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80</v>
      </c>
      <c r="FX23" s="12">
        <f>VLOOKUP(A23,'Données projet'!$A$243:$I$263,9,0)</f>
        <v>11.6</v>
      </c>
      <c r="FY23" s="12">
        <f t="array" ref="FY23">INDEX(FX:FX,MIN(IF(ISNUMBER(FX23:FX219),ROW(FX23:FX219),"")))</f>
        <v>11.6</v>
      </c>
      <c r="FZ23" s="12">
        <f>IF('Données projet'!$A$244&gt;35,FZ22+FY23-GH22,IF(A23&lt;'Données projet'!$A$244,$FW$205^A23,IF(A23='Données projet'!$A$244,'Données projet'!$B$244,FZ22+FY23-GH22)))</f>
        <v>80</v>
      </c>
      <c r="GA23" s="17">
        <f>FZ23*VLOOKUP('Données projet'!$B$17,Paramètres!$A$1:$I$89,3,0)*VLOOKUP('Données projet'!$B$17,Paramètres!$A$1:$I$89,5,0)</f>
        <v>63.647999999999996</v>
      </c>
      <c r="GB23" s="13">
        <f t="shared" si="49"/>
        <v>18.087405707268363</v>
      </c>
      <c r="GC23" s="20">
        <f t="shared" si="25"/>
        <v>142.35583160682572</v>
      </c>
      <c r="GD23" s="59">
        <f t="shared" si="26"/>
        <v>358.87053449372144</v>
      </c>
      <c r="GE23" s="59">
        <f ca="1">AVERAGE(OFFSET($GD$3,0,0,'Données projet'!$E$17+1,1))-AVERAGE(OFFSET($H$3,0,0,'Données projet'!$E$17+1,1))</f>
        <v>323.01113210765487</v>
      </c>
      <c r="GF23" s="59">
        <f t="shared" si="50"/>
        <v>311.68541696405975</v>
      </c>
      <c r="GG23" s="15">
        <f>IF(ISNA(VLOOKUP(A23,'Données projet'!$A$243:$I$263,3,0)),0,VLOOKUP(A23,'Données projet'!$A$243:$I$263,3,0))</f>
        <v>2</v>
      </c>
      <c r="GH23" s="15">
        <f>IF(ISNA(VLOOKUP(A23,'Données projet'!$A$243:$I$263,4,0)),0,VLOOKUP(A23,'Données projet'!$A$243:$I$263,4,0))</f>
        <v>28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57</v>
      </c>
      <c r="GS23" s="12">
        <f>VLOOKUP(A23,'Données projet'!$A$269:$I$289,9,0)</f>
        <v>9.6</v>
      </c>
      <c r="GT23" s="12">
        <f t="array" ref="GT23">INDEX(GS:GS,MIN(IF(ISNUMBER(GS23:GS219),ROW(GS23:GS219),"")))</f>
        <v>9.6</v>
      </c>
      <c r="GU23" s="12">
        <f>IF('Données projet'!$A$270&gt;35,GU22+GT23-HC22,IF(A23&lt;'Données projet'!$A$270,$GR$205^A23,IF(A23='Données projet'!$A$270,'Données projet'!$B$270,GU22+GT23-HC22)))</f>
        <v>57.000000000000007</v>
      </c>
      <c r="GV23" s="17">
        <f>GU23*VLOOKUP('Données projet'!$B$18,Paramètres!$A$1:$I$89,3,0)*VLOOKUP('Données projet'!$B$18,Paramètres!$A$1:$I$89,5,0)</f>
        <v>49.795200000000008</v>
      </c>
      <c r="GW23" s="13">
        <f t="shared" si="51"/>
        <v>14.560856542690781</v>
      </c>
      <c r="GX23" s="20">
        <f t="shared" si="28"/>
        <v>112.08679847851981</v>
      </c>
      <c r="GY23" s="59">
        <f t="shared" si="29"/>
        <v>328.60150136541552</v>
      </c>
      <c r="GZ23" s="59">
        <f ca="1">AVERAGE(OFFSET($GY$3,0,0,'Données projet'!$E$18+1,1))-AVERAGE(OFFSET($H$3,0,0,'Données projet'!$E$18+1,1))</f>
        <v>285.8437404763045</v>
      </c>
      <c r="HA23" s="59">
        <f t="shared" si="52"/>
        <v>276.01618888357268</v>
      </c>
      <c r="HB23" s="15">
        <f>IF(ISNA(VLOOKUP(A23,'Données projet'!$A$269:$I$289,3,0)),0,VLOOKUP(A23,'Données projet'!$A$269:$I$289,3,0))</f>
        <v>2</v>
      </c>
      <c r="HC23" s="15">
        <f>IF(ISNA(VLOOKUP(A23,'Données projet'!$A$269:$I$289,4,0)),0,VLOOKUP(A23,'Données projet'!$A$269:$I$289,4,0))</f>
        <v>21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1.2</v>
      </c>
      <c r="N24" s="13">
        <f>IF('Données projet'!$A$36&gt;35,N23+M24-V23,IF(A24&lt;'Données projet'!$A$36,$K$205^A24,IF(A24='Données projet'!$A$36,'Données projet'!$B$36,N23+M24-V23)))</f>
        <v>17.409321838276906</v>
      </c>
      <c r="O24" s="13">
        <f>N24*VLOOKUP('Données projet'!$B$9,Paramètres!$A$1:$I$89,3,0)*VLOOKUP('Données projet'!$B$9,Paramètres!$A$1:$I$89,5,0)</f>
        <v>15.751954399272945</v>
      </c>
      <c r="P24" s="13">
        <f t="shared" si="33"/>
        <v>5.2664356414391653</v>
      </c>
      <c r="Q24" s="20">
        <f t="shared" si="2"/>
        <v>36.607029320906918</v>
      </c>
      <c r="R24" s="59">
        <f t="shared" si="0"/>
        <v>255.4645576967813</v>
      </c>
      <c r="S24" s="59">
        <f ca="1">AVERAGE(OFFSET($R$3,0,0,'Données projet'!$E$9+1,1))-AVERAGE(OFFSET($H$3,0,0,'Données projet'!$E$9+1,1))</f>
        <v>315.34103933739129</v>
      </c>
      <c r="T24" s="59">
        <f t="shared" si="34"/>
        <v>165.80901858372513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17.72666666666667</v>
      </c>
      <c r="AI24" s="13">
        <f>IF('Données projet'!$A$62&gt;35,AI23+AH24-AQ23,IF(A24&lt;'Données projet'!$A$62,$AF$205^A24,IF(A24='Données projet'!$A$62,'Données projet'!$B$62,AI23+AH24-AQ23)))</f>
        <v>152.22666666666666</v>
      </c>
      <c r="AJ24" s="13">
        <f>AI24*VLOOKUP('Données projet'!$B$10,Paramètres!$A$1:$I$89,3,0)*VLOOKUP('Données projet'!$B$10,Paramètres!$A$1:$I$89,5,0)</f>
        <v>91.031546666666671</v>
      </c>
      <c r="AK24" s="13">
        <f t="shared" si="35"/>
        <v>24.813843958197563</v>
      </c>
      <c r="AL24" s="20">
        <f t="shared" si="4"/>
        <v>201.76405533830518</v>
      </c>
      <c r="AM24" s="59">
        <f t="shared" si="5"/>
        <v>420.62158371417956</v>
      </c>
      <c r="AN24" s="59">
        <f ca="1">AVERAGE(OFFSET($AM$3,0,0,'Données projet'!$E$10+1,1))-AVERAGE(OFFSET($H$3,0,0,'Données projet'!$E$10+1,1))</f>
        <v>317.328615425664</v>
      </c>
      <c r="AO24" s="59">
        <f t="shared" si="36"/>
        <v>324.95872842255744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7.306944025695234</v>
      </c>
      <c r="AW24" s="21">
        <f>EXP(-LN(2)/2)*AW23+(1-EXP(-LN(2)/2))/(LN(2)/2)*AQ24*AT24*VLOOKUP('Données projet'!$B$10,Paramètres!$A$1:$I$89,3,0)*0.475*44/12</f>
        <v>3.0536078617829285</v>
      </c>
      <c r="AX24" s="21">
        <f t="shared" si="6"/>
        <v>10.360551887478163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5.654583333333334</v>
      </c>
      <c r="BD24" s="12">
        <f>IF('Données projet'!$A$88&gt;35,BD23+BC24-BL23,IF(A24&lt;'Données projet'!$A$88,$BA$205^A24,IF(A24='Données projet'!$A$88,'Données projet'!$B$88,BD23+BC24-BL23)))</f>
        <v>73.457368980991404</v>
      </c>
      <c r="BE24" s="13">
        <f>BD24*VLOOKUP('Données projet'!$B$11,Paramètres!$A$1:$I$89,3,0)*VLOOKUP('Données projet'!$B$11,Paramètres!$A$1:$I$89,5,0)</f>
        <v>84.622889066102104</v>
      </c>
      <c r="BF24" s="13">
        <f t="shared" si="37"/>
        <v>23.263782433122014</v>
      </c>
      <c r="BG24" s="20">
        <f t="shared" si="7"/>
        <v>187.90261952781535</v>
      </c>
      <c r="BH24" s="59">
        <f t="shared" si="8"/>
        <v>406.7601479036897</v>
      </c>
      <c r="BI24" s="59">
        <f ca="1">AVERAGE(OFFSET($BH$3,0,0,'Données projet'!$E$11+1,1))-AVERAGE(OFFSET($H$3,0,0,'Données projet'!$E$11+1,1))</f>
        <v>418.31716673276725</v>
      </c>
      <c r="BJ24" s="59">
        <f t="shared" si="38"/>
        <v>472.37891533957929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3.7299999999999991</v>
      </c>
      <c r="BY24" s="12">
        <f>IF('Données projet'!$A$114&gt;35,BY23+BX24-CG23,IF(A24&lt;'Données projet'!$A$114,$BV$205^A24,IF(A24='Données projet'!$A$114,'Données projet'!$B$114,BY23+BX24-CG23)))</f>
        <v>26.3</v>
      </c>
      <c r="BZ24" s="13">
        <f>BY24*VLOOKUP('Données projet'!$B$12,Paramètres!$A$1:$I$89,3,0)*VLOOKUP('Données projet'!$B$12,Paramètres!$A$1:$I$89,5,0)</f>
        <v>15.385500000000002</v>
      </c>
      <c r="CA24" s="13">
        <f t="shared" si="39"/>
        <v>5.1580302822376867</v>
      </c>
      <c r="CB24" s="20">
        <f t="shared" si="10"/>
        <v>35.779981908230639</v>
      </c>
      <c r="CC24" s="59">
        <f t="shared" si="11"/>
        <v>254.63751028410502</v>
      </c>
      <c r="CD24" s="59">
        <f ca="1">AVERAGE(OFFSET($CC$3,0,0,'Données projet'!$E$12+1,1))-AVERAGE(OFFSET($H$3,0,0,'Données projet'!$E$12+1,1))</f>
        <v>184.11352167663844</v>
      </c>
      <c r="CE24" s="59">
        <f t="shared" si="40"/>
        <v>145.86653500981791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2.1790000000000003</v>
      </c>
      <c r="CT24" s="12">
        <f>IF('Données projet'!$A$140&gt;35,CT23+CS24-DB23,IF(A24&lt;'Données projet'!$A$140,$CQ$205^A24,IF(A24='Données projet'!$A$140,'Données projet'!$B$140,CT23+CS24-DB23)))</f>
        <v>18.653697920177638</v>
      </c>
      <c r="CU24" s="17">
        <f>CT24*VLOOKUP('Données projet'!$B$13,Paramètres!$A$1:$I$89,3,0)*VLOOKUP('Données projet'!$B$13,Paramètres!$A$1:$I$89,5,0)</f>
        <v>8.9724286996054445</v>
      </c>
      <c r="CV24" s="13">
        <f t="shared" si="41"/>
        <v>3.2028998186753448</v>
      </c>
      <c r="CW24" s="20">
        <f t="shared" si="13"/>
        <v>21.205363836005709</v>
      </c>
      <c r="CX24" s="59">
        <f t="shared" si="14"/>
        <v>240.0628922118801</v>
      </c>
      <c r="CY24" s="59">
        <f ca="1">AVERAGE(OFFSET($CX$3,0,0,'Données projet'!$E$13+1,1))-AVERAGE(OFFSET($H$3,0,0,'Données projet'!$E$13+1,1))</f>
        <v>303.76035885073708</v>
      </c>
      <c r="CZ24" s="59">
        <f t="shared" si="42"/>
        <v>127.43112562890414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8.8000000000000007</v>
      </c>
      <c r="DO24" s="12">
        <f>IF('Données projet'!$A$166&gt;35,DO23+DN24-DW23,IF(A24&lt;'Données projet'!$A$166,$DL$205^A24,IF(A24='Données projet'!$A$166,'Données projet'!$B$166,DO23+DN24-DW23)))</f>
        <v>89.8</v>
      </c>
      <c r="DP24" s="17">
        <f>DO24*VLOOKUP('Données projet'!$B$14,Paramètres!$A$1:$I$89,3,0)*VLOOKUP('Données projet'!$B$14,Paramètres!$A$1:$I$89,5,0)</f>
        <v>51.832560000000001</v>
      </c>
      <c r="DQ24" s="13">
        <f t="shared" si="43"/>
        <v>15.08603025788203</v>
      </c>
      <c r="DR24" s="20">
        <f t="shared" si="16"/>
        <v>116.54987803247786</v>
      </c>
      <c r="DS24" s="59">
        <f t="shared" si="17"/>
        <v>335.40740640835224</v>
      </c>
      <c r="DT24" s="59">
        <f ca="1">AVERAGE(OFFSET($DS$3,0,0,'Données projet'!$E$14+1,1))-AVERAGE(OFFSET($H$3,0,0,'Données projet'!$E$14+1,1))</f>
        <v>243.65374431792841</v>
      </c>
      <c r="DU24" s="59">
        <f t="shared" si="44"/>
        <v>271.60754570002939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5.6</v>
      </c>
      <c r="EJ24" s="12">
        <f>IF('Données projet'!$A$192&gt;35,EJ23+EI24-ER23,IF(A24&lt;'Données projet'!$A$192,$EG$205^A24,IF(A24='Données projet'!$A$192,'Données projet'!$B$192,EJ23+EI24-ER23)))</f>
        <v>47.6</v>
      </c>
      <c r="EK24" s="17">
        <f>EJ24*VLOOKUP('Données projet'!$B$15,Paramètres!$A$1:$I$89,3,0)*VLOOKUP('Données projet'!$B$15,Paramètres!$A$1:$I$89,5,0)</f>
        <v>31.93008</v>
      </c>
      <c r="EL24" s="13">
        <f t="shared" si="45"/>
        <v>9.8324826954040407</v>
      </c>
      <c r="EM24" s="20">
        <f t="shared" si="19"/>
        <v>72.736463361162052</v>
      </c>
      <c r="EN24" s="59">
        <f t="shared" si="20"/>
        <v>291.59399173703645</v>
      </c>
      <c r="EO24" s="59">
        <f ca="1">AVERAGE(OFFSET($EN$3,0,0,'Données projet'!$E$15+1,1))-AVERAGE(OFFSET($H$3,0,0,'Données projet'!$E$15+1,1))</f>
        <v>321.44781099085594</v>
      </c>
      <c r="EP24" s="59">
        <f t="shared" si="46"/>
        <v>201.22243186578183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10</v>
      </c>
      <c r="FE24" s="12">
        <f>IF('Données projet'!$A$218&gt;35,FE23+FD24-FM23,IF(A24&lt;'Données projet'!$A$218,$FB$205^A24,IF(A24='Données projet'!$A$218,'Données projet'!$B$218,FE23+FD24-FM23)))</f>
        <v>46</v>
      </c>
      <c r="FF24" s="17">
        <f>FE24*VLOOKUP('Données projet'!$B$16,Paramètres!$A$1:$I$89,3,0)*VLOOKUP('Données projet'!$B$16,Paramètres!$A$1:$I$89,5,0)</f>
        <v>40.185600000000001</v>
      </c>
      <c r="FG24" s="13">
        <f t="shared" si="47"/>
        <v>12.047826945473735</v>
      </c>
      <c r="FH24" s="20">
        <f t="shared" si="22"/>
        <v>90.973218596700079</v>
      </c>
      <c r="FI24" s="59">
        <f t="shared" si="23"/>
        <v>309.83074697257445</v>
      </c>
      <c r="FJ24" s="59">
        <f ca="1">AVERAGE(OFFSET($FI$3,0,0,'Données projet'!$E$16+1,1))-AVERAGE(OFFSET($H$3,0,0,'Données projet'!$E$16+1,1))</f>
        <v>285.8437404763045</v>
      </c>
      <c r="FK24" s="59">
        <f t="shared" si="48"/>
        <v>276.01618888357268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12.6</v>
      </c>
      <c r="FZ24" s="12">
        <f>IF('Données projet'!$A$244&gt;35,FZ23+FY24-GH23,IF(A24&lt;'Données projet'!$A$244,$FW$205^A24,IF(A24='Données projet'!$A$244,'Données projet'!$B$244,FZ23+FY24-GH23)))</f>
        <v>64.599999999999994</v>
      </c>
      <c r="GA24" s="17">
        <f>FZ24*VLOOKUP('Données projet'!$B$17,Paramètres!$A$1:$I$89,3,0)*VLOOKUP('Données projet'!$B$17,Paramètres!$A$1:$I$89,5,0)</f>
        <v>51.395759999999996</v>
      </c>
      <c r="GB24" s="13">
        <f t="shared" si="49"/>
        <v>14.973641136922506</v>
      </c>
      <c r="GC24" s="20">
        <f t="shared" si="25"/>
        <v>115.59337364680668</v>
      </c>
      <c r="GD24" s="59">
        <f t="shared" si="26"/>
        <v>334.45090202268108</v>
      </c>
      <c r="GE24" s="59">
        <f ca="1">AVERAGE(OFFSET($GD$3,0,0,'Données projet'!$E$17+1,1))-AVERAGE(OFFSET($H$3,0,0,'Données projet'!$E$17+1,1))</f>
        <v>323.01113210765487</v>
      </c>
      <c r="GF24" s="59">
        <f t="shared" si="50"/>
        <v>311.68541696405975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10</v>
      </c>
      <c r="GU24" s="12">
        <f>IF('Données projet'!$A$270&gt;35,GU23+GT24-HC23,IF(A24&lt;'Données projet'!$A$270,$GR$205^A24,IF(A24='Données projet'!$A$270,'Données projet'!$B$270,GU23+GT24-HC23)))</f>
        <v>46</v>
      </c>
      <c r="GV24" s="17">
        <f>GU24*VLOOKUP('Données projet'!$B$18,Paramètres!$A$1:$I$89,3,0)*VLOOKUP('Données projet'!$B$18,Paramètres!$A$1:$I$89,5,0)</f>
        <v>40.185600000000001</v>
      </c>
      <c r="GW24" s="13">
        <f t="shared" si="51"/>
        <v>12.047826945473735</v>
      </c>
      <c r="GX24" s="20">
        <f t="shared" si="28"/>
        <v>90.973218596700079</v>
      </c>
      <c r="GY24" s="59">
        <f t="shared" si="29"/>
        <v>309.83074697257445</v>
      </c>
      <c r="GZ24" s="59">
        <f ca="1">AVERAGE(OFFSET($GY$3,0,0,'Données projet'!$E$18+1,1))-AVERAGE(OFFSET($H$3,0,0,'Données projet'!$E$18+1,1))</f>
        <v>285.8437404763045</v>
      </c>
      <c r="HA24" s="59">
        <f t="shared" si="52"/>
        <v>276.01618888357268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1.2</v>
      </c>
      <c r="N25" s="13">
        <f>IF('Données projet'!$A$36&gt;35,N24+M25-V24,IF(A25&lt;'Données projet'!$A$36,$K$205^A25,IF(A25='Données projet'!$A$36,'Données projet'!$B$36,N24+M25-V24)))</f>
        <v>19.946500129940819</v>
      </c>
      <c r="O25" s="13">
        <f>N25*VLOOKUP('Données projet'!$B$9,Paramètres!$A$1:$I$89,3,0)*VLOOKUP('Données projet'!$B$9,Paramètres!$A$1:$I$89,5,0)</f>
        <v>18.047593317570453</v>
      </c>
      <c r="P25" s="13">
        <f t="shared" si="33"/>
        <v>5.9391480972072355</v>
      </c>
      <c r="Q25" s="20">
        <f t="shared" si="2"/>
        <v>41.776907964071142</v>
      </c>
      <c r="R25" s="59">
        <f t="shared" si="0"/>
        <v>262.95782186753956</v>
      </c>
      <c r="S25" s="59">
        <f ca="1">AVERAGE(OFFSET($R$3,0,0,'Données projet'!$E$9+1,1))-AVERAGE(OFFSET($H$3,0,0,'Données projet'!$E$9+1,1))</f>
        <v>315.34103933739129</v>
      </c>
      <c r="T25" s="59">
        <f t="shared" si="34"/>
        <v>165.80901858372513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17.72666666666667</v>
      </c>
      <c r="AI25" s="13">
        <f>IF('Données projet'!$A$62&gt;35,AI24+AH25-AQ24,IF(A25&lt;'Données projet'!$A$62,$AF$205^A25,IF(A25='Données projet'!$A$62,'Données projet'!$B$62,AI24+AH25-AQ24)))</f>
        <v>169.95333333333332</v>
      </c>
      <c r="AJ25" s="13">
        <f>AI25*VLOOKUP('Données projet'!$B$10,Paramètres!$A$1:$I$89,3,0)*VLOOKUP('Données projet'!$B$10,Paramètres!$A$1:$I$89,5,0)</f>
        <v>101.63209333333334</v>
      </c>
      <c r="AK25" s="13">
        <f t="shared" si="35"/>
        <v>27.35045416777394</v>
      </c>
      <c r="AL25" s="20">
        <f t="shared" si="4"/>
        <v>224.64460356442851</v>
      </c>
      <c r="AM25" s="59">
        <f t="shared" si="5"/>
        <v>445.82551746789693</v>
      </c>
      <c r="AN25" s="59">
        <f ca="1">AVERAGE(OFFSET($AM$3,0,0,'Données projet'!$E$10+1,1))-AVERAGE(OFFSET($H$3,0,0,'Données projet'!$E$10+1,1))</f>
        <v>317.328615425664</v>
      </c>
      <c r="AO25" s="59">
        <f t="shared" si="36"/>
        <v>324.95872842255744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7.107135257057112</v>
      </c>
      <c r="AW25" s="21">
        <f>EXP(-LN(2)/2)*AW24+(1-EXP(-LN(2)/2))/(LN(2)/2)*AQ25*AT25*VLOOKUP('Données projet'!$B$10,Paramètres!$A$1:$I$89,3,0)*0.475*44/12</f>
        <v>2.1592268261512628</v>
      </c>
      <c r="AX25" s="21">
        <f t="shared" si="6"/>
        <v>9.2663620832083744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5.654583333333334</v>
      </c>
      <c r="BD25" s="12">
        <f>IF('Données projet'!$A$88&gt;35,BD24+BC25-BL24,IF(A25&lt;'Données projet'!$A$88,$BA$205^A25,IF(A25='Données projet'!$A$88,'Données projet'!$B$88,BD24+BC25-BL24)))</f>
        <v>90.135152174883942</v>
      </c>
      <c r="BE25" s="13">
        <f>BD25*VLOOKUP('Données projet'!$B$11,Paramètres!$A$1:$I$89,3,0)*VLOOKUP('Données projet'!$B$11,Paramètres!$A$1:$I$89,5,0)</f>
        <v>103.8356953054663</v>
      </c>
      <c r="BF25" s="13">
        <f t="shared" si="37"/>
        <v>27.873787655415263</v>
      </c>
      <c r="BG25" s="20">
        <f t="shared" si="7"/>
        <v>229.3940161568687</v>
      </c>
      <c r="BH25" s="59">
        <f t="shared" si="8"/>
        <v>450.57493006033712</v>
      </c>
      <c r="BI25" s="59">
        <f ca="1">AVERAGE(OFFSET($BH$3,0,0,'Données projet'!$E$11+1,1))-AVERAGE(OFFSET($H$3,0,0,'Données projet'!$E$11+1,1))</f>
        <v>418.31716673276725</v>
      </c>
      <c r="BJ25" s="59">
        <f t="shared" si="38"/>
        <v>472.37891533957929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3.7299999999999991</v>
      </c>
      <c r="BY25" s="12">
        <f>IF('Données projet'!$A$114&gt;35,BY24+BX25-CG24,IF(A25&lt;'Données projet'!$A$114,$BV$205^A25,IF(A25='Données projet'!$A$114,'Données projet'!$B$114,BY24+BX25-CG24)))</f>
        <v>30.03</v>
      </c>
      <c r="BZ25" s="13">
        <f>BY25*VLOOKUP('Données projet'!$B$12,Paramètres!$A$1:$I$89,3,0)*VLOOKUP('Données projet'!$B$12,Paramètres!$A$1:$I$89,5,0)</f>
        <v>17.567550000000001</v>
      </c>
      <c r="CA25" s="13">
        <f t="shared" si="39"/>
        <v>5.7993441213746157</v>
      </c>
      <c r="CB25" s="20">
        <f t="shared" si="10"/>
        <v>40.697340594727457</v>
      </c>
      <c r="CC25" s="59">
        <f t="shared" si="11"/>
        <v>261.87825449819587</v>
      </c>
      <c r="CD25" s="59">
        <f ca="1">AVERAGE(OFFSET($CC$3,0,0,'Données projet'!$E$12+1,1))-AVERAGE(OFFSET($H$3,0,0,'Données projet'!$E$12+1,1))</f>
        <v>184.11352167663844</v>
      </c>
      <c r="CE25" s="59">
        <f t="shared" si="40"/>
        <v>145.86653500981791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2.1790000000000003</v>
      </c>
      <c r="CT25" s="12">
        <f>IF('Données projet'!$A$140&gt;35,CT24+CS25-DB24,IF(A25&lt;'Données projet'!$A$140,$CQ$205^A25,IF(A25='Données projet'!$A$140,'Données projet'!$B$140,CT24+CS25-DB24)))</f>
        <v>21.442605505414029</v>
      </c>
      <c r="CU25" s="17">
        <f>CT25*VLOOKUP('Données projet'!$B$13,Paramètres!$A$1:$I$89,3,0)*VLOOKUP('Données projet'!$B$13,Paramètres!$A$1:$I$89,5,0)</f>
        <v>10.313893248104149</v>
      </c>
      <c r="CV25" s="13">
        <f t="shared" si="41"/>
        <v>3.6225326003520735</v>
      </c>
      <c r="CW25" s="20">
        <f t="shared" si="13"/>
        <v>24.272608352727918</v>
      </c>
      <c r="CX25" s="59">
        <f t="shared" si="14"/>
        <v>245.45352225619632</v>
      </c>
      <c r="CY25" s="59">
        <f ca="1">AVERAGE(OFFSET($CX$3,0,0,'Données projet'!$E$13+1,1))-AVERAGE(OFFSET($H$3,0,0,'Données projet'!$E$13+1,1))</f>
        <v>303.76035885073708</v>
      </c>
      <c r="CZ25" s="59">
        <f t="shared" si="42"/>
        <v>127.43112562890414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8.8000000000000007</v>
      </c>
      <c r="DO25" s="12">
        <f>IF('Données projet'!$A$166&gt;35,DO24+DN25-DW24,IF(A25&lt;'Données projet'!$A$166,$DL$205^A25,IF(A25='Données projet'!$A$166,'Données projet'!$B$166,DO24+DN25-DW24)))</f>
        <v>98.6</v>
      </c>
      <c r="DP25" s="17">
        <f>DO25*VLOOKUP('Données projet'!$B$14,Paramètres!$A$1:$I$89,3,0)*VLOOKUP('Données projet'!$B$14,Paramètres!$A$1:$I$89,5,0)</f>
        <v>56.911920000000002</v>
      </c>
      <c r="DQ25" s="13">
        <f t="shared" si="43"/>
        <v>16.385120717694832</v>
      </c>
      <c r="DR25" s="20">
        <f t="shared" si="16"/>
        <v>127.6590125833185</v>
      </c>
      <c r="DS25" s="59">
        <f t="shared" si="17"/>
        <v>348.83992648678691</v>
      </c>
      <c r="DT25" s="59">
        <f ca="1">AVERAGE(OFFSET($DS$3,0,0,'Données projet'!$E$14+1,1))-AVERAGE(OFFSET($H$3,0,0,'Données projet'!$E$14+1,1))</f>
        <v>243.65374431792841</v>
      </c>
      <c r="DU25" s="59">
        <f t="shared" si="44"/>
        <v>271.60754570002939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5.6</v>
      </c>
      <c r="EJ25" s="12">
        <f>IF('Données projet'!$A$192&gt;35,EJ24+EI25-ER24,IF(A25&lt;'Données projet'!$A$192,$EG$205^A25,IF(A25='Données projet'!$A$192,'Données projet'!$B$192,EJ24+EI25-ER24)))</f>
        <v>53.2</v>
      </c>
      <c r="EK25" s="17">
        <f>EJ25*VLOOKUP('Données projet'!$B$15,Paramètres!$A$1:$I$89,3,0)*VLOOKUP('Données projet'!$B$15,Paramètres!$A$1:$I$89,5,0)</f>
        <v>35.68656</v>
      </c>
      <c r="EL25" s="13">
        <f t="shared" si="45"/>
        <v>10.847888324418458</v>
      </c>
      <c r="EM25" s="20">
        <f t="shared" si="19"/>
        <v>81.047497498362148</v>
      </c>
      <c r="EN25" s="59">
        <f t="shared" si="20"/>
        <v>302.22841140183056</v>
      </c>
      <c r="EO25" s="59">
        <f ca="1">AVERAGE(OFFSET($EN$3,0,0,'Données projet'!$E$15+1,1))-AVERAGE(OFFSET($H$3,0,0,'Données projet'!$E$15+1,1))</f>
        <v>321.44781099085594</v>
      </c>
      <c r="EP25" s="59">
        <f t="shared" si="46"/>
        <v>201.22243186578183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10</v>
      </c>
      <c r="FE25" s="12">
        <f>IF('Données projet'!$A$218&gt;35,FE24+FD25-FM24,IF(A25&lt;'Données projet'!$A$218,$FB$205^A25,IF(A25='Données projet'!$A$218,'Données projet'!$B$218,FE24+FD25-FM24)))</f>
        <v>56</v>
      </c>
      <c r="FF25" s="17">
        <f>FE25*VLOOKUP('Données projet'!$B$16,Paramètres!$A$1:$I$89,3,0)*VLOOKUP('Données projet'!$B$16,Paramètres!$A$1:$I$89,5,0)</f>
        <v>48.921600000000005</v>
      </c>
      <c r="FG25" s="13">
        <f t="shared" si="47"/>
        <v>14.334905731333867</v>
      </c>
      <c r="FH25" s="20">
        <f t="shared" si="22"/>
        <v>110.17174748207316</v>
      </c>
      <c r="FI25" s="59">
        <f t="shared" si="23"/>
        <v>331.35266138554152</v>
      </c>
      <c r="FJ25" s="59">
        <f ca="1">AVERAGE(OFFSET($FI$3,0,0,'Données projet'!$E$16+1,1))-AVERAGE(OFFSET($H$3,0,0,'Données projet'!$E$16+1,1))</f>
        <v>285.8437404763045</v>
      </c>
      <c r="FK25" s="59">
        <f t="shared" si="48"/>
        <v>276.01618888357268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12.6</v>
      </c>
      <c r="FZ25" s="12">
        <f>IF('Données projet'!$A$244&gt;35,FZ24+FY25-GH24,IF(A25&lt;'Données projet'!$A$244,$FW$205^A25,IF(A25='Données projet'!$A$244,'Données projet'!$B$244,FZ24+FY25-GH24)))</f>
        <v>77.199999999999989</v>
      </c>
      <c r="GA25" s="17">
        <f>FZ25*VLOOKUP('Données projet'!$B$17,Paramètres!$A$1:$I$89,3,0)*VLOOKUP('Données projet'!$B$17,Paramètres!$A$1:$I$89,5,0)</f>
        <v>61.42031999999999</v>
      </c>
      <c r="GB25" s="13">
        <f t="shared" si="49"/>
        <v>17.526880037631354</v>
      </c>
      <c r="GC25" s="20">
        <f t="shared" si="25"/>
        <v>137.4997067322079</v>
      </c>
      <c r="GD25" s="59">
        <f t="shared" si="26"/>
        <v>358.68062063567629</v>
      </c>
      <c r="GE25" s="59">
        <f ca="1">AVERAGE(OFFSET($GD$3,0,0,'Données projet'!$E$17+1,1))-AVERAGE(OFFSET($H$3,0,0,'Données projet'!$E$17+1,1))</f>
        <v>323.01113210765487</v>
      </c>
      <c r="GF25" s="59">
        <f t="shared" si="50"/>
        <v>311.68541696405975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10</v>
      </c>
      <c r="GU25" s="12">
        <f>IF('Données projet'!$A$270&gt;35,GU24+GT25-HC24,IF(A25&lt;'Données projet'!$A$270,$GR$205^A25,IF(A25='Données projet'!$A$270,'Données projet'!$B$270,GU24+GT25-HC24)))</f>
        <v>56</v>
      </c>
      <c r="GV25" s="17">
        <f>GU25*VLOOKUP('Données projet'!$B$18,Paramètres!$A$1:$I$89,3,0)*VLOOKUP('Données projet'!$B$18,Paramètres!$A$1:$I$89,5,0)</f>
        <v>48.921600000000005</v>
      </c>
      <c r="GW25" s="13">
        <f t="shared" si="51"/>
        <v>14.334905731333867</v>
      </c>
      <c r="GX25" s="20">
        <f t="shared" si="28"/>
        <v>110.17174748207316</v>
      </c>
      <c r="GY25" s="59">
        <f t="shared" si="29"/>
        <v>331.35266138554152</v>
      </c>
      <c r="GZ25" s="59">
        <f ca="1">AVERAGE(OFFSET($GY$3,0,0,'Données projet'!$E$18+1,1))-AVERAGE(OFFSET($H$3,0,0,'Données projet'!$E$18+1,1))</f>
        <v>285.8437404763045</v>
      </c>
      <c r="HA25" s="59">
        <f t="shared" si="52"/>
        <v>276.01618888357268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1.2</v>
      </c>
      <c r="N26" s="13">
        <f>IF('Données projet'!$A$36&gt;35,N25+M26-V25,IF(A26&lt;'Données projet'!$A$36,$K$205^A26,IF(A26='Données projet'!$A$36,'Données projet'!$B$36,N25+M26-V25)))</f>
        <v>22.853438584779923</v>
      </c>
      <c r="O26" s="13">
        <f>N26*VLOOKUP('Données projet'!$B$9,Paramètres!$A$1:$I$89,3,0)*VLOOKUP('Données projet'!$B$9,Paramètres!$A$1:$I$89,5,0)</f>
        <v>20.677791231508873</v>
      </c>
      <c r="P26" s="13">
        <f t="shared" si="33"/>
        <v>6.6977900276630162</v>
      </c>
      <c r="Q26" s="20">
        <f t="shared" si="2"/>
        <v>47.679137359724372</v>
      </c>
      <c r="R26" s="59">
        <f t="shared" si="0"/>
        <v>271.16433406927086</v>
      </c>
      <c r="S26" s="59">
        <f ca="1">AVERAGE(OFFSET($R$3,0,0,'Données projet'!$E$9+1,1))-AVERAGE(OFFSET($H$3,0,0,'Données projet'!$E$9+1,1))</f>
        <v>315.34103933739129</v>
      </c>
      <c r="T26" s="59">
        <f t="shared" si="34"/>
        <v>165.80901858372513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>
        <f>VLOOKUP(A26,'Données projet'!$A$61:$I$81,2,0)</f>
        <v>187.68</v>
      </c>
      <c r="AG26" s="12">
        <f>VLOOKUP(A26,'Données projet'!$A$61:$I$81,9,0)</f>
        <v>17.72666666666667</v>
      </c>
      <c r="AH26" s="12">
        <f t="array" ref="AH26">INDEX(AG:AG,MIN(IF(ISNUMBER(AG26:AG222),ROW(AG26:AG222),"")))</f>
        <v>17.72666666666667</v>
      </c>
      <c r="AI26" s="13">
        <f>IF('Données projet'!$A$62&gt;35,AI25+AH26-AQ25,IF(A26&lt;'Données projet'!$A$62,$AF$205^A26,IF(A26='Données projet'!$A$62,'Données projet'!$B$62,AI25+AH26-AQ25)))</f>
        <v>187.67999999999998</v>
      </c>
      <c r="AJ26" s="13">
        <f>AI26*VLOOKUP('Données projet'!$B$10,Paramètres!$A$1:$I$89,3,0)*VLOOKUP('Données projet'!$B$10,Paramètres!$A$1:$I$89,5,0)</f>
        <v>112.23263999999999</v>
      </c>
      <c r="AK26" s="13">
        <f t="shared" si="35"/>
        <v>29.85639523393861</v>
      </c>
      <c r="AL26" s="20">
        <f t="shared" si="4"/>
        <v>247.47173636577637</v>
      </c>
      <c r="AM26" s="59">
        <f t="shared" si="5"/>
        <v>470.95693307532287</v>
      </c>
      <c r="AN26" s="59">
        <f ca="1">AVERAGE(OFFSET($AM$3,0,0,'Données projet'!$E$10+1,1))-AVERAGE(OFFSET($H$3,0,0,'Données projet'!$E$10+1,1))</f>
        <v>317.328615425664</v>
      </c>
      <c r="AO26" s="59">
        <f t="shared" si="36"/>
        <v>324.95872842255744</v>
      </c>
      <c r="AP26" s="15">
        <f>IF(ISNA(VLOOKUP(A26,'Données projet'!$A$61:$I$81,3,0)),0,VLOOKUP(A26,'Données projet'!$A$61:$I$81,3,0))</f>
        <v>1</v>
      </c>
      <c r="AQ26" s="15">
        <f>IF(ISNA(VLOOKUP(A26,'Données projet'!$A$61:$I$81,4,0)),0,VLOOKUP(A26,'Données projet'!$A$61:$I$81,4,0))</f>
        <v>57.75</v>
      </c>
      <c r="AR26" s="16">
        <f>IF(ISNA(VLOOKUP(A26,'Données projet'!$A$61:$I$81,5,0)),0%,VLOOKUP(A26,'Données projet'!$A$61:$I$81,5,0)*VLOOKUP('Données projet'!$B$10,Paramètres!$A$1:$I$89,7,0))</f>
        <v>9.0000000000000011E-2</v>
      </c>
      <c r="AS26" s="16">
        <f>IF(ISNA(VLOOKUP(A26,'Données projet'!$A$61:$I$81,6,0)),0%,VLOOKUP(A26,'Données projet'!$A$61:$I$81,6,0)*VLOOKUP('Données projet'!$B$10,Paramètres!$A$1:$I$89,7,0))</f>
        <v>0.25200000000000006</v>
      </c>
      <c r="AT26" s="16">
        <f>IF(ISNA(VLOOKUP(A26,'Données projet'!$A$61:$I$81,7,0)),0%,VLOOKUP(A26,'Données projet'!$A$61:$I$81,7,0))</f>
        <v>0.35</v>
      </c>
      <c r="AU26" s="21">
        <f>EXP(-LN(2)/35)*AU25+(1-EXP(-LN(2)/35))/(LN(2)/35)*AQ26*AR26*VLOOKUP('Données projet'!$B$10,Paramètres!$A$1:$I$89,3,0)*0.475*44/12</f>
        <v>4.123101616773913</v>
      </c>
      <c r="AV26" s="21">
        <f>EXP(-LN(2)/25)*AV25+(1-EXP(-LN(2)/25))/(LN(2)/25)*Calculateur!AQ26*Calculateur!AS26*VLOOKUP('Données projet'!$B$10,Paramètres!$A$1:$I$89,3,0)*0.475*44/12</f>
        <v>18.412018974819503</v>
      </c>
      <c r="AW26" s="21">
        <f>EXP(-LN(2)/2)*AW25+(1-EXP(-LN(2)/2))/(LN(2)/2)*AQ26*AT26*VLOOKUP('Données projet'!$B$10,Paramètres!$A$1:$I$89,3,0)*0.475*44/12</f>
        <v>15.212180628516171</v>
      </c>
      <c r="AX26" s="21">
        <f t="shared" si="6"/>
        <v>37.747301220109584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5.654583333333334</v>
      </c>
      <c r="BD26" s="12">
        <f>IF('Données projet'!$A$88&gt;35,BD25+BC26-BL25,IF(A26&lt;'Données projet'!$A$88,$BA$205^A26,IF(A26='Données projet'!$A$88,'Données projet'!$B$88,BD25+BC26-BL25)))</f>
        <v>110.59946429189186</v>
      </c>
      <c r="BE26" s="13">
        <f>BD26*VLOOKUP('Données projet'!$B$11,Paramètres!$A$1:$I$89,3,0)*VLOOKUP('Données projet'!$B$11,Paramètres!$A$1:$I$89,5,0)</f>
        <v>127.41058286425942</v>
      </c>
      <c r="BF26" s="13">
        <f t="shared" si="37"/>
        <v>33.397322232217682</v>
      </c>
      <c r="BG26" s="20">
        <f t="shared" si="7"/>
        <v>280.07376804303095</v>
      </c>
      <c r="BH26" s="59">
        <f t="shared" si="8"/>
        <v>503.55896475257748</v>
      </c>
      <c r="BI26" s="59">
        <f ca="1">AVERAGE(OFFSET($BH$3,0,0,'Données projet'!$E$11+1,1))-AVERAGE(OFFSET($H$3,0,0,'Données projet'!$E$11+1,1))</f>
        <v>418.31716673276725</v>
      </c>
      <c r="BJ26" s="59">
        <f t="shared" si="38"/>
        <v>472.37891533957929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>
        <f>VLOOKUP(A26,'Données projet'!$A$113:$I$133,2,0)</f>
        <v>33.76</v>
      </c>
      <c r="BW26" s="12">
        <f>VLOOKUP(A26,'Données projet'!$A$113:$I$133,9,0)</f>
        <v>3.7299999999999991</v>
      </c>
      <c r="BX26" s="12">
        <f t="array" ref="BX26">INDEX(BW:BW,MIN(IF(ISNUMBER(BW26:BW222),ROW(BW26:BW222),"")))</f>
        <v>3.7299999999999991</v>
      </c>
      <c r="BY26" s="12">
        <f>IF('Données projet'!$A$114&gt;35,BY25+BX26-CG25,IF(A26&lt;'Données projet'!$A$114,$BV$205^A26,IF(A26='Données projet'!$A$114,'Données projet'!$B$114,BY25+BX26-CG25)))</f>
        <v>33.76</v>
      </c>
      <c r="BZ26" s="13">
        <f>BY26*VLOOKUP('Données projet'!$B$12,Paramètres!$A$1:$I$89,3,0)*VLOOKUP('Données projet'!$B$12,Paramètres!$A$1:$I$89,5,0)</f>
        <v>19.749600000000001</v>
      </c>
      <c r="CA26" s="13">
        <f t="shared" si="39"/>
        <v>6.4314275594666812</v>
      </c>
      <c r="CB26" s="20">
        <f t="shared" si="10"/>
        <v>45.598622999404462</v>
      </c>
      <c r="CC26" s="59">
        <f t="shared" si="11"/>
        <v>269.08381970895095</v>
      </c>
      <c r="CD26" s="59">
        <f ca="1">AVERAGE(OFFSET($CC$3,0,0,'Données projet'!$E$12+1,1))-AVERAGE(OFFSET($H$3,0,0,'Données projet'!$E$12+1,1))</f>
        <v>184.11352167663844</v>
      </c>
      <c r="CE26" s="59">
        <f t="shared" si="40"/>
        <v>145.86653500981791</v>
      </c>
      <c r="CF26" s="15">
        <f>IF(ISNA(VLOOKUP(A26,'Données projet'!$A$113:$I$133,3,0)),0,VLOOKUP(A26,'Données projet'!$A$113:$I$133,3,0))</f>
        <v>3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0.25200000000000006</v>
      </c>
      <c r="CJ26" s="16">
        <f>IF(ISNA(VLOOKUP(A26,'Données projet'!$A$113:$I$133,7,0)),0%,VLOOKUP(A26,'Données projet'!$A$113:$I$133,7,0))</f>
        <v>0.44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2.1790000000000003</v>
      </c>
      <c r="CT26" s="12">
        <f>IF('Données projet'!$A$140&gt;35,CT25+CS26-DB25,IF(A26&lt;'Données projet'!$A$140,$CQ$205^A26,IF(A26='Données projet'!$A$140,'Données projet'!$B$140,CT25+CS26-DB25)))</f>
        <v>24.648481648427673</v>
      </c>
      <c r="CU26" s="17">
        <f>CT26*VLOOKUP('Données projet'!$B$13,Paramètres!$A$1:$I$89,3,0)*VLOOKUP('Données projet'!$B$13,Paramètres!$A$1:$I$89,5,0)</f>
        <v>11.855919672893711</v>
      </c>
      <c r="CV26" s="13">
        <f t="shared" si="41"/>
        <v>4.0971442079137068</v>
      </c>
      <c r="CW26" s="20">
        <f t="shared" si="13"/>
        <v>27.784919592406251</v>
      </c>
      <c r="CX26" s="59">
        <f t="shared" si="14"/>
        <v>251.27011630195275</v>
      </c>
      <c r="CY26" s="59">
        <f ca="1">AVERAGE(OFFSET($CX$3,0,0,'Données projet'!$E$13+1,1))-AVERAGE(OFFSET($H$3,0,0,'Données projet'!$E$13+1,1))</f>
        <v>303.76035885073708</v>
      </c>
      <c r="CZ26" s="59">
        <f t="shared" si="42"/>
        <v>127.43112562890414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8.8000000000000007</v>
      </c>
      <c r="DO26" s="12">
        <f>IF('Données projet'!$A$166&gt;35,DO25+DN26-DW25,IF(A26&lt;'Données projet'!$A$166,$DL$205^A26,IF(A26='Données projet'!$A$166,'Données projet'!$B$166,DO25+DN26-DW25)))</f>
        <v>107.39999999999999</v>
      </c>
      <c r="DP26" s="17">
        <f>DO26*VLOOKUP('Données projet'!$B$14,Paramètres!$A$1:$I$89,3,0)*VLOOKUP('Données projet'!$B$14,Paramètres!$A$1:$I$89,5,0)</f>
        <v>61.991280000000003</v>
      </c>
      <c r="DQ26" s="13">
        <f t="shared" si="43"/>
        <v>17.670766426182912</v>
      </c>
      <c r="DR26" s="20">
        <f t="shared" si="16"/>
        <v>138.74473085893524</v>
      </c>
      <c r="DS26" s="59">
        <f t="shared" si="17"/>
        <v>362.22992756848174</v>
      </c>
      <c r="DT26" s="59">
        <f ca="1">AVERAGE(OFFSET($DS$3,0,0,'Données projet'!$E$14+1,1))-AVERAGE(OFFSET($H$3,0,0,'Données projet'!$E$14+1,1))</f>
        <v>243.65374431792841</v>
      </c>
      <c r="DU26" s="59">
        <f t="shared" si="44"/>
        <v>271.60754570002939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5.6</v>
      </c>
      <c r="EJ26" s="12">
        <f>IF('Données projet'!$A$192&gt;35,EJ25+EI26-ER25,IF(A26&lt;'Données projet'!$A$192,$EG$205^A26,IF(A26='Données projet'!$A$192,'Données projet'!$B$192,EJ25+EI26-ER25)))</f>
        <v>58.800000000000004</v>
      </c>
      <c r="EK26" s="17">
        <f>EJ26*VLOOKUP('Données projet'!$B$15,Paramètres!$A$1:$I$89,3,0)*VLOOKUP('Données projet'!$B$15,Paramètres!$A$1:$I$89,5,0)</f>
        <v>39.443040000000003</v>
      </c>
      <c r="EL26" s="13">
        <f t="shared" si="45"/>
        <v>11.850904343164064</v>
      </c>
      <c r="EM26" s="20">
        <f t="shared" si="19"/>
        <v>89.336953064344087</v>
      </c>
      <c r="EN26" s="59">
        <f t="shared" si="20"/>
        <v>312.8221497738906</v>
      </c>
      <c r="EO26" s="59">
        <f ca="1">AVERAGE(OFFSET($EN$3,0,0,'Données projet'!$E$15+1,1))-AVERAGE(OFFSET($H$3,0,0,'Données projet'!$E$15+1,1))</f>
        <v>321.44781099085594</v>
      </c>
      <c r="EP26" s="59">
        <f t="shared" si="46"/>
        <v>201.22243186578183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10</v>
      </c>
      <c r="FE26" s="12">
        <f>IF('Données projet'!$A$218&gt;35,FE25+FD26-FM25,IF(A26&lt;'Données projet'!$A$218,$FB$205^A26,IF(A26='Données projet'!$A$218,'Données projet'!$B$218,FE25+FD26-FM25)))</f>
        <v>66</v>
      </c>
      <c r="FF26" s="17">
        <f>FE26*VLOOKUP('Données projet'!$B$16,Paramètres!$A$1:$I$89,3,0)*VLOOKUP('Données projet'!$B$16,Paramètres!$A$1:$I$89,5,0)</f>
        <v>57.657600000000002</v>
      </c>
      <c r="FG26" s="13">
        <f t="shared" si="47"/>
        <v>16.574671209026025</v>
      </c>
      <c r="FH26" s="20">
        <f t="shared" si="22"/>
        <v>129.28787235572034</v>
      </c>
      <c r="FI26" s="59">
        <f t="shared" si="23"/>
        <v>352.77306906526684</v>
      </c>
      <c r="FJ26" s="59">
        <f ca="1">AVERAGE(OFFSET($FI$3,0,0,'Données projet'!$E$16+1,1))-AVERAGE(OFFSET($H$3,0,0,'Données projet'!$E$16+1,1))</f>
        <v>285.8437404763045</v>
      </c>
      <c r="FK26" s="59">
        <f t="shared" si="48"/>
        <v>276.01618888357268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12.6</v>
      </c>
      <c r="FZ26" s="12">
        <f>IF('Données projet'!$A$244&gt;35,FZ25+FY26-GH25,IF(A26&lt;'Données projet'!$A$244,$FW$205^A26,IF(A26='Données projet'!$A$244,'Données projet'!$B$244,FZ25+FY26-GH25)))</f>
        <v>89.799999999999983</v>
      </c>
      <c r="GA26" s="17">
        <f>FZ26*VLOOKUP('Données projet'!$B$17,Paramètres!$A$1:$I$89,3,0)*VLOOKUP('Données projet'!$B$17,Paramètres!$A$1:$I$89,5,0)</f>
        <v>71.444879999999998</v>
      </c>
      <c r="GB26" s="13">
        <f t="shared" si="49"/>
        <v>20.03184442542841</v>
      </c>
      <c r="GC26" s="20">
        <f t="shared" si="25"/>
        <v>159.32196170762117</v>
      </c>
      <c r="GD26" s="59">
        <f t="shared" si="26"/>
        <v>382.80715841716767</v>
      </c>
      <c r="GE26" s="59">
        <f ca="1">AVERAGE(OFFSET($GD$3,0,0,'Données projet'!$E$17+1,1))-AVERAGE(OFFSET($H$3,0,0,'Données projet'!$E$17+1,1))</f>
        <v>323.01113210765487</v>
      </c>
      <c r="GF26" s="59">
        <f t="shared" si="50"/>
        <v>311.68541696405975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10</v>
      </c>
      <c r="GU26" s="12">
        <f>IF('Données projet'!$A$270&gt;35,GU25+GT26-HC25,IF(A26&lt;'Données projet'!$A$270,$GR$205^A26,IF(A26='Données projet'!$A$270,'Données projet'!$B$270,GU25+GT26-HC25)))</f>
        <v>66</v>
      </c>
      <c r="GV26" s="17">
        <f>GU26*VLOOKUP('Données projet'!$B$18,Paramètres!$A$1:$I$89,3,0)*VLOOKUP('Données projet'!$B$18,Paramètres!$A$1:$I$89,5,0)</f>
        <v>57.657600000000002</v>
      </c>
      <c r="GW26" s="13">
        <f t="shared" si="51"/>
        <v>16.574671209026025</v>
      </c>
      <c r="GX26" s="20">
        <f t="shared" si="28"/>
        <v>129.28787235572034</v>
      </c>
      <c r="GY26" s="59">
        <f t="shared" si="29"/>
        <v>352.77306906526684</v>
      </c>
      <c r="GZ26" s="59">
        <f ca="1">AVERAGE(OFFSET($GY$3,0,0,'Données projet'!$E$18+1,1))-AVERAGE(OFFSET($H$3,0,0,'Données projet'!$E$18+1,1))</f>
        <v>285.8437404763045</v>
      </c>
      <c r="HA26" s="59">
        <f t="shared" si="52"/>
        <v>276.01618888357268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1.2</v>
      </c>
      <c r="N27" s="13">
        <f>IF('Données projet'!$A$36&gt;35,N26+M27-V26,IF(A27&lt;'Données projet'!$A$36,$K$205^A27,IF(A27='Données projet'!$A$36,'Données projet'!$B$36,N26+M27-V26)))</f>
        <v>26.184024853780567</v>
      </c>
      <c r="O27" s="13">
        <f>N27*VLOOKUP('Données projet'!$B$9,Paramètres!$A$1:$I$89,3,0)*VLOOKUP('Données projet'!$B$9,Paramètres!$A$1:$I$89,5,0)</f>
        <v>23.691305687700655</v>
      </c>
      <c r="P27" s="13">
        <f t="shared" si="33"/>
        <v>7.5533377044018843</v>
      </c>
      <c r="Q27" s="20">
        <f t="shared" si="2"/>
        <v>54.417753907911923</v>
      </c>
      <c r="R27" s="59">
        <f t="shared" si="0"/>
        <v>280.18846209153173</v>
      </c>
      <c r="S27" s="59">
        <f ca="1">AVERAGE(OFFSET($R$3,0,0,'Données projet'!$E$9+1,1))-AVERAGE(OFFSET($H$3,0,0,'Données projet'!$E$9+1,1))</f>
        <v>315.34103933739129</v>
      </c>
      <c r="T27" s="59">
        <f t="shared" si="34"/>
        <v>165.80901858372513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19.274999999999991</v>
      </c>
      <c r="AI27" s="13">
        <f>IF('Données projet'!$A$62&gt;35,AI26+AH27-AQ26,IF(A27&lt;'Données projet'!$A$62,$AF$205^A27,IF(A27='Données projet'!$A$62,'Données projet'!$B$62,AI26+AH27-AQ26)))</f>
        <v>149.20499999999998</v>
      </c>
      <c r="AJ27" s="13">
        <f>AI27*VLOOKUP('Données projet'!$B$10,Paramètres!$A$1:$I$89,3,0)*VLOOKUP('Données projet'!$B$10,Paramètres!$A$1:$I$89,5,0)</f>
        <v>89.224589999999992</v>
      </c>
      <c r="AK27" s="13">
        <f t="shared" si="35"/>
        <v>24.378120698840782</v>
      </c>
      <c r="AL27" s="20">
        <f t="shared" si="4"/>
        <v>197.8580544671477</v>
      </c>
      <c r="AM27" s="59">
        <f t="shared" si="5"/>
        <v>423.6287626507675</v>
      </c>
      <c r="AN27" s="59">
        <f ca="1">AVERAGE(OFFSET($AM$3,0,0,'Données projet'!$E$10+1,1))-AVERAGE(OFFSET($H$3,0,0,'Données projet'!$E$10+1,1))</f>
        <v>317.328615425664</v>
      </c>
      <c r="AO27" s="59">
        <f t="shared" si="36"/>
        <v>324.95872842255744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4.0422501089126426</v>
      </c>
      <c r="AV27" s="21">
        <f>EXP(-LN(2)/25)*AV26+(1-EXP(-LN(2)/25))/(LN(2)/25)*Calculateur!AQ27*Calculateur!AS27*VLOOKUP('Données projet'!$B$10,Paramètres!$A$1:$I$89,3,0)*0.475*44/12</f>
        <v>17.908541347707068</v>
      </c>
      <c r="AW27" s="21">
        <f>EXP(-LN(2)/2)*AW26+(1-EXP(-LN(2)/2))/(LN(2)/2)*AQ27*AT27*VLOOKUP('Données projet'!$B$10,Paramètres!$A$1:$I$89,3,0)*0.475*44/12</f>
        <v>10.756636079058422</v>
      </c>
      <c r="AX27" s="21">
        <f t="shared" si="6"/>
        <v>32.707427535678136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135.71</v>
      </c>
      <c r="BB27" s="12">
        <f>VLOOKUP(A27,'Données projet'!$A$87:$I$107,9,0)</f>
        <v>5.654583333333334</v>
      </c>
      <c r="BC27" s="12">
        <f t="array" ref="BC27">INDEX(BB:BB,MIN(IF(ISNUMBER(BB27:BB223),ROW(BB27:BB223),"")))</f>
        <v>5.654583333333334</v>
      </c>
      <c r="BD27" s="12">
        <f>IF('Données projet'!$A$88&gt;35,BD26+BC27-BL26,IF(A27&lt;'Données projet'!$A$88,$BA$205^A27,IF(A27='Données projet'!$A$88,'Données projet'!$B$88,BD26+BC27-BL26)))</f>
        <v>135.71</v>
      </c>
      <c r="BE27" s="13">
        <f>BD27*VLOOKUP('Données projet'!$B$11,Paramètres!$A$1:$I$89,3,0)*VLOOKUP('Données projet'!$B$11,Paramètres!$A$1:$I$89,5,0)</f>
        <v>156.33792</v>
      </c>
      <c r="BF27" s="13">
        <f t="shared" si="37"/>
        <v>40.015413264651521</v>
      </c>
      <c r="BG27" s="20">
        <f t="shared" si="7"/>
        <v>341.98205543593468</v>
      </c>
      <c r="BH27" s="59">
        <f t="shared" si="8"/>
        <v>567.75276361955446</v>
      </c>
      <c r="BI27" s="59">
        <f ca="1">AVERAGE(OFFSET($BH$3,0,0,'Données projet'!$E$11+1,1))-AVERAGE(OFFSET($H$3,0,0,'Données projet'!$E$11+1,1))</f>
        <v>418.31716673276725</v>
      </c>
      <c r="BJ27" s="59">
        <f t="shared" si="38"/>
        <v>472.37891533957929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49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0.25200000000000006</v>
      </c>
      <c r="BO27" s="16">
        <f>IF(ISNA(VLOOKUP(A27,'Données projet'!$A$87:$I$107,7,0)),0%,VLOOKUP(A27,'Données projet'!$A$87:$I$107,7,0))</f>
        <v>0.44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10.181135296227961</v>
      </c>
      <c r="BR27" s="21">
        <f>EXP(-LN(2)/2)*BR26+(1-EXP(-LN(2)/2))/(LN(2)/2)*BL27*BO27*VLOOKUP('Données projet'!$B$11,Paramètres!$A$1:$I$89,3,0)*0.475*44/12</f>
        <v>15.232419280834455</v>
      </c>
      <c r="BS27" s="22">
        <f t="shared" si="9"/>
        <v>25.413554577062413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4.3100000000000023</v>
      </c>
      <c r="BY27" s="12">
        <f>IF('Données projet'!$A$114&gt;35,BY26+BX27-CG26,IF(A27&lt;'Données projet'!$A$114,$BV$205^A27,IF(A27='Données projet'!$A$114,'Données projet'!$B$114,BY26+BX27-CG26)))</f>
        <v>38.07</v>
      </c>
      <c r="BZ27" s="13">
        <f>BY27*VLOOKUP('Données projet'!$B$12,Paramètres!$A$1:$I$89,3,0)*VLOOKUP('Données projet'!$B$12,Paramètres!$A$1:$I$89,5,0)</f>
        <v>22.270949999999999</v>
      </c>
      <c r="CA27" s="13">
        <f t="shared" si="39"/>
        <v>7.1517778868942878</v>
      </c>
      <c r="CB27" s="20">
        <f t="shared" si="10"/>
        <v>51.244584403007543</v>
      </c>
      <c r="CC27" s="59">
        <f t="shared" si="11"/>
        <v>277.01529258662737</v>
      </c>
      <c r="CD27" s="59">
        <f ca="1">AVERAGE(OFFSET($CC$3,0,0,'Données projet'!$E$12+1,1))-AVERAGE(OFFSET($H$3,0,0,'Données projet'!$E$12+1,1))</f>
        <v>184.11352167663844</v>
      </c>
      <c r="CE27" s="59">
        <f t="shared" si="40"/>
        <v>145.86653500981791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2.1790000000000003</v>
      </c>
      <c r="CT27" s="12">
        <f>IF('Données projet'!$A$140&gt;35,CT26+CS27-DB26,IF(A27&lt;'Données projet'!$A$140,$CQ$205^A27,IF(A27='Données projet'!$A$140,'Données projet'!$B$140,CT26+CS27-DB26)))</f>
        <v>28.333667166495999</v>
      </c>
      <c r="CU27" s="17">
        <f>CT27*VLOOKUP('Données projet'!$B$13,Paramètres!$A$1:$I$89,3,0)*VLOOKUP('Données projet'!$B$13,Paramètres!$A$1:$I$89,5,0)</f>
        <v>13.628493907084577</v>
      </c>
      <c r="CV27" s="13">
        <f t="shared" si="41"/>
        <v>4.6339377756902325</v>
      </c>
      <c r="CW27" s="20">
        <f t="shared" si="13"/>
        <v>31.807068514166122</v>
      </c>
      <c r="CX27" s="59">
        <f t="shared" si="14"/>
        <v>257.57777669778591</v>
      </c>
      <c r="CY27" s="59">
        <f ca="1">AVERAGE(OFFSET($CX$3,0,0,'Données projet'!$E$13+1,1))-AVERAGE(OFFSET($H$3,0,0,'Données projet'!$E$13+1,1))</f>
        <v>303.76035885073708</v>
      </c>
      <c r="CZ27" s="59">
        <f t="shared" si="42"/>
        <v>127.43112562890414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8.8000000000000007</v>
      </c>
      <c r="DO27" s="12">
        <f>IF('Données projet'!$A$166&gt;35,DO26+DN27-DW26,IF(A27&lt;'Données projet'!$A$166,$DL$205^A27,IF(A27='Données projet'!$A$166,'Données projet'!$B$166,DO26+DN27-DW26)))</f>
        <v>116.19999999999999</v>
      </c>
      <c r="DP27" s="17">
        <f>DO27*VLOOKUP('Données projet'!$B$14,Paramètres!$A$1:$I$89,3,0)*VLOOKUP('Données projet'!$B$14,Paramètres!$A$1:$I$89,5,0)</f>
        <v>67.070639999999997</v>
      </c>
      <c r="DQ27" s="13">
        <f t="shared" si="43"/>
        <v>18.944194244549301</v>
      </c>
      <c r="DR27" s="20">
        <f t="shared" si="16"/>
        <v>149.80916964259004</v>
      </c>
      <c r="DS27" s="59">
        <f t="shared" si="17"/>
        <v>375.57987782620984</v>
      </c>
      <c r="DT27" s="59">
        <f ca="1">AVERAGE(OFFSET($DS$3,0,0,'Données projet'!$E$14+1,1))-AVERAGE(OFFSET($H$3,0,0,'Données projet'!$E$14+1,1))</f>
        <v>243.65374431792841</v>
      </c>
      <c r="DU27" s="59">
        <f t="shared" si="44"/>
        <v>271.60754570002939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5.6</v>
      </c>
      <c r="EJ27" s="12">
        <f>IF('Données projet'!$A$192&gt;35,EJ26+EI27-ER26,IF(A27&lt;'Données projet'!$A$192,$EG$205^A27,IF(A27='Données projet'!$A$192,'Données projet'!$B$192,EJ26+EI27-ER26)))</f>
        <v>64.400000000000006</v>
      </c>
      <c r="EK27" s="17">
        <f>EJ27*VLOOKUP('Données projet'!$B$15,Paramètres!$A$1:$I$89,3,0)*VLOOKUP('Données projet'!$B$15,Paramètres!$A$1:$I$89,5,0)</f>
        <v>43.199520000000007</v>
      </c>
      <c r="EL27" s="13">
        <f t="shared" si="45"/>
        <v>12.842844959465618</v>
      </c>
      <c r="EM27" s="20">
        <f t="shared" si="19"/>
        <v>97.607118971069283</v>
      </c>
      <c r="EN27" s="59">
        <f t="shared" si="20"/>
        <v>323.3778271546891</v>
      </c>
      <c r="EO27" s="59">
        <f ca="1">AVERAGE(OFFSET($EN$3,0,0,'Données projet'!$E$15+1,1))-AVERAGE(OFFSET($H$3,0,0,'Données projet'!$E$15+1,1))</f>
        <v>321.44781099085594</v>
      </c>
      <c r="EP27" s="59">
        <f t="shared" si="46"/>
        <v>201.22243186578183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10</v>
      </c>
      <c r="FE27" s="12">
        <f>IF('Données projet'!$A$218&gt;35,FE26+FD27-FM26,IF(A27&lt;'Données projet'!$A$218,$FB$205^A27,IF(A27='Données projet'!$A$218,'Données projet'!$B$218,FE26+FD27-FM26)))</f>
        <v>76</v>
      </c>
      <c r="FF27" s="17">
        <f>FE27*VLOOKUP('Données projet'!$B$16,Paramètres!$A$1:$I$89,3,0)*VLOOKUP('Données projet'!$B$16,Paramètres!$A$1:$I$89,5,0)</f>
        <v>66.393600000000006</v>
      </c>
      <c r="FG27" s="13">
        <f t="shared" si="47"/>
        <v>18.775122997078544</v>
      </c>
      <c r="FH27" s="20">
        <f t="shared" si="22"/>
        <v>148.33552588657844</v>
      </c>
      <c r="FI27" s="59">
        <f t="shared" si="23"/>
        <v>374.10623407019824</v>
      </c>
      <c r="FJ27" s="59">
        <f ca="1">AVERAGE(OFFSET($FI$3,0,0,'Données projet'!$E$16+1,1))-AVERAGE(OFFSET($H$3,0,0,'Données projet'!$E$16+1,1))</f>
        <v>285.8437404763045</v>
      </c>
      <c r="FK27" s="59">
        <f t="shared" si="48"/>
        <v>276.01618888357268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12.6</v>
      </c>
      <c r="FZ27" s="12">
        <f>IF('Données projet'!$A$244&gt;35,FZ26+FY27-GH26,IF(A27&lt;'Données projet'!$A$244,$FW$205^A27,IF(A27='Données projet'!$A$244,'Données projet'!$B$244,FZ26+FY27-GH26)))</f>
        <v>102.39999999999998</v>
      </c>
      <c r="GA27" s="17">
        <f>FZ27*VLOOKUP('Données projet'!$B$17,Paramètres!$A$1:$I$89,3,0)*VLOOKUP('Données projet'!$B$17,Paramètres!$A$1:$I$89,5,0)</f>
        <v>81.469439999999992</v>
      </c>
      <c r="GB27" s="13">
        <f t="shared" si="49"/>
        <v>22.496088365195678</v>
      </c>
      <c r="GC27" s="20">
        <f t="shared" si="25"/>
        <v>181.07329523604912</v>
      </c>
      <c r="GD27" s="59">
        <f t="shared" si="26"/>
        <v>406.84400341966892</v>
      </c>
      <c r="GE27" s="59">
        <f ca="1">AVERAGE(OFFSET($GD$3,0,0,'Données projet'!$E$17+1,1))-AVERAGE(OFFSET($H$3,0,0,'Données projet'!$E$17+1,1))</f>
        <v>323.01113210765487</v>
      </c>
      <c r="GF27" s="59">
        <f t="shared" si="50"/>
        <v>311.68541696405975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10</v>
      </c>
      <c r="GU27" s="12">
        <f>IF('Données projet'!$A$270&gt;35,GU26+GT27-HC26,IF(A27&lt;'Données projet'!$A$270,$GR$205^A27,IF(A27='Données projet'!$A$270,'Données projet'!$B$270,GU26+GT27-HC26)))</f>
        <v>76</v>
      </c>
      <c r="GV27" s="17">
        <f>GU27*VLOOKUP('Données projet'!$B$18,Paramètres!$A$1:$I$89,3,0)*VLOOKUP('Données projet'!$B$18,Paramètres!$A$1:$I$89,5,0)</f>
        <v>66.393600000000006</v>
      </c>
      <c r="GW27" s="13">
        <f t="shared" si="51"/>
        <v>18.775122997078544</v>
      </c>
      <c r="GX27" s="20">
        <f t="shared" si="28"/>
        <v>148.33552588657844</v>
      </c>
      <c r="GY27" s="59">
        <f t="shared" si="29"/>
        <v>374.10623407019824</v>
      </c>
      <c r="GZ27" s="59">
        <f ca="1">AVERAGE(OFFSET($GY$3,0,0,'Données projet'!$E$18+1,1))-AVERAGE(OFFSET($H$3,0,0,'Données projet'!$E$18+1,1))</f>
        <v>285.8437404763045</v>
      </c>
      <c r="HA27" s="59">
        <f t="shared" si="52"/>
        <v>276.01618888357268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30</v>
      </c>
      <c r="L28" s="12">
        <f>VLOOKUP(A28,'Données projet'!$A$35:$I$55,9,0)</f>
        <v>1.2</v>
      </c>
      <c r="M28" s="12">
        <f t="array" ref="M28">INDEX(L:L,MIN(IF(ISNUMBER(L28:L224),ROW(L28:L224),"")))</f>
        <v>1.2</v>
      </c>
      <c r="N28" s="13">
        <f>IF('Données projet'!$A$36&gt;35,N27+M28-V27,IF(A28&lt;'Données projet'!$A$36,$K$205^A28,IF(A28='Données projet'!$A$36,'Données projet'!$B$36,N27+M28-V27)))</f>
        <v>30</v>
      </c>
      <c r="O28" s="13">
        <f>N28*VLOOKUP('Données projet'!$B$9,Paramètres!$A$1:$I$89,3,0)*VLOOKUP('Données projet'!$B$9,Paramètres!$A$1:$I$89,5,0)</f>
        <v>27.143999999999998</v>
      </c>
      <c r="P28" s="13">
        <f t="shared" si="33"/>
        <v>8.5181694620316346</v>
      </c>
      <c r="Q28" s="20">
        <f t="shared" si="2"/>
        <v>62.111611813038422</v>
      </c>
      <c r="R28" s="59">
        <f t="shared" si="0"/>
        <v>290.1493857793705</v>
      </c>
      <c r="S28" s="59">
        <f ca="1">AVERAGE(OFFSET($R$3,0,0,'Données projet'!$E$9+1,1))-AVERAGE(OFFSET($H$3,0,0,'Données projet'!$E$9+1,1))</f>
        <v>315.34103933739129</v>
      </c>
      <c r="T28" s="59">
        <f t="shared" si="34"/>
        <v>165.80901858372513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168.48</v>
      </c>
      <c r="AG28" s="12">
        <f>VLOOKUP(A28,'Données projet'!$A$61:$I$81,9,0)</f>
        <v>19.274999999999991</v>
      </c>
      <c r="AH28" s="12">
        <f t="array" ref="AH28">INDEX(AG:AG,MIN(IF(ISNUMBER(AG28:AG224),ROW(AG28:AG224),"")))</f>
        <v>19.274999999999991</v>
      </c>
      <c r="AI28" s="13">
        <f>IF('Données projet'!$A$62&gt;35,AI27+AH28-AQ27,IF(A28&lt;'Données projet'!$A$62,$AF$205^A28,IF(A28='Données projet'!$A$62,'Données projet'!$B$62,AI27+AH28-AQ27)))</f>
        <v>168.47999999999996</v>
      </c>
      <c r="AJ28" s="13">
        <f>AI28*VLOOKUP('Données projet'!$B$10,Paramètres!$A$1:$I$89,3,0)*VLOOKUP('Données projet'!$B$10,Paramètres!$A$1:$I$89,5,0)</f>
        <v>100.75103999999999</v>
      </c>
      <c r="AK28" s="13">
        <f t="shared" si="35"/>
        <v>27.140844480453442</v>
      </c>
      <c r="AL28" s="20">
        <f t="shared" si="4"/>
        <v>222.74503213678972</v>
      </c>
      <c r="AM28" s="59">
        <f t="shared" si="5"/>
        <v>450.78280610312186</v>
      </c>
      <c r="AN28" s="59">
        <f ca="1">AVERAGE(OFFSET($AM$3,0,0,'Données projet'!$E$10+1,1))-AVERAGE(OFFSET($H$3,0,0,'Données projet'!$E$10+1,1))</f>
        <v>317.328615425664</v>
      </c>
      <c r="AO28" s="59">
        <f t="shared" si="36"/>
        <v>324.95872842255744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0.13500000000000001</v>
      </c>
      <c r="AS28" s="16">
        <f>IF(ISNA(VLOOKUP(A28,'Données projet'!$A$61:$I$81,6,0)),0%,VLOOKUP(A28,'Données projet'!$A$61:$I$81,6,0)*VLOOKUP('Données projet'!$B$10,Paramètres!$A$1:$I$89,7,0))</f>
        <v>0.17550000000000002</v>
      </c>
      <c r="AT28" s="16">
        <f>IF(ISNA(VLOOKUP(A28,'Données projet'!$A$61:$I$81,7,0)),0%,VLOOKUP(A28,'Données projet'!$A$61:$I$81,7,0))</f>
        <v>0.31</v>
      </c>
      <c r="AU28" s="21">
        <f>EXP(-LN(2)/35)*AU27+(1-EXP(-LN(2)/35))/(LN(2)/35)*AQ28*AR28*VLOOKUP('Données projet'!$B$10,Paramètres!$A$1:$I$89,3,0)*0.475*44/12</f>
        <v>3.9629840498059812</v>
      </c>
      <c r="AV28" s="21">
        <f>EXP(-LN(2)/25)*AV27+(1-EXP(-LN(2)/25))/(LN(2)/25)*Calculateur!AQ28*Calculateur!AS28*VLOOKUP('Données projet'!$B$10,Paramètres!$A$1:$I$89,3,0)*0.475*44/12</f>
        <v>17.41883134278476</v>
      </c>
      <c r="AW28" s="21">
        <f>EXP(-LN(2)/2)*AW27+(1-EXP(-LN(2)/2))/(LN(2)/2)*AQ28*AT28*VLOOKUP('Données projet'!$B$10,Paramètres!$A$1:$I$89,3,0)*0.475*44/12</f>
        <v>7.6060903142580871</v>
      </c>
      <c r="AX28" s="21">
        <f t="shared" si="6"/>
        <v>28.987905706848828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13.233333333333334</v>
      </c>
      <c r="BD28" s="12">
        <f>IF('Données projet'!$A$88&gt;35,BD27+BC28-BL27,IF(A28&lt;'Données projet'!$A$88,$BA$205^A28,IF(A28='Données projet'!$A$88,'Données projet'!$B$88,BD27+BC28-BL27)))</f>
        <v>99.943333333333328</v>
      </c>
      <c r="BE28" s="13">
        <f>BD28*VLOOKUP('Données projet'!$B$11,Paramètres!$A$1:$I$89,3,0)*VLOOKUP('Données projet'!$B$11,Paramètres!$A$1:$I$89,5,0)</f>
        <v>115.13471999999997</v>
      </c>
      <c r="BF28" s="13">
        <f t="shared" si="37"/>
        <v>30.537533725422509</v>
      </c>
      <c r="BG28" s="20">
        <f t="shared" si="7"/>
        <v>253.71250857177745</v>
      </c>
      <c r="BH28" s="59">
        <f t="shared" si="8"/>
        <v>481.75028253810956</v>
      </c>
      <c r="BI28" s="59">
        <f ca="1">AVERAGE(OFFSET($BH$3,0,0,'Données projet'!$E$11+1,1))-AVERAGE(OFFSET($H$3,0,0,'Données projet'!$E$11+1,1))</f>
        <v>418.31716673276725</v>
      </c>
      <c r="BJ28" s="59">
        <f t="shared" si="38"/>
        <v>472.37891533957929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9.9027316161499712</v>
      </c>
      <c r="BR28" s="21">
        <f>EXP(-LN(2)/2)*BR27+(1-EXP(-LN(2)/2))/(LN(2)/2)*BL28*BO28*VLOOKUP('Données projet'!$B$11,Paramètres!$A$1:$I$89,3,0)*0.475*44/12</f>
        <v>10.770946967354757</v>
      </c>
      <c r="BS28" s="22">
        <f t="shared" si="9"/>
        <v>20.673678583504728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42.38</v>
      </c>
      <c r="BW28" s="12">
        <f>VLOOKUP(A28,'Données projet'!$A$113:$I$133,9,0)</f>
        <v>4.3100000000000023</v>
      </c>
      <c r="BX28" s="12">
        <f t="array" ref="BX28">INDEX(BW:BW,MIN(IF(ISNUMBER(BW28:BW224),ROW(BW28:BW224),"")))</f>
        <v>4.3100000000000023</v>
      </c>
      <c r="BY28" s="12">
        <f>IF('Données projet'!$A$114&gt;35,BY27+BX28-CG27,IF(A28&lt;'Données projet'!$A$114,$BV$205^A28,IF(A28='Données projet'!$A$114,'Données projet'!$B$114,BY27+BX28-CG27)))</f>
        <v>42.38</v>
      </c>
      <c r="BZ28" s="13">
        <f>BY28*VLOOKUP('Données projet'!$B$12,Paramètres!$A$1:$I$89,3,0)*VLOOKUP('Données projet'!$B$12,Paramètres!$A$1:$I$89,5,0)</f>
        <v>24.792300000000004</v>
      </c>
      <c r="CA28" s="13">
        <f t="shared" si="39"/>
        <v>7.8626764661097335</v>
      </c>
      <c r="CB28" s="20">
        <f t="shared" si="10"/>
        <v>56.874084011807788</v>
      </c>
      <c r="CC28" s="59">
        <f t="shared" si="11"/>
        <v>284.91185797813989</v>
      </c>
      <c r="CD28" s="59">
        <f ca="1">AVERAGE(OFFSET($CC$3,0,0,'Données projet'!$E$12+1,1))-AVERAGE(OFFSET($H$3,0,0,'Données projet'!$E$12+1,1))</f>
        <v>184.11352167663844</v>
      </c>
      <c r="CE28" s="59">
        <f t="shared" si="40"/>
        <v>145.86653500981791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0.25200000000000006</v>
      </c>
      <c r="CJ28" s="16">
        <f>IF(ISNA(VLOOKUP(A28,'Données projet'!$A$113:$I$133,7,0)),0%,VLOOKUP(A28,'Données projet'!$A$113:$I$133,7,0))</f>
        <v>0.44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2.1790000000000003</v>
      </c>
      <c r="CT28" s="12">
        <f>IF('Données projet'!$A$140&gt;35,CT27+CS28-DB27,IF(A28&lt;'Données projet'!$A$140,$CQ$205^A28,IF(A28='Données projet'!$A$140,'Données projet'!$B$140,CT27+CS28-DB27)))</f>
        <v>32.569823429792635</v>
      </c>
      <c r="CU28" s="17">
        <f>CT28*VLOOKUP('Données projet'!$B$13,Paramètres!$A$1:$I$89,3,0)*VLOOKUP('Données projet'!$B$13,Paramètres!$A$1:$I$89,5,0)</f>
        <v>15.666085069730258</v>
      </c>
      <c r="CV28" s="13">
        <f t="shared" si="41"/>
        <v>5.2410601675900805</v>
      </c>
      <c r="CW28" s="20">
        <f t="shared" si="13"/>
        <v>36.413277954999586</v>
      </c>
      <c r="CX28" s="59">
        <f t="shared" si="14"/>
        <v>264.45105192133167</v>
      </c>
      <c r="CY28" s="59">
        <f ca="1">AVERAGE(OFFSET($CX$3,0,0,'Données projet'!$E$13+1,1))-AVERAGE(OFFSET($H$3,0,0,'Données projet'!$E$13+1,1))</f>
        <v>303.76035885073708</v>
      </c>
      <c r="CZ28" s="59">
        <f t="shared" si="42"/>
        <v>127.43112562890414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125</v>
      </c>
      <c r="DM28" s="12">
        <f>VLOOKUP(A28,'Données projet'!$A$165:$I$185,9,0)</f>
        <v>8.8000000000000007</v>
      </c>
      <c r="DN28" s="12">
        <f t="array" ref="DN28">INDEX(DM:DM,MIN(IF(ISNUMBER(DM28:DM224),ROW(DM28:DM224),"")))</f>
        <v>8.8000000000000007</v>
      </c>
      <c r="DO28" s="12">
        <f>IF('Données projet'!$A$166&gt;35,DO27+DN28-DW27,IF(A28&lt;'Données projet'!$A$166,$DL$205^A28,IF(A28='Données projet'!$A$166,'Données projet'!$B$166,DO27+DN28-DW27)))</f>
        <v>124.99999999999999</v>
      </c>
      <c r="DP28" s="17">
        <f>DO28*VLOOKUP('Données projet'!$B$14,Paramètres!$A$1:$I$89,3,0)*VLOOKUP('Données projet'!$B$14,Paramètres!$A$1:$I$89,5,0)</f>
        <v>72.149999999999991</v>
      </c>
      <c r="DQ28" s="13">
        <f t="shared" si="43"/>
        <v>20.206434660280163</v>
      </c>
      <c r="DR28" s="20">
        <f t="shared" si="16"/>
        <v>160.85412369998792</v>
      </c>
      <c r="DS28" s="59">
        <f t="shared" si="17"/>
        <v>388.89189766632001</v>
      </c>
      <c r="DT28" s="59">
        <f ca="1">AVERAGE(OFFSET($DS$3,0,0,'Données projet'!$E$14+1,1))-AVERAGE(OFFSET($H$3,0,0,'Données projet'!$E$14+1,1))</f>
        <v>243.65374431792841</v>
      </c>
      <c r="DU28" s="59">
        <f t="shared" si="44"/>
        <v>271.60754570002939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70</v>
      </c>
      <c r="EH28" s="12">
        <f>VLOOKUP(A28,'Données projet'!$A$191:$I$211,9,0)</f>
        <v>5.6</v>
      </c>
      <c r="EI28" s="12">
        <f t="array" ref="EI28">INDEX(EH:EH,MIN(IF(ISNUMBER(EH28:EH224),ROW(EH28:EH224),"")))</f>
        <v>5.6</v>
      </c>
      <c r="EJ28" s="12">
        <f>IF('Données projet'!$A$192&gt;35,EJ27+EI28-ER27,IF(A28&lt;'Données projet'!$A$192,$EG$205^A28,IF(A28='Données projet'!$A$192,'Données projet'!$B$192,EJ27+EI28-ER27)))</f>
        <v>70</v>
      </c>
      <c r="EK28" s="17">
        <f>EJ28*VLOOKUP('Données projet'!$B$15,Paramètres!$A$1:$I$89,3,0)*VLOOKUP('Données projet'!$B$15,Paramètres!$A$1:$I$89,5,0)</f>
        <v>46.955999999999996</v>
      </c>
      <c r="EL28" s="13">
        <f t="shared" si="45"/>
        <v>13.824782755944211</v>
      </c>
      <c r="EM28" s="20">
        <f t="shared" si="19"/>
        <v>105.85986329993615</v>
      </c>
      <c r="EN28" s="59">
        <f t="shared" si="20"/>
        <v>333.89763726626825</v>
      </c>
      <c r="EO28" s="59">
        <f ca="1">AVERAGE(OFFSET($EN$3,0,0,'Données projet'!$E$15+1,1))-AVERAGE(OFFSET($H$3,0,0,'Données projet'!$E$15+1,1))</f>
        <v>321.44781099085594</v>
      </c>
      <c r="EP28" s="59">
        <f t="shared" si="46"/>
        <v>201.22243186578183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86</v>
      </c>
      <c r="FC28" s="12">
        <f>VLOOKUP(A28,'Données projet'!$A$217:$I$237,9,0)</f>
        <v>10</v>
      </c>
      <c r="FD28" s="12">
        <f t="array" ref="FD28">INDEX(FC:FC,MIN(IF(ISNUMBER(FC28:FC224),ROW(FC28:FC224),"")))</f>
        <v>10</v>
      </c>
      <c r="FE28" s="12">
        <f>IF('Données projet'!$A$218&gt;35,FE27+FD28-FM27,IF(A28&lt;'Données projet'!$A$218,$FB$205^A28,IF(A28='Données projet'!$A$218,'Données projet'!$B$218,FE27+FD28-FM27)))</f>
        <v>86</v>
      </c>
      <c r="FF28" s="17">
        <f>FE28*VLOOKUP('Données projet'!$B$16,Paramètres!$A$1:$I$89,3,0)*VLOOKUP('Données projet'!$B$16,Paramètres!$A$1:$I$89,5,0)</f>
        <v>75.129600000000011</v>
      </c>
      <c r="FG28" s="13">
        <f t="shared" si="47"/>
        <v>20.942027818647581</v>
      </c>
      <c r="FH28" s="20">
        <f t="shared" si="22"/>
        <v>167.32475178414452</v>
      </c>
      <c r="FI28" s="59">
        <f t="shared" si="23"/>
        <v>395.36252575047661</v>
      </c>
      <c r="FJ28" s="59">
        <f ca="1">AVERAGE(OFFSET($FI$3,0,0,'Données projet'!$E$16+1,1))-AVERAGE(OFFSET($H$3,0,0,'Données projet'!$E$16+1,1))</f>
        <v>285.8437404763045</v>
      </c>
      <c r="FK28" s="59">
        <f t="shared" si="48"/>
        <v>276.01618888357268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21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115</v>
      </c>
      <c r="FX28" s="12">
        <f>VLOOKUP(A28,'Données projet'!$A$243:$I$263,9,0)</f>
        <v>12.6</v>
      </c>
      <c r="FY28" s="12">
        <f t="array" ref="FY28">INDEX(FX:FX,MIN(IF(ISNUMBER(FX28:FX224),ROW(FX28:FX224),"")))</f>
        <v>12.6</v>
      </c>
      <c r="FZ28" s="12">
        <f>IF('Données projet'!$A$244&gt;35,FZ27+FY28-GH27,IF(A28&lt;'Données projet'!$A$244,$FW$205^A28,IF(A28='Données projet'!$A$244,'Données projet'!$B$244,FZ27+FY28-GH27)))</f>
        <v>114.99999999999997</v>
      </c>
      <c r="GA28" s="17">
        <f>FZ28*VLOOKUP('Données projet'!$B$17,Paramètres!$A$1:$I$89,3,0)*VLOOKUP('Données projet'!$B$17,Paramètres!$A$1:$I$89,5,0)</f>
        <v>91.493999999999986</v>
      </c>
      <c r="GB28" s="13">
        <f t="shared" si="49"/>
        <v>24.925195840896517</v>
      </c>
      <c r="GC28" s="20">
        <f t="shared" si="25"/>
        <v>202.76343275622807</v>
      </c>
      <c r="GD28" s="59">
        <f t="shared" si="26"/>
        <v>430.80120672256021</v>
      </c>
      <c r="GE28" s="59">
        <f ca="1">AVERAGE(OFFSET($GD$3,0,0,'Données projet'!$E$17+1,1))-AVERAGE(OFFSET($H$3,0,0,'Données projet'!$E$17+1,1))</f>
        <v>323.01113210765487</v>
      </c>
      <c r="GF28" s="59">
        <f t="shared" si="50"/>
        <v>311.68541696405975</v>
      </c>
      <c r="GG28" s="15">
        <f>IF(ISNA(VLOOKUP(A28,'Données projet'!$A$243:$I$263,3,0)),0,VLOOKUP(A28,'Données projet'!$A$243:$I$263,3,0))</f>
        <v>3</v>
      </c>
      <c r="GH28" s="15">
        <f>IF(ISNA(VLOOKUP(A28,'Données projet'!$A$243:$I$263,4,0)),0,VLOOKUP(A28,'Données projet'!$A$243:$I$263,4,0))</f>
        <v>28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86</v>
      </c>
      <c r="GS28" s="12">
        <f>VLOOKUP(A28,'Données projet'!$A$269:$I$289,9,0)</f>
        <v>10</v>
      </c>
      <c r="GT28" s="12">
        <f t="array" ref="GT28">INDEX(GS:GS,MIN(IF(ISNUMBER(GS28:GS224),ROW(GS28:GS224),"")))</f>
        <v>10</v>
      </c>
      <c r="GU28" s="12">
        <f>IF('Données projet'!$A$270&gt;35,GU27+GT28-HC27,IF(A28&lt;'Données projet'!$A$270,$GR$205^A28,IF(A28='Données projet'!$A$270,'Données projet'!$B$270,GU27+GT28-HC27)))</f>
        <v>86</v>
      </c>
      <c r="GV28" s="17">
        <f>GU28*VLOOKUP('Données projet'!$B$18,Paramètres!$A$1:$I$89,3,0)*VLOOKUP('Données projet'!$B$18,Paramètres!$A$1:$I$89,5,0)</f>
        <v>75.129600000000011</v>
      </c>
      <c r="GW28" s="13">
        <f t="shared" si="51"/>
        <v>20.942027818647581</v>
      </c>
      <c r="GX28" s="20">
        <f t="shared" si="28"/>
        <v>167.32475178414452</v>
      </c>
      <c r="GY28" s="59">
        <f t="shared" si="29"/>
        <v>395.36252575047661</v>
      </c>
      <c r="GZ28" s="59">
        <f ca="1">AVERAGE(OFFSET($GY$3,0,0,'Données projet'!$E$18+1,1))-AVERAGE(OFFSET($H$3,0,0,'Données projet'!$E$18+1,1))</f>
        <v>285.8437404763045</v>
      </c>
      <c r="HA28" s="59">
        <f t="shared" si="52"/>
        <v>276.01618888357268</v>
      </c>
      <c r="HB28" s="15">
        <f>IF(ISNA(VLOOKUP(A28,'Données projet'!$A$269:$I$289,3,0)),0,VLOOKUP(A28,'Données projet'!$A$269:$I$289,3,0))</f>
        <v>3</v>
      </c>
      <c r="HC28" s="15">
        <f>IF(ISNA(VLOOKUP(A28,'Données projet'!$A$269:$I$289,4,0)),0,VLOOKUP(A28,'Données projet'!$A$269:$I$289,4,0))</f>
        <v>21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4.8</v>
      </c>
      <c r="N29" s="13">
        <f>IF('Données projet'!$A$36&gt;35,N28+M29-V28,IF(A29&lt;'Données projet'!$A$36,$K$205^A29,IF(A29='Données projet'!$A$36,'Données projet'!$B$36,N28+M29-V28)))</f>
        <v>34.799999999999997</v>
      </c>
      <c r="O29" s="13">
        <f>N29*VLOOKUP('Données projet'!$B$9,Paramètres!$A$1:$I$89,3,0)*VLOOKUP('Données projet'!$B$9,Paramètres!$A$1:$I$89,5,0)</f>
        <v>31.487039999999997</v>
      </c>
      <c r="P29" s="13">
        <f t="shared" si="33"/>
        <v>9.7118363356135369</v>
      </c>
      <c r="Q29" s="20">
        <f t="shared" si="2"/>
        <v>71.754709617860229</v>
      </c>
      <c r="R29" s="59">
        <f t="shared" si="0"/>
        <v>302.04142366705042</v>
      </c>
      <c r="S29" s="59">
        <f ca="1">AVERAGE(OFFSET($R$3,0,0,'Données projet'!$E$9+1,1))-AVERAGE(OFFSET($H$3,0,0,'Données projet'!$E$9+1,1))</f>
        <v>315.34103933739129</v>
      </c>
      <c r="T29" s="59">
        <f t="shared" si="34"/>
        <v>165.80901858372513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18.282500000000006</v>
      </c>
      <c r="AI29" s="13">
        <f>IF('Données projet'!$A$62&gt;35,AI28+AH29-AQ28,IF(A29&lt;'Données projet'!$A$62,$AF$205^A29,IF(A29='Données projet'!$A$62,'Données projet'!$B$62,AI28+AH29-AQ28)))</f>
        <v>186.76249999999996</v>
      </c>
      <c r="AJ29" s="13">
        <f>AI29*VLOOKUP('Données projet'!$B$10,Paramètres!$A$1:$I$89,3,0)*VLOOKUP('Données projet'!$B$10,Paramètres!$A$1:$I$89,5,0)</f>
        <v>111.68397499999998</v>
      </c>
      <c r="AK29" s="13">
        <f t="shared" si="35"/>
        <v>29.727390713311976</v>
      </c>
      <c r="AL29" s="20">
        <f t="shared" si="4"/>
        <v>246.29146195068498</v>
      </c>
      <c r="AM29" s="59">
        <f t="shared" si="5"/>
        <v>476.57817599987516</v>
      </c>
      <c r="AN29" s="59">
        <f ca="1">AVERAGE(OFFSET($AM$3,0,0,'Données projet'!$E$10+1,1))-AVERAGE(OFFSET($H$3,0,0,'Données projet'!$E$10+1,1))</f>
        <v>317.328615425664</v>
      </c>
      <c r="AO29" s="59">
        <f t="shared" si="36"/>
        <v>324.95872842255744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3.8852723497708794</v>
      </c>
      <c r="AV29" s="21">
        <f>EXP(-LN(2)/25)*AV28+(1-EXP(-LN(2)/25))/(LN(2)/25)*Calculateur!AQ29*Calculateur!AS29*VLOOKUP('Données projet'!$B$10,Paramètres!$A$1:$I$89,3,0)*0.475*44/12</f>
        <v>16.94251248369978</v>
      </c>
      <c r="AW29" s="21">
        <f>EXP(-LN(2)/2)*AW28+(1-EXP(-LN(2)/2))/(LN(2)/2)*AQ29*AT29*VLOOKUP('Données projet'!$B$10,Paramètres!$A$1:$I$89,3,0)*0.475*44/12</f>
        <v>5.3783180395292121</v>
      </c>
      <c r="AX29" s="21">
        <f t="shared" si="6"/>
        <v>26.206102872999871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13.233333333333334</v>
      </c>
      <c r="BD29" s="12">
        <f>IF('Données projet'!$A$88&gt;35,BD28+BC29-BL28,IF(A29&lt;'Données projet'!$A$88,$BA$205^A29,IF(A29='Données projet'!$A$88,'Données projet'!$B$88,BD28+BC29-BL28)))</f>
        <v>113.17666666666666</v>
      </c>
      <c r="BE29" s="13">
        <f>BD29*VLOOKUP('Données projet'!$B$11,Paramètres!$A$1:$I$89,3,0)*VLOOKUP('Données projet'!$B$11,Paramètres!$A$1:$I$89,5,0)</f>
        <v>130.37951999999999</v>
      </c>
      <c r="BF29" s="13">
        <f t="shared" si="37"/>
        <v>34.08404037727491</v>
      </c>
      <c r="BG29" s="20">
        <f t="shared" si="7"/>
        <v>286.4407009904204</v>
      </c>
      <c r="BH29" s="59">
        <f t="shared" si="8"/>
        <v>516.72741503961061</v>
      </c>
      <c r="BI29" s="59">
        <f ca="1">AVERAGE(OFFSET($BH$3,0,0,'Données projet'!$E$11+1,1))-AVERAGE(OFFSET($H$3,0,0,'Données projet'!$E$11+1,1))</f>
        <v>418.31716673276725</v>
      </c>
      <c r="BJ29" s="59">
        <f t="shared" si="38"/>
        <v>472.37891533957929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9.6319408993443272</v>
      </c>
      <c r="BR29" s="21">
        <f>EXP(-LN(2)/2)*BR28+(1-EXP(-LN(2)/2))/(LN(2)/2)*BL29*BO29*VLOOKUP('Données projet'!$B$11,Paramètres!$A$1:$I$89,3,0)*0.475*44/12</f>
        <v>7.6162096404172281</v>
      </c>
      <c r="BS29" s="22">
        <f t="shared" si="9"/>
        <v>17.248150539761554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4.7699999999999996</v>
      </c>
      <c r="BY29" s="12">
        <f>IF('Données projet'!$A$114&gt;35,BY28+BX29-CG28,IF(A29&lt;'Données projet'!$A$114,$BV$205^A29,IF(A29='Données projet'!$A$114,'Données projet'!$B$114,BY28+BX29-CG28)))</f>
        <v>47.150000000000006</v>
      </c>
      <c r="BZ29" s="13">
        <f>BY29*VLOOKUP('Données projet'!$B$12,Paramètres!$A$1:$I$89,3,0)*VLOOKUP('Données projet'!$B$12,Paramètres!$A$1:$I$89,5,0)</f>
        <v>27.582750000000008</v>
      </c>
      <c r="CA29" s="13">
        <f t="shared" si="39"/>
        <v>8.6397149824377895</v>
      </c>
      <c r="CB29" s="20">
        <f t="shared" si="10"/>
        <v>63.0874598444125</v>
      </c>
      <c r="CC29" s="59">
        <f t="shared" si="11"/>
        <v>293.37417389360269</v>
      </c>
      <c r="CD29" s="59">
        <f ca="1">AVERAGE(OFFSET($CC$3,0,0,'Données projet'!$E$12+1,1))-AVERAGE(OFFSET($H$3,0,0,'Données projet'!$E$12+1,1))</f>
        <v>184.11352167663844</v>
      </c>
      <c r="CE29" s="59">
        <f t="shared" si="40"/>
        <v>145.86653500981791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2.1790000000000003</v>
      </c>
      <c r="CT29" s="12">
        <f>IF('Données projet'!$A$140&gt;35,CT28+CS29-DB28,IF(A29&lt;'Données projet'!$A$140,$CQ$205^A29,IF(A29='Données projet'!$A$140,'Données projet'!$B$140,CT28+CS29-DB28)))</f>
        <v>37.439325873857818</v>
      </c>
      <c r="CU29" s="17">
        <f>CT29*VLOOKUP('Données projet'!$B$13,Paramètres!$A$1:$I$89,3,0)*VLOOKUP('Données projet'!$B$13,Paramètres!$A$1:$I$89,5,0)</f>
        <v>18.008315745325611</v>
      </c>
      <c r="CV29" s="13">
        <f t="shared" si="41"/>
        <v>5.9277256212634093</v>
      </c>
      <c r="CW29" s="20">
        <f t="shared" si="13"/>
        <v>41.68860538014254</v>
      </c>
      <c r="CX29" s="59">
        <f t="shared" si="14"/>
        <v>271.97531942933273</v>
      </c>
      <c r="CY29" s="59">
        <f ca="1">AVERAGE(OFFSET($CX$3,0,0,'Données projet'!$E$13+1,1))-AVERAGE(OFFSET($H$3,0,0,'Données projet'!$E$13+1,1))</f>
        <v>303.76035885073708</v>
      </c>
      <c r="CZ29" s="59">
        <f t="shared" si="42"/>
        <v>127.43112562890414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8.8000000000000007</v>
      </c>
      <c r="DO29" s="12">
        <f>IF('Données projet'!$A$166&gt;35,DO28+DN29-DW28,IF(A29&lt;'Données projet'!$A$166,$DL$205^A29,IF(A29='Données projet'!$A$166,'Données projet'!$B$166,DO28+DN29-DW28)))</f>
        <v>133.79999999999998</v>
      </c>
      <c r="DP29" s="17">
        <f>DO29*VLOOKUP('Données projet'!$B$14,Paramètres!$A$1:$I$89,3,0)*VLOOKUP('Données projet'!$B$14,Paramètres!$A$1:$I$89,5,0)</f>
        <v>77.229359999999986</v>
      </c>
      <c r="DQ29" s="13">
        <f t="shared" si="43"/>
        <v>21.458364849783877</v>
      </c>
      <c r="DR29" s="20">
        <f t="shared" si="16"/>
        <v>171.88112078004022</v>
      </c>
      <c r="DS29" s="59">
        <f t="shared" si="17"/>
        <v>402.1678348292304</v>
      </c>
      <c r="DT29" s="59">
        <f ca="1">AVERAGE(OFFSET($DS$3,0,0,'Données projet'!$E$14+1,1))-AVERAGE(OFFSET($H$3,0,0,'Données projet'!$E$14+1,1))</f>
        <v>243.65374431792841</v>
      </c>
      <c r="DU29" s="59">
        <f t="shared" si="44"/>
        <v>271.60754570002939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5.4</v>
      </c>
      <c r="EJ29" s="12">
        <f>IF('Données projet'!$A$192&gt;35,EJ28+EI29-ER28,IF(A29&lt;'Données projet'!$A$192,$EG$205^A29,IF(A29='Données projet'!$A$192,'Données projet'!$B$192,EJ28+EI29-ER28)))</f>
        <v>75.400000000000006</v>
      </c>
      <c r="EK29" s="17">
        <f>EJ29*VLOOKUP('Données projet'!$B$15,Paramètres!$A$1:$I$89,3,0)*VLOOKUP('Données projet'!$B$15,Paramètres!$A$1:$I$89,5,0)</f>
        <v>50.578320000000005</v>
      </c>
      <c r="EL29" s="13">
        <f t="shared" si="45"/>
        <v>14.763013215913022</v>
      </c>
      <c r="EM29" s="20">
        <f t="shared" si="19"/>
        <v>113.80282201771517</v>
      </c>
      <c r="EN29" s="59">
        <f t="shared" si="20"/>
        <v>344.08953606690534</v>
      </c>
      <c r="EO29" s="59">
        <f ca="1">AVERAGE(OFFSET($EN$3,0,0,'Données projet'!$E$15+1,1))-AVERAGE(OFFSET($H$3,0,0,'Données projet'!$E$15+1,1))</f>
        <v>321.44781099085594</v>
      </c>
      <c r="EP29" s="59">
        <f t="shared" si="46"/>
        <v>201.22243186578183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9.8000000000000007</v>
      </c>
      <c r="FE29" s="12">
        <f>IF('Données projet'!$A$218&gt;35,FE28+FD29-FM28,IF(A29&lt;'Données projet'!$A$218,$FB$205^A29,IF(A29='Données projet'!$A$218,'Données projet'!$B$218,FE28+FD29-FM28)))</f>
        <v>74.8</v>
      </c>
      <c r="FF29" s="17">
        <f>FE29*VLOOKUP('Données projet'!$B$16,Paramètres!$A$1:$I$89,3,0)*VLOOKUP('Données projet'!$B$16,Paramètres!$A$1:$I$89,5,0)</f>
        <v>65.345280000000017</v>
      </c>
      <c r="FG29" s="13">
        <f t="shared" si="47"/>
        <v>18.512938248561991</v>
      </c>
      <c r="FH29" s="20">
        <f t="shared" si="22"/>
        <v>146.05306344957884</v>
      </c>
      <c r="FI29" s="59">
        <f t="shared" si="23"/>
        <v>376.33977749876902</v>
      </c>
      <c r="FJ29" s="59">
        <f ca="1">AVERAGE(OFFSET($FI$3,0,0,'Données projet'!$E$16+1,1))-AVERAGE(OFFSET($H$3,0,0,'Données projet'!$E$16+1,1))</f>
        <v>285.8437404763045</v>
      </c>
      <c r="FK29" s="59">
        <f t="shared" si="48"/>
        <v>276.01618888357268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11.8</v>
      </c>
      <c r="FZ29" s="12">
        <f>IF('Données projet'!$A$244&gt;35,FZ28+FY29-GH28,IF(A29&lt;'Données projet'!$A$244,$FW$205^A29,IF(A29='Données projet'!$A$244,'Données projet'!$B$244,FZ28+FY29-GH28)))</f>
        <v>98.799999999999969</v>
      </c>
      <c r="GA29" s="17">
        <f>FZ29*VLOOKUP('Données projet'!$B$17,Paramètres!$A$1:$I$89,3,0)*VLOOKUP('Données projet'!$B$17,Paramètres!$A$1:$I$89,5,0)</f>
        <v>78.605279999999979</v>
      </c>
      <c r="GB29" s="13">
        <f t="shared" si="49"/>
        <v>21.795819556945734</v>
      </c>
      <c r="GC29" s="20">
        <f t="shared" si="25"/>
        <v>174.86524839501377</v>
      </c>
      <c r="GD29" s="59">
        <f t="shared" si="26"/>
        <v>405.15196244420395</v>
      </c>
      <c r="GE29" s="59">
        <f ca="1">AVERAGE(OFFSET($GD$3,0,0,'Données projet'!$E$17+1,1))-AVERAGE(OFFSET($H$3,0,0,'Données projet'!$E$17+1,1))</f>
        <v>323.01113210765487</v>
      </c>
      <c r="GF29" s="59">
        <f t="shared" si="50"/>
        <v>311.68541696405975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9.8000000000000007</v>
      </c>
      <c r="GU29" s="12">
        <f>IF('Données projet'!$A$270&gt;35,GU28+GT29-HC28,IF(A29&lt;'Données projet'!$A$270,$GR$205^A29,IF(A29='Données projet'!$A$270,'Données projet'!$B$270,GU28+GT29-HC28)))</f>
        <v>74.8</v>
      </c>
      <c r="GV29" s="17">
        <f>GU29*VLOOKUP('Données projet'!$B$18,Paramètres!$A$1:$I$89,3,0)*VLOOKUP('Données projet'!$B$18,Paramètres!$A$1:$I$89,5,0)</f>
        <v>65.345280000000017</v>
      </c>
      <c r="GW29" s="13">
        <f t="shared" si="51"/>
        <v>18.512938248561991</v>
      </c>
      <c r="GX29" s="20">
        <f t="shared" si="28"/>
        <v>146.05306344957884</v>
      </c>
      <c r="GY29" s="59">
        <f t="shared" si="29"/>
        <v>376.33977749876902</v>
      </c>
      <c r="GZ29" s="59">
        <f ca="1">AVERAGE(OFFSET($GY$3,0,0,'Données projet'!$E$18+1,1))-AVERAGE(OFFSET($H$3,0,0,'Données projet'!$E$18+1,1))</f>
        <v>285.8437404763045</v>
      </c>
      <c r="HA29" s="59">
        <f t="shared" si="52"/>
        <v>276.01618888357268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4.8</v>
      </c>
      <c r="N30" s="13">
        <f>IF('Données projet'!$A$36&gt;35,N29+M30-V29,IF(A30&lt;'Données projet'!$A$36,$K$205^A30,IF(A30='Données projet'!$A$36,'Données projet'!$B$36,N29+M30-V29)))</f>
        <v>39.599999999999994</v>
      </c>
      <c r="O30" s="13">
        <f>N30*VLOOKUP('Données projet'!$B$9,Paramètres!$A$1:$I$89,3,0)*VLOOKUP('Données projet'!$B$9,Paramètres!$A$1:$I$89,5,0)</f>
        <v>35.830079999999995</v>
      </c>
      <c r="P30" s="13">
        <f t="shared" si="33"/>
        <v>10.886427918882697</v>
      </c>
      <c r="Q30" s="20">
        <f t="shared" si="2"/>
        <v>81.364584625387351</v>
      </c>
      <c r="R30" s="59">
        <f t="shared" si="0"/>
        <v>313.88242749795086</v>
      </c>
      <c r="S30" s="59">
        <f ca="1">AVERAGE(OFFSET($R$3,0,0,'Données projet'!$E$9+1,1))-AVERAGE(OFFSET($H$3,0,0,'Données projet'!$E$9+1,1))</f>
        <v>315.34103933739129</v>
      </c>
      <c r="T30" s="59">
        <f t="shared" si="34"/>
        <v>165.80901858372513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18.282500000000006</v>
      </c>
      <c r="AI30" s="13">
        <f>IF('Données projet'!$A$62&gt;35,AI29+AH30-AQ29,IF(A30&lt;'Données projet'!$A$62,$AF$205^A30,IF(A30='Données projet'!$A$62,'Données projet'!$B$62,AI29+AH30-AQ29)))</f>
        <v>205.04499999999996</v>
      </c>
      <c r="AJ30" s="13">
        <f>AI30*VLOOKUP('Données projet'!$B$10,Paramètres!$A$1:$I$89,3,0)*VLOOKUP('Données projet'!$B$10,Paramètres!$A$1:$I$89,5,0)</f>
        <v>122.61690999999999</v>
      </c>
      <c r="AK30" s="13">
        <f t="shared" si="35"/>
        <v>32.284582133453711</v>
      </c>
      <c r="AL30" s="20">
        <f t="shared" si="4"/>
        <v>269.7867654657652</v>
      </c>
      <c r="AM30" s="59">
        <f t="shared" si="5"/>
        <v>502.30460833832871</v>
      </c>
      <c r="AN30" s="59">
        <f ca="1">AVERAGE(OFFSET($AM$3,0,0,'Données projet'!$E$10+1,1))-AVERAGE(OFFSET($H$3,0,0,'Données projet'!$E$10+1,1))</f>
        <v>317.328615425664</v>
      </c>
      <c r="AO30" s="59">
        <f t="shared" si="36"/>
        <v>324.95872842255744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3.8090845287740094</v>
      </c>
      <c r="AV30" s="21">
        <f>EXP(-LN(2)/25)*AV29+(1-EXP(-LN(2)/25))/(LN(2)/25)*Calculateur!AQ30*Calculateur!AS30*VLOOKUP('Données projet'!$B$10,Paramètres!$A$1:$I$89,3,0)*0.475*44/12</f>
        <v>16.479218588864999</v>
      </c>
      <c r="AW30" s="21">
        <f>EXP(-LN(2)/2)*AW29+(1-EXP(-LN(2)/2))/(LN(2)/2)*AQ30*AT30*VLOOKUP('Données projet'!$B$10,Paramètres!$A$1:$I$89,3,0)*0.475*44/12</f>
        <v>3.803045157129044</v>
      </c>
      <c r="AX30" s="21">
        <f t="shared" si="6"/>
        <v>24.091348274768052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13.233333333333334</v>
      </c>
      <c r="BD30" s="12">
        <f>IF('Données projet'!$A$88&gt;35,BD29+BC30-BL29,IF(A30&lt;'Données projet'!$A$88,$BA$205^A30,IF(A30='Données projet'!$A$88,'Données projet'!$B$88,BD29+BC30-BL29)))</f>
        <v>126.41</v>
      </c>
      <c r="BE30" s="13">
        <f>BD30*VLOOKUP('Données projet'!$B$11,Paramètres!$A$1:$I$89,3,0)*VLOOKUP('Données projet'!$B$11,Paramètres!$A$1:$I$89,5,0)</f>
        <v>145.62431999999998</v>
      </c>
      <c r="BF30" s="13">
        <f t="shared" si="37"/>
        <v>37.582489786761045</v>
      </c>
      <c r="BG30" s="20">
        <f t="shared" si="7"/>
        <v>319.08519371194211</v>
      </c>
      <c r="BH30" s="59">
        <f t="shared" si="8"/>
        <v>551.60303658450562</v>
      </c>
      <c r="BI30" s="59">
        <f ca="1">AVERAGE(OFFSET($BH$3,0,0,'Données projet'!$E$11+1,1))-AVERAGE(OFFSET($H$3,0,0,'Données projet'!$E$11+1,1))</f>
        <v>418.31716673276725</v>
      </c>
      <c r="BJ30" s="59">
        <f t="shared" si="38"/>
        <v>472.37891533957929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9.3685549689299989</v>
      </c>
      <c r="BR30" s="21">
        <f>EXP(-LN(2)/2)*BR29+(1-EXP(-LN(2)/2))/(LN(2)/2)*BL30*BO30*VLOOKUP('Données projet'!$B$11,Paramètres!$A$1:$I$89,3,0)*0.475*44/12</f>
        <v>5.3854734836773792</v>
      </c>
      <c r="BS30" s="22">
        <f t="shared" si="9"/>
        <v>14.754028452607379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>
        <f>VLOOKUP(A30,'Données projet'!$A$113:$I$133,2,0)</f>
        <v>51.92</v>
      </c>
      <c r="BW30" s="12">
        <f>VLOOKUP(A30,'Données projet'!$A$113:$I$133,9,0)</f>
        <v>4.7699999999999996</v>
      </c>
      <c r="BX30" s="12">
        <f t="array" ref="BX30">INDEX(BW:BW,MIN(IF(ISNUMBER(BW30:BW226),ROW(BW30:BW226),"")))</f>
        <v>4.7699999999999996</v>
      </c>
      <c r="BY30" s="12">
        <f>IF('Données projet'!$A$114&gt;35,BY29+BX30-CG29,IF(A30&lt;'Données projet'!$A$114,$BV$205^A30,IF(A30='Données projet'!$A$114,'Données projet'!$B$114,BY29+BX30-CG29)))</f>
        <v>51.92</v>
      </c>
      <c r="BZ30" s="13">
        <f>BY30*VLOOKUP('Données projet'!$B$12,Paramètres!$A$1:$I$89,3,0)*VLOOKUP('Données projet'!$B$12,Paramètres!$A$1:$I$89,5,0)</f>
        <v>30.373200000000001</v>
      </c>
      <c r="CA30" s="13">
        <f t="shared" si="39"/>
        <v>9.4076405358253048</v>
      </c>
      <c r="CB30" s="20">
        <f t="shared" si="10"/>
        <v>69.284963933229065</v>
      </c>
      <c r="CC30" s="59">
        <f t="shared" si="11"/>
        <v>301.80280680579256</v>
      </c>
      <c r="CD30" s="59">
        <f ca="1">AVERAGE(OFFSET($CC$3,0,0,'Données projet'!$E$12+1,1))-AVERAGE(OFFSET($H$3,0,0,'Données projet'!$E$12+1,1))</f>
        <v>184.11352167663844</v>
      </c>
      <c r="CE30" s="59">
        <f t="shared" si="40"/>
        <v>145.86653500981791</v>
      </c>
      <c r="CF30" s="15">
        <f>IF(ISNA(VLOOKUP(A30,'Données projet'!$A$113:$I$133,3,0)),0,VLOOKUP(A30,'Données projet'!$A$113:$I$133,3,0))</f>
        <v>5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0.25200000000000006</v>
      </c>
      <c r="CJ30" s="16">
        <f>IF(ISNA(VLOOKUP(A30,'Données projet'!$A$113:$I$133,7,0)),0%,VLOOKUP(A30,'Données projet'!$A$113:$I$133,7,0))</f>
        <v>0.44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2.1790000000000003</v>
      </c>
      <c r="CT30" s="12">
        <f>IF('Données projet'!$A$140&gt;35,CT29+CS30-DB29,IF(A30&lt;'Données projet'!$A$140,$CQ$205^A30,IF(A30='Données projet'!$A$140,'Données projet'!$B$140,CT29+CS30-DB29)))</f>
        <v>43.036865855610927</v>
      </c>
      <c r="CU30" s="17">
        <f>CT30*VLOOKUP('Données projet'!$B$13,Paramètres!$A$1:$I$89,3,0)*VLOOKUP('Données projet'!$B$13,Paramètres!$A$1:$I$89,5,0)</f>
        <v>20.700732476548858</v>
      </c>
      <c r="CV30" s="13">
        <f t="shared" si="41"/>
        <v>6.7043555916931235</v>
      </c>
      <c r="CW30" s="20">
        <f t="shared" si="13"/>
        <v>47.730528385521446</v>
      </c>
      <c r="CX30" s="59">
        <f t="shared" si="14"/>
        <v>280.24837125808494</v>
      </c>
      <c r="CY30" s="59">
        <f ca="1">AVERAGE(OFFSET($CX$3,0,0,'Données projet'!$E$13+1,1))-AVERAGE(OFFSET($H$3,0,0,'Données projet'!$E$13+1,1))</f>
        <v>303.76035885073708</v>
      </c>
      <c r="CZ30" s="59">
        <f t="shared" si="42"/>
        <v>127.43112562890414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8.8000000000000007</v>
      </c>
      <c r="DO30" s="12">
        <f>IF('Données projet'!$A$166&gt;35,DO29+DN30-DW29,IF(A30&lt;'Données projet'!$A$166,$DL$205^A30,IF(A30='Données projet'!$A$166,'Données projet'!$B$166,DO29+DN30-DW29)))</f>
        <v>142.6</v>
      </c>
      <c r="DP30" s="17">
        <f>DO30*VLOOKUP('Données projet'!$B$14,Paramètres!$A$1:$I$89,3,0)*VLOOKUP('Données projet'!$B$14,Paramètres!$A$1:$I$89,5,0)</f>
        <v>82.308720000000008</v>
      </c>
      <c r="DQ30" s="13">
        <f t="shared" si="43"/>
        <v>22.700740079822921</v>
      </c>
      <c r="DR30" s="20">
        <f t="shared" si="16"/>
        <v>182.89147630569161</v>
      </c>
      <c r="DS30" s="59">
        <f t="shared" si="17"/>
        <v>415.40931917825515</v>
      </c>
      <c r="DT30" s="59">
        <f ca="1">AVERAGE(OFFSET($DS$3,0,0,'Données projet'!$E$14+1,1))-AVERAGE(OFFSET($H$3,0,0,'Données projet'!$E$14+1,1))</f>
        <v>243.65374431792841</v>
      </c>
      <c r="DU30" s="59">
        <f t="shared" si="44"/>
        <v>271.60754570002939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5.4</v>
      </c>
      <c r="EJ30" s="12">
        <f>IF('Données projet'!$A$192&gt;35,EJ29+EI30-ER29,IF(A30&lt;'Données projet'!$A$192,$EG$205^A30,IF(A30='Données projet'!$A$192,'Données projet'!$B$192,EJ29+EI30-ER29)))</f>
        <v>80.800000000000011</v>
      </c>
      <c r="EK30" s="17">
        <f>EJ30*VLOOKUP('Données projet'!$B$15,Paramètres!$A$1:$I$89,3,0)*VLOOKUP('Données projet'!$B$15,Paramètres!$A$1:$I$89,5,0)</f>
        <v>54.200640000000014</v>
      </c>
      <c r="EL30" s="13">
        <f t="shared" si="45"/>
        <v>15.693447747097217</v>
      </c>
      <c r="EM30" s="20">
        <f t="shared" si="19"/>
        <v>121.73220282619435</v>
      </c>
      <c r="EN30" s="59">
        <f t="shared" si="20"/>
        <v>354.25004569875784</v>
      </c>
      <c r="EO30" s="59">
        <f ca="1">AVERAGE(OFFSET($EN$3,0,0,'Données projet'!$E$15+1,1))-AVERAGE(OFFSET($H$3,0,0,'Données projet'!$E$15+1,1))</f>
        <v>321.44781099085594</v>
      </c>
      <c r="EP30" s="59">
        <f t="shared" si="46"/>
        <v>201.22243186578183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9.8000000000000007</v>
      </c>
      <c r="FE30" s="12">
        <f>IF('Données projet'!$A$218&gt;35,FE29+FD30-FM29,IF(A30&lt;'Données projet'!$A$218,$FB$205^A30,IF(A30='Données projet'!$A$218,'Données projet'!$B$218,FE29+FD30-FM29)))</f>
        <v>84.6</v>
      </c>
      <c r="FF30" s="17">
        <f>FE30*VLOOKUP('Données projet'!$B$16,Paramètres!$A$1:$I$89,3,0)*VLOOKUP('Données projet'!$B$16,Paramètres!$A$1:$I$89,5,0)</f>
        <v>73.906560000000013</v>
      </c>
      <c r="FG30" s="13">
        <f t="shared" si="47"/>
        <v>20.640506648584481</v>
      </c>
      <c r="FH30" s="20">
        <f t="shared" si="22"/>
        <v>164.6694744129513</v>
      </c>
      <c r="FI30" s="59">
        <f t="shared" si="23"/>
        <v>397.18731728551484</v>
      </c>
      <c r="FJ30" s="59">
        <f ca="1">AVERAGE(OFFSET($FI$3,0,0,'Données projet'!$E$16+1,1))-AVERAGE(OFFSET($H$3,0,0,'Données projet'!$E$16+1,1))</f>
        <v>285.8437404763045</v>
      </c>
      <c r="FK30" s="59">
        <f t="shared" si="48"/>
        <v>276.01618888357268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11.8</v>
      </c>
      <c r="FZ30" s="12">
        <f>IF('Données projet'!$A$244&gt;35,FZ29+FY30-GH29,IF(A30&lt;'Données projet'!$A$244,$FW$205^A30,IF(A30='Données projet'!$A$244,'Données projet'!$B$244,FZ29+FY30-GH29)))</f>
        <v>110.59999999999997</v>
      </c>
      <c r="GA30" s="17">
        <f>FZ30*VLOOKUP('Données projet'!$B$17,Paramètres!$A$1:$I$89,3,0)*VLOOKUP('Données projet'!$B$17,Paramètres!$A$1:$I$89,5,0)</f>
        <v>87.993359999999981</v>
      </c>
      <c r="GB30" s="13">
        <f t="shared" si="49"/>
        <v>24.080638481970816</v>
      </c>
      <c r="GC30" s="20">
        <f t="shared" si="25"/>
        <v>195.19554735609913</v>
      </c>
      <c r="GD30" s="59">
        <f t="shared" si="26"/>
        <v>427.71339022866266</v>
      </c>
      <c r="GE30" s="59">
        <f ca="1">AVERAGE(OFFSET($GD$3,0,0,'Données projet'!$E$17+1,1))-AVERAGE(OFFSET($H$3,0,0,'Données projet'!$E$17+1,1))</f>
        <v>323.01113210765487</v>
      </c>
      <c r="GF30" s="59">
        <f t="shared" si="50"/>
        <v>311.68541696405975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9.8000000000000007</v>
      </c>
      <c r="GU30" s="12">
        <f>IF('Données projet'!$A$270&gt;35,GU29+GT30-HC29,IF(A30&lt;'Données projet'!$A$270,$GR$205^A30,IF(A30='Données projet'!$A$270,'Données projet'!$B$270,GU29+GT30-HC29)))</f>
        <v>84.6</v>
      </c>
      <c r="GV30" s="17">
        <f>GU30*VLOOKUP('Données projet'!$B$18,Paramètres!$A$1:$I$89,3,0)*VLOOKUP('Données projet'!$B$18,Paramètres!$A$1:$I$89,5,0)</f>
        <v>73.906560000000013</v>
      </c>
      <c r="GW30" s="13">
        <f t="shared" si="51"/>
        <v>20.640506648584481</v>
      </c>
      <c r="GX30" s="20">
        <f t="shared" si="28"/>
        <v>164.6694744129513</v>
      </c>
      <c r="GY30" s="59">
        <f t="shared" si="29"/>
        <v>397.18731728551484</v>
      </c>
      <c r="GZ30" s="59">
        <f ca="1">AVERAGE(OFFSET($GY$3,0,0,'Données projet'!$E$18+1,1))-AVERAGE(OFFSET($H$3,0,0,'Données projet'!$E$18+1,1))</f>
        <v>285.8437404763045</v>
      </c>
      <c r="HA30" s="59">
        <f t="shared" si="52"/>
        <v>276.01618888357268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4.8</v>
      </c>
      <c r="N31" s="13">
        <f>IF('Données projet'!$A$36&gt;35,N30+M31-V30,IF(A31&lt;'Données projet'!$A$36,$K$205^A31,IF(A31='Données projet'!$A$36,'Données projet'!$B$36,N30+M31-V30)))</f>
        <v>44.399999999999991</v>
      </c>
      <c r="O31" s="13">
        <f>N31*VLOOKUP('Données projet'!$B$9,Paramètres!$A$1:$I$89,3,0)*VLOOKUP('Données projet'!$B$9,Paramètres!$A$1:$I$89,5,0)</f>
        <v>40.17311999999999</v>
      </c>
      <c r="P31" s="13">
        <f t="shared" si="33"/>
        <v>12.044520842267836</v>
      </c>
      <c r="Q31" s="20">
        <f t="shared" si="2"/>
        <v>90.945724466949798</v>
      </c>
      <c r="R31" s="59">
        <f t="shared" si="0"/>
        <v>325.67719388893386</v>
      </c>
      <c r="S31" s="59">
        <f ca="1">AVERAGE(OFFSET($R$3,0,0,'Données projet'!$E$9+1,1))-AVERAGE(OFFSET($H$3,0,0,'Données projet'!$E$9+1,1))</f>
        <v>315.34103933739129</v>
      </c>
      <c r="T31" s="59">
        <f t="shared" si="34"/>
        <v>165.80901858372513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18.282500000000006</v>
      </c>
      <c r="AI31" s="13">
        <f>IF('Données projet'!$A$62&gt;35,AI30+AH31-AQ30,IF(A31&lt;'Données projet'!$A$62,$AF$205^A31,IF(A31='Données projet'!$A$62,'Données projet'!$B$62,AI30+AH31-AQ30)))</f>
        <v>223.32749999999996</v>
      </c>
      <c r="AJ31" s="13">
        <f>AI31*VLOOKUP('Données projet'!$B$10,Paramètres!$A$1:$I$89,3,0)*VLOOKUP('Données projet'!$B$10,Paramètres!$A$1:$I$89,5,0)</f>
        <v>133.54984499999998</v>
      </c>
      <c r="AK31" s="13">
        <f t="shared" si="35"/>
        <v>34.815333747868884</v>
      </c>
      <c r="AL31" s="20">
        <f t="shared" si="4"/>
        <v>293.23601965253823</v>
      </c>
      <c r="AM31" s="59">
        <f t="shared" si="5"/>
        <v>527.96748907452229</v>
      </c>
      <c r="AN31" s="59">
        <f ca="1">AVERAGE(OFFSET($AM$3,0,0,'Données projet'!$E$10+1,1))-AVERAGE(OFFSET($H$3,0,0,'Données projet'!$E$10+1,1))</f>
        <v>317.328615425664</v>
      </c>
      <c r="AO31" s="59">
        <f t="shared" si="36"/>
        <v>324.95872842255744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3.7343907044769056</v>
      </c>
      <c r="AV31" s="21">
        <f>EXP(-LN(2)/25)*AV30+(1-EXP(-LN(2)/25))/(LN(2)/25)*Calculateur!AQ31*Calculateur!AS31*VLOOKUP('Données projet'!$B$10,Paramètres!$A$1:$I$89,3,0)*0.475*44/12</f>
        <v>16.028593489948044</v>
      </c>
      <c r="AW31" s="21">
        <f>EXP(-LN(2)/2)*AW30+(1-EXP(-LN(2)/2))/(LN(2)/2)*AQ31*AT31*VLOOKUP('Données projet'!$B$10,Paramètres!$A$1:$I$89,3,0)*0.475*44/12</f>
        <v>2.6891590197646065</v>
      </c>
      <c r="AX31" s="21">
        <f t="shared" si="6"/>
        <v>22.452143214189554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13.233333333333334</v>
      </c>
      <c r="BD31" s="12">
        <f>IF('Données projet'!$A$88&gt;35,BD30+BC31-BL30,IF(A31&lt;'Données projet'!$A$88,$BA$205^A31,IF(A31='Données projet'!$A$88,'Données projet'!$B$88,BD30+BC31-BL30)))</f>
        <v>139.64333333333332</v>
      </c>
      <c r="BE31" s="13">
        <f>BD31*VLOOKUP('Données projet'!$B$11,Paramètres!$A$1:$I$89,3,0)*VLOOKUP('Données projet'!$B$11,Paramètres!$A$1:$I$89,5,0)</f>
        <v>160.86911999999998</v>
      </c>
      <c r="BF31" s="13">
        <f t="shared" si="37"/>
        <v>41.038485999450394</v>
      </c>
      <c r="BG31" s="20">
        <f t="shared" si="7"/>
        <v>351.65574711570935</v>
      </c>
      <c r="BH31" s="59">
        <f t="shared" si="8"/>
        <v>586.38721653769346</v>
      </c>
      <c r="BI31" s="59">
        <f ca="1">AVERAGE(OFFSET($BH$3,0,0,'Données projet'!$E$11+1,1))-AVERAGE(OFFSET($H$3,0,0,'Données projet'!$E$11+1,1))</f>
        <v>418.31716673276725</v>
      </c>
      <c r="BJ31" s="59">
        <f t="shared" si="38"/>
        <v>472.37891533957929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9.1123713406337146</v>
      </c>
      <c r="BR31" s="21">
        <f>EXP(-LN(2)/2)*BR30+(1-EXP(-LN(2)/2))/(LN(2)/2)*BL31*BO31*VLOOKUP('Données projet'!$B$11,Paramètres!$A$1:$I$89,3,0)*0.475*44/12</f>
        <v>3.8081048202086145</v>
      </c>
      <c r="BS31" s="22">
        <f t="shared" si="9"/>
        <v>12.920476160842329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5.3633333333333342</v>
      </c>
      <c r="BY31" s="12">
        <f>IF('Données projet'!$A$114&gt;35,BY30+BX31-CG30,IF(A31&lt;'Données projet'!$A$114,$BV$205^A31,IF(A31='Données projet'!$A$114,'Données projet'!$B$114,BY30+BX31-CG30)))</f>
        <v>57.283333333333339</v>
      </c>
      <c r="BZ31" s="13">
        <f>BY31*VLOOKUP('Données projet'!$B$12,Paramètres!$A$1:$I$89,3,0)*VLOOKUP('Données projet'!$B$12,Paramètres!$A$1:$I$89,5,0)</f>
        <v>33.510750000000009</v>
      </c>
      <c r="CA31" s="13">
        <f t="shared" si="39"/>
        <v>10.261356541779721</v>
      </c>
      <c r="CB31" s="20">
        <f t="shared" si="10"/>
        <v>76.236418893599691</v>
      </c>
      <c r="CC31" s="59">
        <f t="shared" si="11"/>
        <v>310.96788831558376</v>
      </c>
      <c r="CD31" s="59">
        <f ca="1">AVERAGE(OFFSET($CC$3,0,0,'Données projet'!$E$12+1,1))-AVERAGE(OFFSET($H$3,0,0,'Données projet'!$E$12+1,1))</f>
        <v>184.11352167663844</v>
      </c>
      <c r="CE31" s="59">
        <f t="shared" si="40"/>
        <v>145.86653500981791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2.1790000000000003</v>
      </c>
      <c r="CT31" s="12">
        <f>IF('Données projet'!$A$140&gt;35,CT30+CS31-DB30,IF(A31&lt;'Données projet'!$A$140,$CQ$205^A31,IF(A31='Données projet'!$A$140,'Données projet'!$B$140,CT30+CS31-DB30)))</f>
        <v>49.471292002272321</v>
      </c>
      <c r="CU31" s="17">
        <f>CT31*VLOOKUP('Données projet'!$B$13,Paramètres!$A$1:$I$89,3,0)*VLOOKUP('Données projet'!$B$13,Paramètres!$A$1:$I$89,5,0)</f>
        <v>23.795691453092989</v>
      </c>
      <c r="CV31" s="13">
        <f t="shared" si="41"/>
        <v>7.5827369166062653</v>
      </c>
      <c r="CW31" s="20">
        <f t="shared" si="13"/>
        <v>54.650762743892862</v>
      </c>
      <c r="CX31" s="59">
        <f t="shared" si="14"/>
        <v>289.38223216587693</v>
      </c>
      <c r="CY31" s="59">
        <f ca="1">AVERAGE(OFFSET($CX$3,0,0,'Données projet'!$E$13+1,1))-AVERAGE(OFFSET($H$3,0,0,'Données projet'!$E$13+1,1))</f>
        <v>303.76035885073708</v>
      </c>
      <c r="CZ31" s="59">
        <f t="shared" si="42"/>
        <v>127.43112562890414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8.8000000000000007</v>
      </c>
      <c r="DO31" s="12">
        <f>IF('Données projet'!$A$166&gt;35,DO30+DN31-DW30,IF(A31&lt;'Données projet'!$A$166,$DL$205^A31,IF(A31='Données projet'!$A$166,'Données projet'!$B$166,DO30+DN31-DW30)))</f>
        <v>151.4</v>
      </c>
      <c r="DP31" s="17">
        <f>DO31*VLOOKUP('Données projet'!$B$14,Paramètres!$A$1:$I$89,3,0)*VLOOKUP('Données projet'!$B$14,Paramètres!$A$1:$I$89,5,0)</f>
        <v>87.388080000000002</v>
      </c>
      <c r="DQ31" s="13">
        <f t="shared" si="43"/>
        <v>23.934217132607333</v>
      </c>
      <c r="DR31" s="20">
        <f t="shared" si="16"/>
        <v>193.8863341726244</v>
      </c>
      <c r="DS31" s="59">
        <f t="shared" si="17"/>
        <v>428.61780359460852</v>
      </c>
      <c r="DT31" s="59">
        <f ca="1">AVERAGE(OFFSET($DS$3,0,0,'Données projet'!$E$14+1,1))-AVERAGE(OFFSET($H$3,0,0,'Données projet'!$E$14+1,1))</f>
        <v>243.65374431792841</v>
      </c>
      <c r="DU31" s="59">
        <f t="shared" si="44"/>
        <v>271.60754570002939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5.4</v>
      </c>
      <c r="EJ31" s="12">
        <f>IF('Données projet'!$A$192&gt;35,EJ30+EI31-ER30,IF(A31&lt;'Données projet'!$A$192,$EG$205^A31,IF(A31='Données projet'!$A$192,'Données projet'!$B$192,EJ30+EI31-ER30)))</f>
        <v>86.200000000000017</v>
      </c>
      <c r="EK31" s="17">
        <f>EJ31*VLOOKUP('Données projet'!$B$15,Paramètres!$A$1:$I$89,3,0)*VLOOKUP('Données projet'!$B$15,Paramètres!$A$1:$I$89,5,0)</f>
        <v>57.822960000000016</v>
      </c>
      <c r="EL31" s="13">
        <f t="shared" si="45"/>
        <v>16.616666646785333</v>
      </c>
      <c r="EM31" s="20">
        <f t="shared" si="19"/>
        <v>129.64901640981779</v>
      </c>
      <c r="EN31" s="59">
        <f t="shared" si="20"/>
        <v>364.38048583180188</v>
      </c>
      <c r="EO31" s="59">
        <f ca="1">AVERAGE(OFFSET($EN$3,0,0,'Données projet'!$E$15+1,1))-AVERAGE(OFFSET($H$3,0,0,'Données projet'!$E$15+1,1))</f>
        <v>321.44781099085594</v>
      </c>
      <c r="EP31" s="59">
        <f t="shared" si="46"/>
        <v>201.22243186578183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9.8000000000000007</v>
      </c>
      <c r="FE31" s="12">
        <f>IF('Données projet'!$A$218&gt;35,FE30+FD31-FM30,IF(A31&lt;'Données projet'!$A$218,$FB$205^A31,IF(A31='Données projet'!$A$218,'Données projet'!$B$218,FE30+FD31-FM30)))</f>
        <v>94.399999999999991</v>
      </c>
      <c r="FF31" s="17">
        <f>FE31*VLOOKUP('Données projet'!$B$16,Paramètres!$A$1:$I$89,3,0)*VLOOKUP('Données projet'!$B$16,Paramètres!$A$1:$I$89,5,0)</f>
        <v>82.467839999999995</v>
      </c>
      <c r="FG31" s="13">
        <f t="shared" si="47"/>
        <v>22.739512759227473</v>
      </c>
      <c r="FH31" s="20">
        <f t="shared" si="22"/>
        <v>183.23613938898782</v>
      </c>
      <c r="FI31" s="59">
        <f t="shared" si="23"/>
        <v>417.96760881097191</v>
      </c>
      <c r="FJ31" s="59">
        <f ca="1">AVERAGE(OFFSET($FI$3,0,0,'Données projet'!$E$16+1,1))-AVERAGE(OFFSET($H$3,0,0,'Données projet'!$E$16+1,1))</f>
        <v>285.8437404763045</v>
      </c>
      <c r="FK31" s="59">
        <f t="shared" si="48"/>
        <v>276.01618888357268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11.8</v>
      </c>
      <c r="FZ31" s="12">
        <f>IF('Données projet'!$A$244&gt;35,FZ30+FY31-GH30,IF(A31&lt;'Données projet'!$A$244,$FW$205^A31,IF(A31='Données projet'!$A$244,'Données projet'!$B$244,FZ30+FY31-GH30)))</f>
        <v>122.39999999999996</v>
      </c>
      <c r="GA31" s="17">
        <f>FZ31*VLOOKUP('Données projet'!$B$17,Paramètres!$A$1:$I$89,3,0)*VLOOKUP('Données projet'!$B$17,Paramètres!$A$1:$I$89,5,0)</f>
        <v>97.381439999999984</v>
      </c>
      <c r="GB31" s="13">
        <f t="shared" si="49"/>
        <v>26.337201615555198</v>
      </c>
      <c r="GC31" s="20">
        <f t="shared" si="25"/>
        <v>215.47663414709197</v>
      </c>
      <c r="GD31" s="59">
        <f t="shared" si="26"/>
        <v>450.20810356907606</v>
      </c>
      <c r="GE31" s="59">
        <f ca="1">AVERAGE(OFFSET($GD$3,0,0,'Données projet'!$E$17+1,1))-AVERAGE(OFFSET($H$3,0,0,'Données projet'!$E$17+1,1))</f>
        <v>323.01113210765487</v>
      </c>
      <c r="GF31" s="59">
        <f t="shared" si="50"/>
        <v>311.68541696405975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9.8000000000000007</v>
      </c>
      <c r="GU31" s="12">
        <f>IF('Données projet'!$A$270&gt;35,GU30+GT31-HC30,IF(A31&lt;'Données projet'!$A$270,$GR$205^A31,IF(A31='Données projet'!$A$270,'Données projet'!$B$270,GU30+GT31-HC30)))</f>
        <v>94.399999999999991</v>
      </c>
      <c r="GV31" s="17">
        <f>GU31*VLOOKUP('Données projet'!$B$18,Paramètres!$A$1:$I$89,3,0)*VLOOKUP('Données projet'!$B$18,Paramètres!$A$1:$I$89,5,0)</f>
        <v>82.467839999999995</v>
      </c>
      <c r="GW31" s="13">
        <f t="shared" si="51"/>
        <v>22.739512759227473</v>
      </c>
      <c r="GX31" s="20">
        <f t="shared" si="28"/>
        <v>183.23613938898782</v>
      </c>
      <c r="GY31" s="59">
        <f t="shared" si="29"/>
        <v>417.96760881097191</v>
      </c>
      <c r="GZ31" s="59">
        <f ca="1">AVERAGE(OFFSET($GY$3,0,0,'Données projet'!$E$18+1,1))-AVERAGE(OFFSET($H$3,0,0,'Données projet'!$E$18+1,1))</f>
        <v>285.8437404763045</v>
      </c>
      <c r="HA31" s="59">
        <f t="shared" si="52"/>
        <v>276.01618888357268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4.8</v>
      </c>
      <c r="N32" s="13">
        <f>IF('Données projet'!$A$36&gt;35,N31+M32-V31,IF(A32&lt;'Données projet'!$A$36,$K$205^A32,IF(A32='Données projet'!$A$36,'Données projet'!$B$36,N31+M32-V31)))</f>
        <v>49.199999999999989</v>
      </c>
      <c r="O32" s="13">
        <f>N32*VLOOKUP('Données projet'!$B$9,Paramètres!$A$1:$I$89,3,0)*VLOOKUP('Données projet'!$B$9,Paramètres!$A$1:$I$89,5,0)</f>
        <v>44.516159999999985</v>
      </c>
      <c r="P32" s="13">
        <f t="shared" si="33"/>
        <v>13.188102074986608</v>
      </c>
      <c r="Q32" s="20">
        <f t="shared" si="2"/>
        <v>100.50158978060165</v>
      </c>
      <c r="R32" s="59">
        <f t="shared" si="0"/>
        <v>337.42948710337748</v>
      </c>
      <c r="S32" s="59">
        <f ca="1">AVERAGE(OFFSET($R$3,0,0,'Données projet'!$E$9+1,1))-AVERAGE(OFFSET($H$3,0,0,'Données projet'!$E$9+1,1))</f>
        <v>315.34103933739129</v>
      </c>
      <c r="T32" s="59">
        <f t="shared" si="34"/>
        <v>165.80901858372513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>
        <f>VLOOKUP(A32,'Données projet'!$A$61:$I$81,2,0)</f>
        <v>241.61</v>
      </c>
      <c r="AG32" s="12">
        <f>VLOOKUP(A32,'Données projet'!$A$61:$I$81,9,0)</f>
        <v>18.282500000000006</v>
      </c>
      <c r="AH32" s="12">
        <f t="array" ref="AH32">INDEX(AG:AG,MIN(IF(ISNUMBER(AG32:AG228),ROW(AG32:AG228),"")))</f>
        <v>18.282500000000006</v>
      </c>
      <c r="AI32" s="13">
        <f>IF('Données projet'!$A$62&gt;35,AI31+AH32-AQ31,IF(A32&lt;'Données projet'!$A$62,$AF$205^A32,IF(A32='Données projet'!$A$62,'Données projet'!$B$62,AI31+AH32-AQ31)))</f>
        <v>241.60999999999996</v>
      </c>
      <c r="AJ32" s="13">
        <f>AI32*VLOOKUP('Données projet'!$B$10,Paramètres!$A$1:$I$89,3,0)*VLOOKUP('Données projet'!$B$10,Paramètres!$A$1:$I$89,5,0)</f>
        <v>144.48277999999996</v>
      </c>
      <c r="AK32" s="13">
        <f t="shared" si="35"/>
        <v>37.322056105193184</v>
      </c>
      <c r="AL32" s="20">
        <f t="shared" si="4"/>
        <v>316.64342288321137</v>
      </c>
      <c r="AM32" s="59">
        <f t="shared" si="5"/>
        <v>553.57132020598715</v>
      </c>
      <c r="AN32" s="59">
        <f ca="1">AVERAGE(OFFSET($AM$3,0,0,'Données projet'!$E$10+1,1))-AVERAGE(OFFSET($H$3,0,0,'Données projet'!$E$10+1,1))</f>
        <v>317.328615425664</v>
      </c>
      <c r="AO32" s="59">
        <f t="shared" si="36"/>
        <v>324.95872842255744</v>
      </c>
      <c r="AP32" s="15">
        <f>IF(ISNA(VLOOKUP(A32,'Données projet'!$A$61:$I$81,3,0)),0,VLOOKUP(A32,'Données projet'!$A$61:$I$81,3,0))</f>
        <v>3</v>
      </c>
      <c r="AQ32" s="15">
        <f>IF(ISNA(VLOOKUP(A32,'Données projet'!$A$61:$I$81,4,0)),0,VLOOKUP(A32,'Données projet'!$A$61:$I$81,4,0))</f>
        <v>54.64</v>
      </c>
      <c r="AR32" s="16">
        <f>IF(ISNA(VLOOKUP(A32,'Données projet'!$A$61:$I$81,5,0)),0%,VLOOKUP(A32,'Données projet'!$A$61:$I$81,5,0)*VLOOKUP('Données projet'!$B$10,Paramètres!$A$1:$I$89,7,0))</f>
        <v>0.18000000000000002</v>
      </c>
      <c r="AS32" s="16">
        <f>IF(ISNA(VLOOKUP(A32,'Données projet'!$A$61:$I$81,6,0)),0%,VLOOKUP(A32,'Données projet'!$A$61:$I$81,6,0)*VLOOKUP('Données projet'!$B$10,Paramètres!$A$1:$I$89,7,0))</f>
        <v>0.15300000000000002</v>
      </c>
      <c r="AT32" s="16">
        <f>IF(ISNA(VLOOKUP(A32,'Données projet'!$A$61:$I$81,7,0)),0%,VLOOKUP(A32,'Données projet'!$A$61:$I$81,7,0))</f>
        <v>0.26</v>
      </c>
      <c r="AU32" s="21">
        <f>EXP(-LN(2)/35)*AU31+(1-EXP(-LN(2)/35))/(LN(2)/35)*AQ32*AR32*VLOOKUP('Données projet'!$B$10,Paramètres!$A$1:$I$89,3,0)*0.475*44/12</f>
        <v>11.463283566334637</v>
      </c>
      <c r="AV32" s="21">
        <f>EXP(-LN(2)/25)*AV31+(1-EXP(-LN(2)/25))/(LN(2)/25)*Calculateur!AQ32*Calculateur!AS32*VLOOKUP('Données projet'!$B$10,Paramètres!$A$1:$I$89,3,0)*0.475*44/12</f>
        <v>22.195982507969799</v>
      </c>
      <c r="AW32" s="21">
        <f>EXP(-LN(2)/2)*AW31+(1-EXP(-LN(2)/2))/(LN(2)/2)*AQ32*AT32*VLOOKUP('Données projet'!$B$10,Paramètres!$A$1:$I$89,3,0)*0.475*44/12</f>
        <v>11.520319635689354</v>
      </c>
      <c r="AX32" s="21">
        <f t="shared" si="6"/>
        <v>45.179585709993788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13.233333333333334</v>
      </c>
      <c r="BD32" s="12">
        <f>IF('Données projet'!$A$88&gt;35,BD31+BC32-BL31,IF(A32&lt;'Données projet'!$A$88,$BA$205^A32,IF(A32='Données projet'!$A$88,'Données projet'!$B$88,BD31+BC32-BL31)))</f>
        <v>152.87666666666667</v>
      </c>
      <c r="BE32" s="13">
        <f>BD32*VLOOKUP('Données projet'!$B$11,Paramètres!$A$1:$I$89,3,0)*VLOOKUP('Données projet'!$B$11,Paramètres!$A$1:$I$89,5,0)</f>
        <v>176.11391999999998</v>
      </c>
      <c r="BF32" s="13">
        <f t="shared" si="37"/>
        <v>44.456509788870086</v>
      </c>
      <c r="BG32" s="20">
        <f t="shared" si="7"/>
        <v>384.16016521561534</v>
      </c>
      <c r="BH32" s="59">
        <f t="shared" si="8"/>
        <v>621.08806253839111</v>
      </c>
      <c r="BI32" s="59">
        <f ca="1">AVERAGE(OFFSET($BH$3,0,0,'Données projet'!$E$11+1,1))-AVERAGE(OFFSET($H$3,0,0,'Données projet'!$E$11+1,1))</f>
        <v>418.31716673276725</v>
      </c>
      <c r="BJ32" s="59">
        <f t="shared" si="38"/>
        <v>472.37891533957929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8.8631930671253034</v>
      </c>
      <c r="BR32" s="21">
        <f>EXP(-LN(2)/2)*BR31+(1-EXP(-LN(2)/2))/(LN(2)/2)*BL32*BO32*VLOOKUP('Données projet'!$B$11,Paramètres!$A$1:$I$89,3,0)*0.475*44/12</f>
        <v>2.6927367418386901</v>
      </c>
      <c r="BS32" s="22">
        <f t="shared" si="9"/>
        <v>11.555929808963993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5.3633333333333342</v>
      </c>
      <c r="BY32" s="12">
        <f>IF('Données projet'!$A$114&gt;35,BY31+BX32-CG31,IF(A32&lt;'Données projet'!$A$114,$BV$205^A32,IF(A32='Données projet'!$A$114,'Données projet'!$B$114,BY31+BX32-CG31)))</f>
        <v>62.646666666666675</v>
      </c>
      <c r="BZ32" s="13">
        <f>BY32*VLOOKUP('Données projet'!$B$12,Paramètres!$A$1:$I$89,3,0)*VLOOKUP('Données projet'!$B$12,Paramètres!$A$1:$I$89,5,0)</f>
        <v>36.648300000000006</v>
      </c>
      <c r="CA32" s="13">
        <f t="shared" si="39"/>
        <v>11.105804713433823</v>
      </c>
      <c r="CB32" s="20">
        <f t="shared" si="10"/>
        <v>83.17173237589725</v>
      </c>
      <c r="CC32" s="59">
        <f t="shared" si="11"/>
        <v>320.09962969867308</v>
      </c>
      <c r="CD32" s="59">
        <f ca="1">AVERAGE(OFFSET($CC$3,0,0,'Données projet'!$E$12+1,1))-AVERAGE(OFFSET($H$3,0,0,'Données projet'!$E$12+1,1))</f>
        <v>184.11352167663844</v>
      </c>
      <c r="CE32" s="59">
        <f t="shared" si="40"/>
        <v>145.86653500981791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2.1790000000000003</v>
      </c>
      <c r="CT32" s="12">
        <f>IF('Données projet'!$A$140&gt;35,CT31+CS32-DB31,IF(A32&lt;'Données projet'!$A$140,$CQ$205^A32,IF(A32='Données projet'!$A$140,'Données projet'!$B$140,CT31+CS32-DB31)))</f>
        <v>56.867726859692155</v>
      </c>
      <c r="CU32" s="17">
        <f>CT32*VLOOKUP('Données projet'!$B$13,Paramètres!$A$1:$I$89,3,0)*VLOOKUP('Données projet'!$B$13,Paramètres!$A$1:$I$89,5,0)</f>
        <v>27.353376619511923</v>
      </c>
      <c r="CV32" s="13">
        <f t="shared" si="41"/>
        <v>8.5762007041668422</v>
      </c>
      <c r="CW32" s="20">
        <f t="shared" si="13"/>
        <v>62.577347172073843</v>
      </c>
      <c r="CX32" s="59">
        <f t="shared" si="14"/>
        <v>299.50524449484965</v>
      </c>
      <c r="CY32" s="59">
        <f ca="1">AVERAGE(OFFSET($CX$3,0,0,'Données projet'!$E$13+1,1))-AVERAGE(OFFSET($H$3,0,0,'Données projet'!$E$13+1,1))</f>
        <v>303.76035885073708</v>
      </c>
      <c r="CZ32" s="59">
        <f t="shared" si="42"/>
        <v>127.43112562890414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8.8000000000000007</v>
      </c>
      <c r="DO32" s="12">
        <f>IF('Données projet'!$A$166&gt;35,DO31+DN32-DW31,IF(A32&lt;'Données projet'!$A$166,$DL$205^A32,IF(A32='Données projet'!$A$166,'Données projet'!$B$166,DO31+DN32-DW31)))</f>
        <v>160.20000000000002</v>
      </c>
      <c r="DP32" s="17">
        <f>DO32*VLOOKUP('Données projet'!$B$14,Paramètres!$A$1:$I$89,3,0)*VLOOKUP('Données projet'!$B$14,Paramètres!$A$1:$I$89,5,0)</f>
        <v>92.467440000000011</v>
      </c>
      <c r="DQ32" s="13">
        <f t="shared" si="43"/>
        <v>25.15937212772025</v>
      </c>
      <c r="DR32" s="20">
        <f t="shared" si="16"/>
        <v>204.86669778911278</v>
      </c>
      <c r="DS32" s="59">
        <f t="shared" si="17"/>
        <v>441.79459511188861</v>
      </c>
      <c r="DT32" s="59">
        <f ca="1">AVERAGE(OFFSET($DS$3,0,0,'Données projet'!$E$14+1,1))-AVERAGE(OFFSET($H$3,0,0,'Données projet'!$E$14+1,1))</f>
        <v>243.65374431792841</v>
      </c>
      <c r="DU32" s="59">
        <f t="shared" si="44"/>
        <v>271.60754570002939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5.4</v>
      </c>
      <c r="EJ32" s="12">
        <f>IF('Données projet'!$A$192&gt;35,EJ31+EI32-ER31,IF(A32&lt;'Données projet'!$A$192,$EG$205^A32,IF(A32='Données projet'!$A$192,'Données projet'!$B$192,EJ31+EI32-ER31)))</f>
        <v>91.600000000000023</v>
      </c>
      <c r="EK32" s="17">
        <f>EJ32*VLOOKUP('Données projet'!$B$15,Paramètres!$A$1:$I$89,3,0)*VLOOKUP('Données projet'!$B$15,Paramètres!$A$1:$I$89,5,0)</f>
        <v>61.445280000000018</v>
      </c>
      <c r="EL32" s="13">
        <f t="shared" si="45"/>
        <v>17.533173397369026</v>
      </c>
      <c r="EM32" s="20">
        <f t="shared" si="19"/>
        <v>137.5541396670844</v>
      </c>
      <c r="EN32" s="59">
        <f t="shared" si="20"/>
        <v>374.48203698986026</v>
      </c>
      <c r="EO32" s="59">
        <f ca="1">AVERAGE(OFFSET($EN$3,0,0,'Données projet'!$E$15+1,1))-AVERAGE(OFFSET($H$3,0,0,'Données projet'!$E$15+1,1))</f>
        <v>321.44781099085594</v>
      </c>
      <c r="EP32" s="59">
        <f t="shared" si="46"/>
        <v>201.22243186578183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9.8000000000000007</v>
      </c>
      <c r="FE32" s="12">
        <f>IF('Données projet'!$A$218&gt;35,FE31+FD32-FM31,IF(A32&lt;'Données projet'!$A$218,$FB$205^A32,IF(A32='Données projet'!$A$218,'Données projet'!$B$218,FE31+FD32-FM31)))</f>
        <v>104.19999999999999</v>
      </c>
      <c r="FF32" s="17">
        <f>FE32*VLOOKUP('Données projet'!$B$16,Paramètres!$A$1:$I$89,3,0)*VLOOKUP('Données projet'!$B$16,Paramètres!$A$1:$I$89,5,0)</f>
        <v>91.029119999999992</v>
      </c>
      <c r="FG32" s="13">
        <f t="shared" si="47"/>
        <v>24.813259479575809</v>
      </c>
      <c r="FH32" s="20">
        <f t="shared" si="22"/>
        <v>201.75881092692782</v>
      </c>
      <c r="FI32" s="59">
        <f t="shared" si="23"/>
        <v>438.68670824970366</v>
      </c>
      <c r="FJ32" s="59">
        <f ca="1">AVERAGE(OFFSET($FI$3,0,0,'Données projet'!$E$16+1,1))-AVERAGE(OFFSET($H$3,0,0,'Données projet'!$E$16+1,1))</f>
        <v>285.8437404763045</v>
      </c>
      <c r="FK32" s="59">
        <f t="shared" si="48"/>
        <v>276.01618888357268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11.8</v>
      </c>
      <c r="FZ32" s="12">
        <f>IF('Données projet'!$A$244&gt;35,FZ31+FY32-GH31,IF(A32&lt;'Données projet'!$A$244,$FW$205^A32,IF(A32='Données projet'!$A$244,'Données projet'!$B$244,FZ31+FY32-GH31)))</f>
        <v>134.19999999999996</v>
      </c>
      <c r="GA32" s="17">
        <f>FZ32*VLOOKUP('Données projet'!$B$17,Paramètres!$A$1:$I$89,3,0)*VLOOKUP('Données projet'!$B$17,Paramètres!$A$1:$I$89,5,0)</f>
        <v>106.76951999999997</v>
      </c>
      <c r="GB32" s="13">
        <f t="shared" si="49"/>
        <v>28.568542914630683</v>
      </c>
      <c r="GC32" s="20">
        <f t="shared" si="25"/>
        <v>235.71379290964839</v>
      </c>
      <c r="GD32" s="59">
        <f t="shared" si="26"/>
        <v>472.64169023242425</v>
      </c>
      <c r="GE32" s="59">
        <f ca="1">AVERAGE(OFFSET($GD$3,0,0,'Données projet'!$E$17+1,1))-AVERAGE(OFFSET($H$3,0,0,'Données projet'!$E$17+1,1))</f>
        <v>323.01113210765487</v>
      </c>
      <c r="GF32" s="59">
        <f t="shared" si="50"/>
        <v>311.68541696405975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9.8000000000000007</v>
      </c>
      <c r="GU32" s="12">
        <f>IF('Données projet'!$A$270&gt;35,GU31+GT32-HC31,IF(A32&lt;'Données projet'!$A$270,$GR$205^A32,IF(A32='Données projet'!$A$270,'Données projet'!$B$270,GU31+GT32-HC31)))</f>
        <v>104.19999999999999</v>
      </c>
      <c r="GV32" s="17">
        <f>GU32*VLOOKUP('Données projet'!$B$18,Paramètres!$A$1:$I$89,3,0)*VLOOKUP('Données projet'!$B$18,Paramètres!$A$1:$I$89,5,0)</f>
        <v>91.029119999999992</v>
      </c>
      <c r="GW32" s="13">
        <f t="shared" si="51"/>
        <v>24.813259479575809</v>
      </c>
      <c r="GX32" s="20">
        <f t="shared" si="28"/>
        <v>201.75881092692782</v>
      </c>
      <c r="GY32" s="59">
        <f t="shared" si="29"/>
        <v>438.68670824970366</v>
      </c>
      <c r="GZ32" s="59">
        <f ca="1">AVERAGE(OFFSET($GY$3,0,0,'Données projet'!$E$18+1,1))-AVERAGE(OFFSET($H$3,0,0,'Données projet'!$E$18+1,1))</f>
        <v>285.8437404763045</v>
      </c>
      <c r="HA32" s="59">
        <f t="shared" si="52"/>
        <v>276.01618888357268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54</v>
      </c>
      <c r="L33" s="12">
        <f>VLOOKUP(A33,'Données projet'!$A$35:$I$55,9,0)</f>
        <v>4.8</v>
      </c>
      <c r="M33" s="12">
        <f t="array" ref="M33">INDEX(L:L,MIN(IF(ISNUMBER(L33:L229),ROW(L33:L229),"")))</f>
        <v>4.8</v>
      </c>
      <c r="N33" s="13">
        <f>IF('Données projet'!$A$36&gt;35,N32+M33-V32,IF(A33&lt;'Données projet'!$A$36,$K$205^A33,IF(A33='Données projet'!$A$36,'Données projet'!$B$36,N32+M33-V32)))</f>
        <v>53.999999999999986</v>
      </c>
      <c r="O33" s="13">
        <f>N33*VLOOKUP('Données projet'!$B$9,Paramètres!$A$1:$I$89,3,0)*VLOOKUP('Données projet'!$B$9,Paramètres!$A$1:$I$89,5,0)</f>
        <v>48.859199999999987</v>
      </c>
      <c r="P33" s="13">
        <f t="shared" si="33"/>
        <v>14.318748507569309</v>
      </c>
      <c r="Q33" s="20">
        <f t="shared" si="2"/>
        <v>110.03492698401652</v>
      </c>
      <c r="R33" s="59">
        <f t="shared" si="0"/>
        <v>349.14235191705848</v>
      </c>
      <c r="S33" s="59">
        <f ca="1">AVERAGE(OFFSET($R$3,0,0,'Données projet'!$E$9+1,1))-AVERAGE(OFFSET($H$3,0,0,'Données projet'!$E$9+1,1))</f>
        <v>315.34103933739129</v>
      </c>
      <c r="T33" s="59">
        <f t="shared" si="34"/>
        <v>165.80901858372513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17.605999999999995</v>
      </c>
      <c r="AI33" s="13">
        <f>IF('Données projet'!$A$62&gt;35,AI32+AH33-AQ32,IF(A33&lt;'Données projet'!$A$62,$AF$205^A33,IF(A33='Données projet'!$A$62,'Données projet'!$B$62,AI32+AH33-AQ32)))</f>
        <v>204.57599999999996</v>
      </c>
      <c r="AJ33" s="13">
        <f>AI33*VLOOKUP('Données projet'!$B$10,Paramètres!$A$1:$I$89,3,0)*VLOOKUP('Données projet'!$B$10,Paramètres!$A$1:$I$89,5,0)</f>
        <v>122.33644799999999</v>
      </c>
      <c r="AK33" s="13">
        <f t="shared" si="35"/>
        <v>32.219324338477811</v>
      </c>
      <c r="AL33" s="20">
        <f t="shared" si="4"/>
        <v>269.1846368228488</v>
      </c>
      <c r="AM33" s="59">
        <f t="shared" si="5"/>
        <v>508.29206175589081</v>
      </c>
      <c r="AN33" s="59">
        <f ca="1">AVERAGE(OFFSET($AM$3,0,0,'Données projet'!$E$10+1,1))-AVERAGE(OFFSET($H$3,0,0,'Données projet'!$E$10+1,1))</f>
        <v>317.328615425664</v>
      </c>
      <c r="AO33" s="59">
        <f t="shared" si="36"/>
        <v>324.95872842255744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11.238495567511396</v>
      </c>
      <c r="AV33" s="21">
        <f>EXP(-LN(2)/25)*AV32+(1-EXP(-LN(2)/25))/(LN(2)/25)*Calculateur!AQ33*Calculateur!AS33*VLOOKUP('Données projet'!$B$10,Paramètres!$A$1:$I$89,3,0)*0.475*44/12</f>
        <v>21.589032199053374</v>
      </c>
      <c r="AW33" s="21">
        <f>EXP(-LN(2)/2)*AW32+(1-EXP(-LN(2)/2))/(LN(2)/2)*AQ33*AT33*VLOOKUP('Données projet'!$B$10,Paramètres!$A$1:$I$89,3,0)*0.475*44/12</f>
        <v>8.1460961358324795</v>
      </c>
      <c r="AX33" s="21">
        <f t="shared" si="6"/>
        <v>40.97362390239725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166.11</v>
      </c>
      <c r="BB33" s="12">
        <f>VLOOKUP(A33,'Données projet'!$A$87:$I$107,9,0)</f>
        <v>13.233333333333334</v>
      </c>
      <c r="BC33" s="12">
        <f t="array" ref="BC33">INDEX(BB:BB,MIN(IF(ISNUMBER(BB33:BB229),ROW(BB33:BB229),"")))</f>
        <v>13.233333333333334</v>
      </c>
      <c r="BD33" s="12">
        <f>IF('Données projet'!$A$88&gt;35,BD32+BC33-BL32,IF(A33&lt;'Données projet'!$A$88,$BA$205^A33,IF(A33='Données projet'!$A$88,'Données projet'!$B$88,BD32+BC33-BL32)))</f>
        <v>166.11</v>
      </c>
      <c r="BE33" s="13">
        <f>BD33*VLOOKUP('Données projet'!$B$11,Paramètres!$A$1:$I$89,3,0)*VLOOKUP('Données projet'!$B$11,Paramètres!$A$1:$I$89,5,0)</f>
        <v>191.35871999999998</v>
      </c>
      <c r="BF33" s="13">
        <f t="shared" si="37"/>
        <v>47.840221860212885</v>
      </c>
      <c r="BG33" s="20">
        <f t="shared" si="7"/>
        <v>416.60482373987071</v>
      </c>
      <c r="BH33" s="59">
        <f t="shared" si="8"/>
        <v>655.71224867291266</v>
      </c>
      <c r="BI33" s="59">
        <f ca="1">AVERAGE(OFFSET($BH$3,0,0,'Données projet'!$E$11+1,1))-AVERAGE(OFFSET($H$3,0,0,'Données projet'!$E$11+1,1))</f>
        <v>418.31716673276725</v>
      </c>
      <c r="BJ33" s="59">
        <f t="shared" si="38"/>
        <v>472.37891533957929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37.56</v>
      </c>
      <c r="BM33" s="16">
        <f>IF(ISNA(VLOOKUP(A33,'Données projet'!$A$87:$I$107,5,0)),0%,VLOOKUP(A33,'Données projet'!$A$87:$I$107,5,0)*VLOOKUP('Données projet'!$B$11,Paramètres!$A$1:$I$89,7,0))</f>
        <v>9.0000000000000011E-2</v>
      </c>
      <c r="BN33" s="16">
        <f>IF(ISNA(VLOOKUP(A33,'Données projet'!$A$87:$I$107,6,0)),0%,VLOOKUP(A33,'Données projet'!$A$87:$I$107,6,0)*VLOOKUP('Données projet'!$B$11,Paramètres!$A$1:$I$89,7,0))</f>
        <v>0.25200000000000006</v>
      </c>
      <c r="BO33" s="16">
        <f>IF(ISNA(VLOOKUP(A33,'Données projet'!$A$87:$I$107,7,0)),0%,VLOOKUP(A33,'Données projet'!$A$87:$I$107,7,0))</f>
        <v>0.35</v>
      </c>
      <c r="BP33" s="21">
        <f>EXP(-LN(2)/35)*BP32+(1-EXP(-LN(2)/35))/(LN(2)/35)*BL33*BM33*VLOOKUP('Données projet'!$B$11,Paramètres!$A$1:$I$89,3,0)*0.475*44/12</f>
        <v>2.7982147347447213</v>
      </c>
      <c r="BQ33" s="21">
        <f>EXP(-LN(2)/25)*BQ32+(1-EXP(-LN(2)/25))/(LN(2)/25)*Calculateur!BL33*Calculateur!BN33*VLOOKUP('Données projet'!$B$11,Paramètres!$A$1:$I$89,3,0)*0.475*44/12</f>
        <v>16.424980458575455</v>
      </c>
      <c r="BR33" s="21">
        <f>EXP(-LN(2)/2)*BR32+(1-EXP(-LN(2)/2))/(LN(2)/2)*BL33*BO33*VLOOKUP('Données projet'!$B$11,Paramètres!$A$1:$I$89,3,0)*0.475*44/12</f>
        <v>11.191871698872848</v>
      </c>
      <c r="BS33" s="22">
        <f t="shared" si="9"/>
        <v>30.415066892193025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68.010000000000005</v>
      </c>
      <c r="BW33" s="12">
        <f>VLOOKUP(A33,'Données projet'!$A$113:$I$133,9,0)</f>
        <v>5.3633333333333342</v>
      </c>
      <c r="BX33" s="12">
        <f t="array" ref="BX33">INDEX(BW:BW,MIN(IF(ISNUMBER(BW33:BW229),ROW(BW33:BW229),"")))</f>
        <v>5.3633333333333342</v>
      </c>
      <c r="BY33" s="12">
        <f>IF('Données projet'!$A$114&gt;35,BY32+BX33-CG32,IF(A33&lt;'Données projet'!$A$114,$BV$205^A33,IF(A33='Données projet'!$A$114,'Données projet'!$B$114,BY32+BX33-CG32)))</f>
        <v>68.010000000000005</v>
      </c>
      <c r="BZ33" s="13">
        <f>BY33*VLOOKUP('Données projet'!$B$12,Paramètres!$A$1:$I$89,3,0)*VLOOKUP('Données projet'!$B$12,Paramètres!$A$1:$I$89,5,0)</f>
        <v>39.785850000000003</v>
      </c>
      <c r="CA33" s="13">
        <f t="shared" si="39"/>
        <v>11.941868704368952</v>
      </c>
      <c r="CB33" s="20">
        <f t="shared" si="10"/>
        <v>90.092443410109254</v>
      </c>
      <c r="CC33" s="59">
        <f t="shared" si="11"/>
        <v>329.19986834315125</v>
      </c>
      <c r="CD33" s="59">
        <f ca="1">AVERAGE(OFFSET($CC$3,0,0,'Données projet'!$E$12+1,1))-AVERAGE(OFFSET($H$3,0,0,'Données projet'!$E$12+1,1))</f>
        <v>184.11352167663844</v>
      </c>
      <c r="CE33" s="59">
        <f t="shared" si="40"/>
        <v>145.86653500981791</v>
      </c>
      <c r="CF33" s="15">
        <f>IF(ISNA(VLOOKUP(A33,'Données projet'!$A$113:$I$133,3,0)),0,VLOOKUP(A33,'Données projet'!$A$113:$I$133,3,0))</f>
        <v>6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9.0000000000000011E-2</v>
      </c>
      <c r="CI33" s="16">
        <f>IF(ISNA(VLOOKUP(A33,'Données projet'!$A$113:$I$133,6,0)),0%,VLOOKUP(A33,'Données projet'!$A$113:$I$133,6,0)*VLOOKUP('Données projet'!$B$12,Paramètres!$A$1:$I$89,7,0))</f>
        <v>0.25200000000000006</v>
      </c>
      <c r="CJ33" s="16">
        <f>IF(ISNA(VLOOKUP(A33,'Données projet'!$A$113:$I$133,7,0)),0%,VLOOKUP(A33,'Données projet'!$A$113:$I$133,7,0))</f>
        <v>0.35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65.37</v>
      </c>
      <c r="CR33" s="12">
        <f>VLOOKUP(A33,'Données projet'!$A$139:$I$159,9,0)</f>
        <v>2.1790000000000003</v>
      </c>
      <c r="CS33" s="12">
        <f t="array" ref="CS33">INDEX(CR:CR,MIN(IF(ISNUMBER(CR33:CR229),ROW(CR33:CR229),"")))</f>
        <v>2.1790000000000003</v>
      </c>
      <c r="CT33" s="12">
        <f>IF('Données projet'!$A$140&gt;35,CT32+CS33-DB32,IF(A33&lt;'Données projet'!$A$140,$CQ$205^A33,IF(A33='Données projet'!$A$140,'Données projet'!$B$140,CT32+CS33-DB32)))</f>
        <v>65.37</v>
      </c>
      <c r="CU33" s="17">
        <f>CT33*VLOOKUP('Données projet'!$B$13,Paramètres!$A$1:$I$89,3,0)*VLOOKUP('Données projet'!$B$13,Paramètres!$A$1:$I$89,5,0)</f>
        <v>31.442970000000003</v>
      </c>
      <c r="CV33" s="13">
        <f t="shared" si="41"/>
        <v>9.6998246579112912</v>
      </c>
      <c r="CW33" s="20">
        <f t="shared" si="13"/>
        <v>71.657034029195515</v>
      </c>
      <c r="CX33" s="59">
        <f t="shared" si="14"/>
        <v>310.76445896223748</v>
      </c>
      <c r="CY33" s="59">
        <f ca="1">AVERAGE(OFFSET($CX$3,0,0,'Données projet'!$E$13+1,1))-AVERAGE(OFFSET($H$3,0,0,'Données projet'!$E$13+1,1))</f>
        <v>303.76035885073708</v>
      </c>
      <c r="CZ33" s="59">
        <f t="shared" si="42"/>
        <v>127.43112562890414</v>
      </c>
      <c r="DA33" s="15">
        <f>IF(ISNA(VLOOKUP(A33,'Données projet'!$A$139:$I$159,3,0)),0,VLOOKUP(A33,'Données projet'!$A$139:$I$159,3,0))</f>
        <v>1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0.30800000000000005</v>
      </c>
      <c r="DE33" s="16">
        <f>IF(ISNA(VLOOKUP(A33,'Données projet'!$A$139:$I$159,7,0)),0%,VLOOKUP(A33,'Données projet'!$A$139:$I$159,7,0))</f>
        <v>0.44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169</v>
      </c>
      <c r="DM33" s="12">
        <f>VLOOKUP(A33,'Données projet'!$A$165:$I$185,9,0)</f>
        <v>8.8000000000000007</v>
      </c>
      <c r="DN33" s="12">
        <f t="array" ref="DN33">INDEX(DM:DM,MIN(IF(ISNUMBER(DM33:DM229),ROW(DM33:DM229),"")))</f>
        <v>8.8000000000000007</v>
      </c>
      <c r="DO33" s="12">
        <f>IF('Données projet'!$A$166&gt;35,DO32+DN33-DW32,IF(A33&lt;'Données projet'!$A$166,$DL$205^A33,IF(A33='Données projet'!$A$166,'Données projet'!$B$166,DO32+DN33-DW32)))</f>
        <v>169.00000000000003</v>
      </c>
      <c r="DP33" s="17">
        <f>DO33*VLOOKUP('Données projet'!$B$14,Paramètres!$A$1:$I$89,3,0)*VLOOKUP('Données projet'!$B$14,Paramètres!$A$1:$I$89,5,0)</f>
        <v>97.546800000000019</v>
      </c>
      <c r="DQ33" s="13">
        <f t="shared" si="43"/>
        <v>26.376714315973636</v>
      </c>
      <c r="DR33" s="20">
        <f t="shared" si="16"/>
        <v>215.83345410032075</v>
      </c>
      <c r="DS33" s="59">
        <f t="shared" si="17"/>
        <v>454.94087903336276</v>
      </c>
      <c r="DT33" s="59">
        <f ca="1">AVERAGE(OFFSET($DS$3,0,0,'Données projet'!$E$14+1,1))-AVERAGE(OFFSET($H$3,0,0,'Données projet'!$E$14+1,1))</f>
        <v>243.65374431792841</v>
      </c>
      <c r="DU33" s="59">
        <f t="shared" si="44"/>
        <v>271.60754570002939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0.12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97</v>
      </c>
      <c r="EH33" s="12">
        <f>VLOOKUP(A33,'Données projet'!$A$191:$I$211,9,0)</f>
        <v>5.4</v>
      </c>
      <c r="EI33" s="12">
        <f t="array" ref="EI33">INDEX(EH:EH,MIN(IF(ISNUMBER(EH33:EH229),ROW(EH33:EH229),"")))</f>
        <v>5.4</v>
      </c>
      <c r="EJ33" s="12">
        <f>IF('Données projet'!$A$192&gt;35,EJ32+EI33-ER32,IF(A33&lt;'Données projet'!$A$192,$EG$205^A33,IF(A33='Données projet'!$A$192,'Données projet'!$B$192,EJ32+EI33-ER32)))</f>
        <v>97.000000000000028</v>
      </c>
      <c r="EK33" s="17">
        <f>EJ33*VLOOKUP('Données projet'!$B$15,Paramètres!$A$1:$I$89,3,0)*VLOOKUP('Données projet'!$B$15,Paramètres!$A$1:$I$89,5,0)</f>
        <v>65.067600000000027</v>
      </c>
      <c r="EL33" s="13">
        <f t="shared" si="45"/>
        <v>18.443408765209462</v>
      </c>
      <c r="EM33" s="20">
        <f t="shared" si="19"/>
        <v>145.44834026607319</v>
      </c>
      <c r="EN33" s="59">
        <f t="shared" si="20"/>
        <v>384.55576519911517</v>
      </c>
      <c r="EO33" s="59">
        <f ca="1">AVERAGE(OFFSET($EN$3,0,0,'Données projet'!$E$15+1,1))-AVERAGE(OFFSET($H$3,0,0,'Données projet'!$E$15+1,1))</f>
        <v>321.44781099085594</v>
      </c>
      <c r="EP33" s="59">
        <f t="shared" si="46"/>
        <v>201.22243186578183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21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114</v>
      </c>
      <c r="FC33" s="12">
        <f>VLOOKUP(A33,'Données projet'!$A$217:$I$237,9,0)</f>
        <v>9.8000000000000007</v>
      </c>
      <c r="FD33" s="12">
        <f t="array" ref="FD33">INDEX(FC:FC,MIN(IF(ISNUMBER(FC33:FC229),ROW(FC33:FC229),"")))</f>
        <v>9.8000000000000007</v>
      </c>
      <c r="FE33" s="12">
        <f>IF('Données projet'!$A$218&gt;35,FE32+FD33-FM32,IF(A33&lt;'Données projet'!$A$218,$FB$205^A33,IF(A33='Données projet'!$A$218,'Données projet'!$B$218,FE32+FD33-FM32)))</f>
        <v>113.99999999999999</v>
      </c>
      <c r="FF33" s="17">
        <f>FE33*VLOOKUP('Données projet'!$B$16,Paramètres!$A$1:$I$89,3,0)*VLOOKUP('Données projet'!$B$16,Paramètres!$A$1:$I$89,5,0)</f>
        <v>99.590400000000002</v>
      </c>
      <c r="FG33" s="13">
        <f t="shared" si="47"/>
        <v>26.864392698869324</v>
      </c>
      <c r="FH33" s="20">
        <f t="shared" si="22"/>
        <v>220.24209728386407</v>
      </c>
      <c r="FI33" s="59">
        <f t="shared" si="23"/>
        <v>459.34952221690605</v>
      </c>
      <c r="FJ33" s="59">
        <f ca="1">AVERAGE(OFFSET($FI$3,0,0,'Données projet'!$E$16+1,1))-AVERAGE(OFFSET($H$3,0,0,'Données projet'!$E$16+1,1))</f>
        <v>285.8437404763045</v>
      </c>
      <c r="FK33" s="59">
        <f t="shared" si="48"/>
        <v>276.01618888357268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21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146</v>
      </c>
      <c r="FX33" s="12">
        <f>VLOOKUP(A33,'Données projet'!$A$243:$I$263,9,0)</f>
        <v>11.8</v>
      </c>
      <c r="FY33" s="12">
        <f t="array" ref="FY33">INDEX(FX:FX,MIN(IF(ISNUMBER(FX33:FX229),ROW(FX33:FX229),"")))</f>
        <v>11.8</v>
      </c>
      <c r="FZ33" s="12">
        <f>IF('Données projet'!$A$244&gt;35,FZ32+FY33-GH32,IF(A33&lt;'Données projet'!$A$244,$FW$205^A33,IF(A33='Données projet'!$A$244,'Données projet'!$B$244,FZ32+FY33-GH32)))</f>
        <v>145.99999999999997</v>
      </c>
      <c r="GA33" s="17">
        <f>FZ33*VLOOKUP('Données projet'!$B$17,Paramètres!$A$1:$I$89,3,0)*VLOOKUP('Données projet'!$B$17,Paramètres!$A$1:$I$89,5,0)</f>
        <v>116.15759999999999</v>
      </c>
      <c r="GB33" s="13">
        <f t="shared" si="49"/>
        <v>30.777132266613055</v>
      </c>
      <c r="GC33" s="20">
        <f t="shared" si="25"/>
        <v>255.91132536435109</v>
      </c>
      <c r="GD33" s="59">
        <f t="shared" si="26"/>
        <v>495.01875029739307</v>
      </c>
      <c r="GE33" s="59">
        <f ca="1">AVERAGE(OFFSET($GD$3,0,0,'Données projet'!$E$17+1,1))-AVERAGE(OFFSET($H$3,0,0,'Données projet'!$E$17+1,1))</f>
        <v>323.01113210765487</v>
      </c>
      <c r="GF33" s="59">
        <f t="shared" si="50"/>
        <v>311.68541696405975</v>
      </c>
      <c r="GG33" s="15">
        <f>IF(ISNA(VLOOKUP(A33,'Données projet'!$A$243:$I$263,3,0)),0,VLOOKUP(A33,'Données projet'!$A$243:$I$263,3,0))</f>
        <v>4</v>
      </c>
      <c r="GH33" s="15">
        <f>IF(ISNA(VLOOKUP(A33,'Données projet'!$A$243:$I$263,4,0)),0,VLOOKUP(A33,'Données projet'!$A$243:$I$263,4,0))</f>
        <v>28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114</v>
      </c>
      <c r="GS33" s="12">
        <f>VLOOKUP(A33,'Données projet'!$A$269:$I$289,9,0)</f>
        <v>9.8000000000000007</v>
      </c>
      <c r="GT33" s="12">
        <f t="array" ref="GT33">INDEX(GS:GS,MIN(IF(ISNUMBER(GS33:GS229),ROW(GS33:GS229),"")))</f>
        <v>9.8000000000000007</v>
      </c>
      <c r="GU33" s="12">
        <f>IF('Données projet'!$A$270&gt;35,GU32+GT33-HC32,IF(A33&lt;'Données projet'!$A$270,$GR$205^A33,IF(A33='Données projet'!$A$270,'Données projet'!$B$270,GU32+GT33-HC32)))</f>
        <v>113.99999999999999</v>
      </c>
      <c r="GV33" s="17">
        <f>GU33*VLOOKUP('Données projet'!$B$18,Paramètres!$A$1:$I$89,3,0)*VLOOKUP('Données projet'!$B$18,Paramètres!$A$1:$I$89,5,0)</f>
        <v>99.590400000000002</v>
      </c>
      <c r="GW33" s="13">
        <f t="shared" si="51"/>
        <v>26.864392698869324</v>
      </c>
      <c r="GX33" s="20">
        <f t="shared" si="28"/>
        <v>220.24209728386407</v>
      </c>
      <c r="GY33" s="59">
        <f t="shared" si="29"/>
        <v>459.34952221690605</v>
      </c>
      <c r="GZ33" s="59">
        <f ca="1">AVERAGE(OFFSET($GY$3,0,0,'Données projet'!$E$18+1,1))-AVERAGE(OFFSET($H$3,0,0,'Données projet'!$E$18+1,1))</f>
        <v>285.8437404763045</v>
      </c>
      <c r="HA33" s="59">
        <f t="shared" si="52"/>
        <v>276.01618888357268</v>
      </c>
      <c r="HB33" s="15">
        <f>IF(ISNA(VLOOKUP(A33,'Données projet'!$A$269:$I$289,3,0)),0,VLOOKUP(A33,'Données projet'!$A$269:$I$289,3,0))</f>
        <v>4</v>
      </c>
      <c r="HC33" s="15">
        <f>IF(ISNA(VLOOKUP(A33,'Données projet'!$A$269:$I$289,4,0)),0,VLOOKUP(A33,'Données projet'!$A$269:$I$289,4,0))</f>
        <v>21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</v>
      </c>
      <c r="N34" s="13">
        <f>IF('Données projet'!$A$36&gt;35,N33+M34-V33,IF(A34&lt;'Données projet'!$A$36,$K$205^A34,IF(A34='Données projet'!$A$36,'Données projet'!$B$36,N33+M34-V33)))</f>
        <v>58.999999999999986</v>
      </c>
      <c r="O34" s="13">
        <f>N34*VLOOKUP('Données projet'!$B$9,Paramètres!$A$1:$I$89,3,0)*VLOOKUP('Données projet'!$B$9,Paramètres!$A$1:$I$89,5,0)</f>
        <v>53.383199999999988</v>
      </c>
      <c r="P34" s="13">
        <f t="shared" si="33"/>
        <v>15.484128706113934</v>
      </c>
      <c r="Q34" s="20">
        <f t="shared" si="2"/>
        <v>119.94393082981507</v>
      </c>
      <c r="R34" s="59">
        <f t="shared" si="0"/>
        <v>359.99205404263262</v>
      </c>
      <c r="S34" s="59">
        <f ca="1">AVERAGE(OFFSET($R$3,0,0,'Données projet'!$E$9+1,1))-AVERAGE(OFFSET($H$3,0,0,'Données projet'!$E$9+1,1))</f>
        <v>315.34103933739129</v>
      </c>
      <c r="T34" s="59">
        <f t="shared" si="34"/>
        <v>165.80901858372513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17.605999999999995</v>
      </c>
      <c r="AI34" s="13">
        <f>IF('Données projet'!$A$62&gt;35,AI33+AH34-AQ33,IF(A34&lt;'Données projet'!$A$62,$AF$205^A34,IF(A34='Données projet'!$A$62,'Données projet'!$B$62,AI33+AH34-AQ33)))</f>
        <v>222.18199999999996</v>
      </c>
      <c r="AJ34" s="13">
        <f>AI34*VLOOKUP('Données projet'!$B$10,Paramètres!$A$1:$I$89,3,0)*VLOOKUP('Données projet'!$B$10,Paramètres!$A$1:$I$89,5,0)</f>
        <v>132.864836</v>
      </c>
      <c r="AK34" s="13">
        <f t="shared" si="35"/>
        <v>34.657496669182599</v>
      </c>
      <c r="AL34" s="20">
        <f t="shared" si="4"/>
        <v>291.76806273215965</v>
      </c>
      <c r="AM34" s="59">
        <f t="shared" si="5"/>
        <v>531.81618594497718</v>
      </c>
      <c r="AN34" s="59">
        <f ca="1">AVERAGE(OFFSET($AM$3,0,0,'Données projet'!$E$10+1,1))-AVERAGE(OFFSET($H$3,0,0,'Données projet'!$E$10+1,1))</f>
        <v>317.328615425664</v>
      </c>
      <c r="AO34" s="59">
        <f t="shared" si="36"/>
        <v>324.95872842255744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11.018115524237938</v>
      </c>
      <c r="AV34" s="21">
        <f>EXP(-LN(2)/25)*AV33+(1-EXP(-LN(2)/25))/(LN(2)/25)*Calculateur!AQ34*Calculateur!AS34*VLOOKUP('Données projet'!$B$10,Paramètres!$A$1:$I$89,3,0)*0.475*44/12</f>
        <v>20.9986789782524</v>
      </c>
      <c r="AW34" s="21">
        <f>EXP(-LN(2)/2)*AW33+(1-EXP(-LN(2)/2))/(LN(2)/2)*AQ34*AT34*VLOOKUP('Données projet'!$B$10,Paramètres!$A$1:$I$89,3,0)*0.475*44/12</f>
        <v>5.760159817844678</v>
      </c>
      <c r="AX34" s="21">
        <f t="shared" si="6"/>
        <v>37.776954320335022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12.094999999999999</v>
      </c>
      <c r="BD34" s="12">
        <f>IF('Données projet'!$A$88&gt;35,BD33+BC34-BL33,IF(A34&lt;'Données projet'!$A$88,$BA$205^A34,IF(A34='Données projet'!$A$88,'Données projet'!$B$88,BD33+BC34-BL33)))</f>
        <v>140.64500000000001</v>
      </c>
      <c r="BE34" s="13">
        <f>BD34*VLOOKUP('Données projet'!$B$11,Paramètres!$A$1:$I$89,3,0)*VLOOKUP('Données projet'!$B$11,Paramètres!$A$1:$I$89,5,0)</f>
        <v>162.02304000000001</v>
      </c>
      <c r="BF34" s="13">
        <f t="shared" si="37"/>
        <v>41.298483511021892</v>
      </c>
      <c r="BG34" s="20">
        <f t="shared" si="7"/>
        <v>354.1183201150298</v>
      </c>
      <c r="BH34" s="59">
        <f t="shared" si="8"/>
        <v>594.16644332784733</v>
      </c>
      <c r="BI34" s="59">
        <f ca="1">AVERAGE(OFFSET($BH$3,0,0,'Données projet'!$E$11+1,1))-AVERAGE(OFFSET($H$3,0,0,'Données projet'!$E$11+1,1))</f>
        <v>418.31716673276725</v>
      </c>
      <c r="BJ34" s="59">
        <f t="shared" si="38"/>
        <v>472.37891533957929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2.7433434505388385</v>
      </c>
      <c r="BQ34" s="21">
        <f>EXP(-LN(2)/25)*BQ33+(1-EXP(-LN(2)/25))/(LN(2)/25)*Calculateur!BL34*Calculateur!BN34*VLOOKUP('Données projet'!$B$11,Paramètres!$A$1:$I$89,3,0)*0.475*44/12</f>
        <v>15.975838504183526</v>
      </c>
      <c r="BR34" s="21">
        <f>EXP(-LN(2)/2)*BR33+(1-EXP(-LN(2)/2))/(LN(2)/2)*BL34*BO34*VLOOKUP('Données projet'!$B$11,Paramètres!$A$1:$I$89,3,0)*0.475*44/12</f>
        <v>7.9138483724427973</v>
      </c>
      <c r="BS34" s="22">
        <f t="shared" si="9"/>
        <v>26.633030327165162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6.2833333333333314</v>
      </c>
      <c r="BY34" s="12">
        <f>IF('Données projet'!$A$114&gt;35,BY33+BX34-CG33,IF(A34&lt;'Données projet'!$A$114,$BV$205^A34,IF(A34='Données projet'!$A$114,'Données projet'!$B$114,BY33+BX34-CG33)))</f>
        <v>74.293333333333337</v>
      </c>
      <c r="BZ34" s="13">
        <f>BY34*VLOOKUP('Données projet'!$B$12,Paramètres!$A$1:$I$89,3,0)*VLOOKUP('Données projet'!$B$12,Paramètres!$A$1:$I$89,5,0)</f>
        <v>43.461600000000004</v>
      </c>
      <c r="CA34" s="13">
        <f t="shared" si="39"/>
        <v>12.911665627101735</v>
      </c>
      <c r="CB34" s="20">
        <f t="shared" si="10"/>
        <v>98.183437633868849</v>
      </c>
      <c r="CC34" s="59">
        <f t="shared" si="11"/>
        <v>338.23156084668642</v>
      </c>
      <c r="CD34" s="59">
        <f ca="1">AVERAGE(OFFSET($CC$3,0,0,'Données projet'!$E$12+1,1))-AVERAGE(OFFSET($H$3,0,0,'Données projet'!$E$12+1,1))</f>
        <v>184.11352167663844</v>
      </c>
      <c r="CE34" s="59">
        <f t="shared" si="40"/>
        <v>145.86653500981791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5.5720000000000001</v>
      </c>
      <c r="CT34" s="12">
        <f>IF('Données projet'!$A$140&gt;35,CT33+CS34-DB33,IF(A34&lt;'Données projet'!$A$140,$CQ$205^A34,IF(A34='Données projet'!$A$140,'Données projet'!$B$140,CT33+CS34-DB33)))</f>
        <v>70.942000000000007</v>
      </c>
      <c r="CU34" s="17">
        <f>CT34*VLOOKUP('Données projet'!$B$13,Paramètres!$A$1:$I$89,3,0)*VLOOKUP('Données projet'!$B$13,Paramètres!$A$1:$I$89,5,0)</f>
        <v>34.123102000000003</v>
      </c>
      <c r="CV34" s="13">
        <f t="shared" si="41"/>
        <v>10.426864343865368</v>
      </c>
      <c r="CW34" s="20">
        <f t="shared" si="13"/>
        <v>77.591191382232182</v>
      </c>
      <c r="CX34" s="59">
        <f t="shared" si="14"/>
        <v>317.63931459504977</v>
      </c>
      <c r="CY34" s="59">
        <f ca="1">AVERAGE(OFFSET($CX$3,0,0,'Données projet'!$E$13+1,1))-AVERAGE(OFFSET($H$3,0,0,'Données projet'!$E$13+1,1))</f>
        <v>303.76035885073708</v>
      </c>
      <c r="CZ34" s="59">
        <f t="shared" si="42"/>
        <v>127.43112562890414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7.8</v>
      </c>
      <c r="DO34" s="12">
        <f>IF('Données projet'!$A$166&gt;35,DO33+DN34-DW33,IF(A34&lt;'Données projet'!$A$166,$DL$205^A34,IF(A34='Données projet'!$A$166,'Données projet'!$B$166,DO33+DN34-DW33)))</f>
        <v>176.80000000000004</v>
      </c>
      <c r="DP34" s="17">
        <f>DO34*VLOOKUP('Données projet'!$B$14,Paramètres!$A$1:$I$89,3,0)*VLOOKUP('Données projet'!$B$14,Paramètres!$A$1:$I$89,5,0)</f>
        <v>102.04896000000002</v>
      </c>
      <c r="DQ34" s="13">
        <f t="shared" si="43"/>
        <v>27.44955630464851</v>
      </c>
      <c r="DR34" s="20">
        <f t="shared" si="16"/>
        <v>225.54324923059619</v>
      </c>
      <c r="DS34" s="59">
        <f t="shared" si="17"/>
        <v>465.59137244341377</v>
      </c>
      <c r="DT34" s="59">
        <f ca="1">AVERAGE(OFFSET($DS$3,0,0,'Données projet'!$E$14+1,1))-AVERAGE(OFFSET($H$3,0,0,'Données projet'!$E$14+1,1))</f>
        <v>243.65374431792841</v>
      </c>
      <c r="DU34" s="59">
        <f t="shared" si="44"/>
        <v>271.60754570002939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8</v>
      </c>
      <c r="EJ34" s="12">
        <f>IF('Données projet'!$A$192&gt;35,EJ33+EI34-ER33,IF(A34&lt;'Données projet'!$A$192,$EG$205^A34,IF(A34='Données projet'!$A$192,'Données projet'!$B$192,EJ33+EI34-ER33)))</f>
        <v>84.000000000000028</v>
      </c>
      <c r="EK34" s="17">
        <f>EJ34*VLOOKUP('Données projet'!$B$15,Paramètres!$A$1:$I$89,3,0)*VLOOKUP('Données projet'!$B$15,Paramètres!$A$1:$I$89,5,0)</f>
        <v>56.347200000000022</v>
      </c>
      <c r="EL34" s="13">
        <f t="shared" si="45"/>
        <v>16.241377637196607</v>
      </c>
      <c r="EM34" s="20">
        <f t="shared" si="19"/>
        <v>126.42510605145078</v>
      </c>
      <c r="EN34" s="59">
        <f t="shared" si="20"/>
        <v>366.47322926426835</v>
      </c>
      <c r="EO34" s="59">
        <f ca="1">AVERAGE(OFFSET($EN$3,0,0,'Données projet'!$E$15+1,1))-AVERAGE(OFFSET($H$3,0,0,'Données projet'!$E$15+1,1))</f>
        <v>321.44781099085594</v>
      </c>
      <c r="EP34" s="59">
        <f t="shared" si="46"/>
        <v>201.22243186578183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8.6</v>
      </c>
      <c r="FE34" s="12">
        <f>IF('Données projet'!$A$218&gt;35,FE33+FD34-FM33,IF(A34&lt;'Données projet'!$A$218,$FB$205^A34,IF(A34='Données projet'!$A$218,'Données projet'!$B$218,FE33+FD34-FM33)))</f>
        <v>101.59999999999998</v>
      </c>
      <c r="FF34" s="17">
        <f>FE34*VLOOKUP('Données projet'!$B$16,Paramètres!$A$1:$I$89,3,0)*VLOOKUP('Données projet'!$B$16,Paramètres!$A$1:$I$89,5,0)</f>
        <v>88.75775999999999</v>
      </c>
      <c r="FG34" s="13">
        <f t="shared" si="47"/>
        <v>24.265384701755004</v>
      </c>
      <c r="FH34" s="20">
        <f t="shared" si="22"/>
        <v>196.84864368888995</v>
      </c>
      <c r="FI34" s="59">
        <f t="shared" si="23"/>
        <v>436.89676690170751</v>
      </c>
      <c r="FJ34" s="59">
        <f ca="1">AVERAGE(OFFSET($FI$3,0,0,'Données projet'!$E$16+1,1))-AVERAGE(OFFSET($H$3,0,0,'Données projet'!$E$16+1,1))</f>
        <v>285.8437404763045</v>
      </c>
      <c r="FK34" s="59">
        <f t="shared" si="48"/>
        <v>276.01618888357268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10.8</v>
      </c>
      <c r="FZ34" s="12">
        <f>IF('Données projet'!$A$244&gt;35,FZ33+FY34-GH33,IF(A34&lt;'Données projet'!$A$244,$FW$205^A34,IF(A34='Données projet'!$A$244,'Données projet'!$B$244,FZ33+FY34-GH33)))</f>
        <v>128.79999999999998</v>
      </c>
      <c r="GA34" s="17">
        <f>FZ34*VLOOKUP('Données projet'!$B$17,Paramètres!$A$1:$I$89,3,0)*VLOOKUP('Données projet'!$B$17,Paramètres!$A$1:$I$89,5,0)</f>
        <v>102.47327999999999</v>
      </c>
      <c r="GB34" s="13">
        <f t="shared" si="49"/>
        <v>27.550381949314474</v>
      </c>
      <c r="GC34" s="20">
        <f t="shared" si="25"/>
        <v>226.45787789505599</v>
      </c>
      <c r="GD34" s="59">
        <f t="shared" si="26"/>
        <v>466.50600110787354</v>
      </c>
      <c r="GE34" s="59">
        <f ca="1">AVERAGE(OFFSET($GD$3,0,0,'Données projet'!$E$17+1,1))-AVERAGE(OFFSET($H$3,0,0,'Données projet'!$E$17+1,1))</f>
        <v>323.01113210765487</v>
      </c>
      <c r="GF34" s="59">
        <f t="shared" si="50"/>
        <v>311.68541696405975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8.6</v>
      </c>
      <c r="GU34" s="12">
        <f>IF('Données projet'!$A$270&gt;35,GU33+GT34-HC33,IF(A34&lt;'Données projet'!$A$270,$GR$205^A34,IF(A34='Données projet'!$A$270,'Données projet'!$B$270,GU33+GT34-HC33)))</f>
        <v>101.59999999999998</v>
      </c>
      <c r="GV34" s="17">
        <f>GU34*VLOOKUP('Données projet'!$B$18,Paramètres!$A$1:$I$89,3,0)*VLOOKUP('Données projet'!$B$18,Paramètres!$A$1:$I$89,5,0)</f>
        <v>88.75775999999999</v>
      </c>
      <c r="GW34" s="13">
        <f t="shared" si="51"/>
        <v>24.265384701755004</v>
      </c>
      <c r="GX34" s="20">
        <f t="shared" si="28"/>
        <v>196.84864368888995</v>
      </c>
      <c r="GY34" s="59">
        <f t="shared" si="29"/>
        <v>436.89676690170751</v>
      </c>
      <c r="GZ34" s="59">
        <f ca="1">AVERAGE(OFFSET($GY$3,0,0,'Données projet'!$E$18+1,1))-AVERAGE(OFFSET($H$3,0,0,'Données projet'!$E$18+1,1))</f>
        <v>285.8437404763045</v>
      </c>
      <c r="HA34" s="59">
        <f t="shared" si="52"/>
        <v>276.01618888357268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</v>
      </c>
      <c r="N35" s="13">
        <f>IF('Données projet'!$A$36&gt;35,N34+M35-V34,IF(A35&lt;'Données projet'!$A$36,$K$205^A35,IF(A35='Données projet'!$A$36,'Données projet'!$B$36,N34+M35-V34)))</f>
        <v>63.999999999999986</v>
      </c>
      <c r="O35" s="13">
        <f>N35*VLOOKUP('Données projet'!$B$9,Paramètres!$A$1:$I$89,3,0)*VLOOKUP('Données projet'!$B$9,Paramètres!$A$1:$I$89,5,0)</f>
        <v>57.907199999999989</v>
      </c>
      <c r="P35" s="13">
        <f t="shared" si="33"/>
        <v>16.638055172385986</v>
      </c>
      <c r="Q35" s="20">
        <f t="shared" ref="Q35:Q66" si="53">(O35+P35)*0.475*44/12</f>
        <v>129.83298609190555</v>
      </c>
      <c r="R35" s="59">
        <f t="shared" si="0"/>
        <v>370.80548857243087</v>
      </c>
      <c r="S35" s="59">
        <f ca="1">AVERAGE(OFFSET($R$3,0,0,'Données projet'!$E$9+1,1))-AVERAGE(OFFSET($H$3,0,0,'Données projet'!$E$9+1,1))</f>
        <v>315.34103933739129</v>
      </c>
      <c r="T35" s="59">
        <f t="shared" si="34"/>
        <v>165.80901858372513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17.605999999999995</v>
      </c>
      <c r="AI35" s="13">
        <f>IF('Données projet'!$A$62&gt;35,AI34+AH35-AQ34,IF(A35&lt;'Données projet'!$A$62,$AF$205^A35,IF(A35='Données projet'!$A$62,'Données projet'!$B$62,AI34+AH35-AQ34)))</f>
        <v>239.78799999999995</v>
      </c>
      <c r="AJ35" s="13">
        <f>AI35*VLOOKUP('Données projet'!$B$10,Paramètres!$A$1:$I$89,3,0)*VLOOKUP('Données projet'!$B$10,Paramètres!$A$1:$I$89,5,0)</f>
        <v>143.393224</v>
      </c>
      <c r="AK35" s="13">
        <f t="shared" si="35"/>
        <v>37.073258704515631</v>
      </c>
      <c r="AL35" s="20">
        <f t="shared" si="4"/>
        <v>314.31245737703142</v>
      </c>
      <c r="AM35" s="59">
        <f t="shared" si="5"/>
        <v>555.28495985755671</v>
      </c>
      <c r="AN35" s="59">
        <f ca="1">AVERAGE(OFFSET($AM$3,0,0,'Données projet'!$E$10+1,1))-AVERAGE(OFFSET($H$3,0,0,'Données projet'!$E$10+1,1))</f>
        <v>317.328615425664</v>
      </c>
      <c r="AO35" s="59">
        <f t="shared" si="36"/>
        <v>324.95872842255744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10.802056999194519</v>
      </c>
      <c r="AV35" s="21">
        <f>EXP(-LN(2)/25)*AV34+(1-EXP(-LN(2)/25))/(LN(2)/25)*Calculateur!AQ35*Calculateur!AS35*VLOOKUP('Données projet'!$B$10,Paramètres!$A$1:$I$89,3,0)*0.475*44/12</f>
        <v>20.424468997319554</v>
      </c>
      <c r="AW35" s="21">
        <f>EXP(-LN(2)/2)*AW34+(1-EXP(-LN(2)/2))/(LN(2)/2)*AQ35*AT35*VLOOKUP('Données projet'!$B$10,Paramètres!$A$1:$I$89,3,0)*0.475*44/12</f>
        <v>4.0730480679162406</v>
      </c>
      <c r="AX35" s="21">
        <f t="shared" si="6"/>
        <v>35.299574064430317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>
        <f>VLOOKUP(A35,'Données projet'!$A$87:$I$107,2,0)</f>
        <v>152.74</v>
      </c>
      <c r="BB35" s="12">
        <f>VLOOKUP(A35,'Données projet'!$A$87:$I$107,9,0)</f>
        <v>12.094999999999999</v>
      </c>
      <c r="BC35" s="12">
        <f t="array" ref="BC35">INDEX(BB:BB,MIN(IF(ISNUMBER(BB35:BB231),ROW(BB35:BB231),"")))</f>
        <v>12.094999999999999</v>
      </c>
      <c r="BD35" s="12">
        <f>IF('Données projet'!$A$88&gt;35,BD34+BC35-BL34,IF(A35&lt;'Données projet'!$A$88,$BA$205^A35,IF(A35='Données projet'!$A$88,'Données projet'!$B$88,BD34+BC35-BL34)))</f>
        <v>152.74</v>
      </c>
      <c r="BE35" s="13">
        <f>BD35*VLOOKUP('Données projet'!$B$11,Paramètres!$A$1:$I$89,3,0)*VLOOKUP('Données projet'!$B$11,Paramètres!$A$1:$I$89,5,0)</f>
        <v>175.95648</v>
      </c>
      <c r="BF35" s="13">
        <f t="shared" si="37"/>
        <v>44.421391360569515</v>
      </c>
      <c r="BG35" s="20">
        <f t="shared" si="7"/>
        <v>383.82479261965858</v>
      </c>
      <c r="BH35" s="59">
        <f t="shared" si="8"/>
        <v>624.79729510018387</v>
      </c>
      <c r="BI35" s="59">
        <f ca="1">AVERAGE(OFFSET($BH$3,0,0,'Données projet'!$E$11+1,1))-AVERAGE(OFFSET($H$3,0,0,'Données projet'!$E$11+1,1))</f>
        <v>418.31716673276725</v>
      </c>
      <c r="BJ35" s="59">
        <f t="shared" si="38"/>
        <v>472.37891533957929</v>
      </c>
      <c r="BK35" s="15">
        <f>IF(ISNA(VLOOKUP(A35,'Données projet'!$A$87:$I$107,3,0)),0,VLOOKUP(A35,'Données projet'!$A$87:$I$107,3,0))</f>
        <v>2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0.13500000000000001</v>
      </c>
      <c r="BN35" s="16">
        <f>IF(ISNA(VLOOKUP(A35,'Données projet'!$A$87:$I$107,6,0)),0%,VLOOKUP(A35,'Données projet'!$A$87:$I$107,6,0)*VLOOKUP('Données projet'!$B$11,Paramètres!$A$1:$I$89,7,0))</f>
        <v>0.17550000000000002</v>
      </c>
      <c r="BO35" s="16">
        <f>IF(ISNA(VLOOKUP(A35,'Données projet'!$A$87:$I$107,7,0)),0%,VLOOKUP(A35,'Données projet'!$A$87:$I$107,7,0))</f>
        <v>0.31</v>
      </c>
      <c r="BP35" s="21">
        <f>EXP(-LN(2)/35)*BP34+(1-EXP(-LN(2)/35))/(LN(2)/35)*BL35*BM35*VLOOKUP('Données projet'!$B$11,Paramètres!$A$1:$I$89,3,0)*0.475*44/12</f>
        <v>2.6895481587480545</v>
      </c>
      <c r="BQ35" s="21">
        <f>EXP(-LN(2)/25)*BQ34+(1-EXP(-LN(2)/25))/(LN(2)/25)*Calculateur!BL35*Calculateur!BN35*VLOOKUP('Données projet'!$B$11,Paramètres!$A$1:$I$89,3,0)*0.475*44/12</f>
        <v>15.538978360153795</v>
      </c>
      <c r="BR35" s="21">
        <f>EXP(-LN(2)/2)*BR34+(1-EXP(-LN(2)/2))/(LN(2)/2)*BL35*BO35*VLOOKUP('Données projet'!$B$11,Paramètres!$A$1:$I$89,3,0)*0.475*44/12</f>
        <v>5.5959358494364251</v>
      </c>
      <c r="BS35" s="22">
        <f t="shared" si="9"/>
        <v>23.824462368338274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6.2833333333333314</v>
      </c>
      <c r="BY35" s="12">
        <f>IF('Données projet'!$A$114&gt;35,BY34+BX35-CG34,IF(A35&lt;'Données projet'!$A$114,$BV$205^A35,IF(A35='Données projet'!$A$114,'Données projet'!$B$114,BY34+BX35-CG34)))</f>
        <v>80.576666666666668</v>
      </c>
      <c r="BZ35" s="13">
        <f>BY35*VLOOKUP('Données projet'!$B$12,Paramètres!$A$1:$I$89,3,0)*VLOOKUP('Données projet'!$B$12,Paramètres!$A$1:$I$89,5,0)</f>
        <v>47.137350000000005</v>
      </c>
      <c r="CA35" s="13">
        <f t="shared" si="39"/>
        <v>13.871950271229126</v>
      </c>
      <c r="CB35" s="20">
        <f t="shared" si="10"/>
        <v>106.2578646390574</v>
      </c>
      <c r="CC35" s="59">
        <f t="shared" si="11"/>
        <v>347.23036711958275</v>
      </c>
      <c r="CD35" s="59">
        <f ca="1">AVERAGE(OFFSET($CC$3,0,0,'Données projet'!$E$12+1,1))-AVERAGE(OFFSET($H$3,0,0,'Données projet'!$E$12+1,1))</f>
        <v>184.11352167663844</v>
      </c>
      <c r="CE35" s="59">
        <f t="shared" si="40"/>
        <v>145.86653500981791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5.5720000000000001</v>
      </c>
      <c r="CT35" s="12">
        <f>IF('Données projet'!$A$140&gt;35,CT34+CS35-DB34,IF(A35&lt;'Données projet'!$A$140,$CQ$205^A35,IF(A35='Données projet'!$A$140,'Données projet'!$B$140,CT34+CS35-DB34)))</f>
        <v>76.51400000000001</v>
      </c>
      <c r="CU35" s="17">
        <f>CT35*VLOOKUP('Données projet'!$B$13,Paramètres!$A$1:$I$89,3,0)*VLOOKUP('Données projet'!$B$13,Paramètres!$A$1:$I$89,5,0)</f>
        <v>36.803234000000003</v>
      </c>
      <c r="CV35" s="13">
        <f t="shared" si="41"/>
        <v>11.147280242774588</v>
      </c>
      <c r="CW35" s="20">
        <f t="shared" si="13"/>
        <v>83.513812306165747</v>
      </c>
      <c r="CX35" s="59">
        <f t="shared" si="14"/>
        <v>324.48631478669108</v>
      </c>
      <c r="CY35" s="59">
        <f ca="1">AVERAGE(OFFSET($CX$3,0,0,'Données projet'!$E$13+1,1))-AVERAGE(OFFSET($H$3,0,0,'Données projet'!$E$13+1,1))</f>
        <v>303.76035885073708</v>
      </c>
      <c r="CZ35" s="59">
        <f t="shared" si="42"/>
        <v>127.43112562890414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7.8</v>
      </c>
      <c r="DO35" s="12">
        <f>IF('Données projet'!$A$166&gt;35,DO34+DN35-DW34,IF(A35&lt;'Données projet'!$A$166,$DL$205^A35,IF(A35='Données projet'!$A$166,'Données projet'!$B$166,DO34+DN35-DW34)))</f>
        <v>184.60000000000005</v>
      </c>
      <c r="DP35" s="17">
        <f>DO35*VLOOKUP('Données projet'!$B$14,Paramètres!$A$1:$I$89,3,0)*VLOOKUP('Données projet'!$B$14,Paramètres!$A$1:$I$89,5,0)</f>
        <v>106.55112000000004</v>
      </c>
      <c r="DQ35" s="13">
        <f t="shared" si="43"/>
        <v>28.516901173008534</v>
      </c>
      <c r="DR35" s="20">
        <f t="shared" si="16"/>
        <v>235.24347020965658</v>
      </c>
      <c r="DS35" s="59">
        <f t="shared" si="17"/>
        <v>476.2159726901819</v>
      </c>
      <c r="DT35" s="59">
        <f ca="1">AVERAGE(OFFSET($DS$3,0,0,'Données projet'!$E$14+1,1))-AVERAGE(OFFSET($H$3,0,0,'Données projet'!$E$14+1,1))</f>
        <v>243.65374431792841</v>
      </c>
      <c r="DU35" s="59">
        <f t="shared" si="44"/>
        <v>271.60754570002939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8</v>
      </c>
      <c r="EJ35" s="12">
        <f>IF('Données projet'!$A$192&gt;35,EJ34+EI35-ER34,IF(A35&lt;'Données projet'!$A$192,$EG$205^A35,IF(A35='Données projet'!$A$192,'Données projet'!$B$192,EJ34+EI35-ER34)))</f>
        <v>92.000000000000028</v>
      </c>
      <c r="EK35" s="17">
        <f>EJ35*VLOOKUP('Données projet'!$B$15,Paramètres!$A$1:$I$89,3,0)*VLOOKUP('Données projet'!$B$15,Paramètres!$A$1:$I$89,5,0)</f>
        <v>61.713600000000014</v>
      </c>
      <c r="EL35" s="13">
        <f t="shared" si="45"/>
        <v>17.600808249116124</v>
      </c>
      <c r="EM35" s="20">
        <f t="shared" si="19"/>
        <v>138.13926103387726</v>
      </c>
      <c r="EN35" s="59">
        <f t="shared" si="20"/>
        <v>379.11176351440258</v>
      </c>
      <c r="EO35" s="59">
        <f ca="1">AVERAGE(OFFSET($EN$3,0,0,'Données projet'!$E$15+1,1))-AVERAGE(OFFSET($H$3,0,0,'Données projet'!$E$15+1,1))</f>
        <v>321.44781099085594</v>
      </c>
      <c r="EP35" s="59">
        <f t="shared" si="46"/>
        <v>201.22243186578183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8.6</v>
      </c>
      <c r="FE35" s="12">
        <f>IF('Données projet'!$A$218&gt;35,FE34+FD35-FM34,IF(A35&lt;'Données projet'!$A$218,$FB$205^A35,IF(A35='Données projet'!$A$218,'Données projet'!$B$218,FE34+FD35-FM34)))</f>
        <v>110.19999999999997</v>
      </c>
      <c r="FF35" s="17">
        <f>FE35*VLOOKUP('Données projet'!$B$16,Paramètres!$A$1:$I$89,3,0)*VLOOKUP('Données projet'!$B$16,Paramètres!$A$1:$I$89,5,0)</f>
        <v>96.270719999999983</v>
      </c>
      <c r="FG35" s="13">
        <f t="shared" si="47"/>
        <v>26.071592384845928</v>
      </c>
      <c r="FH35" s="20">
        <f t="shared" si="22"/>
        <v>213.07952740360665</v>
      </c>
      <c r="FI35" s="59">
        <f t="shared" si="23"/>
        <v>454.05202988413197</v>
      </c>
      <c r="FJ35" s="59">
        <f ca="1">AVERAGE(OFFSET($FI$3,0,0,'Données projet'!$E$16+1,1))-AVERAGE(OFFSET($H$3,0,0,'Données projet'!$E$16+1,1))</f>
        <v>285.8437404763045</v>
      </c>
      <c r="FK35" s="59">
        <f t="shared" si="48"/>
        <v>276.01618888357268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10.8</v>
      </c>
      <c r="FZ35" s="12">
        <f>IF('Données projet'!$A$244&gt;35,FZ34+FY35-GH34,IF(A35&lt;'Données projet'!$A$244,$FW$205^A35,IF(A35='Données projet'!$A$244,'Données projet'!$B$244,FZ34+FY35-GH34)))</f>
        <v>139.6</v>
      </c>
      <c r="GA35" s="17">
        <f>FZ35*VLOOKUP('Données projet'!$B$17,Paramètres!$A$1:$I$89,3,0)*VLOOKUP('Données projet'!$B$17,Paramètres!$A$1:$I$89,5,0)</f>
        <v>111.06576</v>
      </c>
      <c r="GB35" s="13">
        <f t="shared" si="49"/>
        <v>29.581944857062648</v>
      </c>
      <c r="GC35" s="20">
        <f t="shared" si="25"/>
        <v>244.96141929271744</v>
      </c>
      <c r="GD35" s="59">
        <f t="shared" si="26"/>
        <v>485.93392177324279</v>
      </c>
      <c r="GE35" s="59">
        <f ca="1">AVERAGE(OFFSET($GD$3,0,0,'Données projet'!$E$17+1,1))-AVERAGE(OFFSET($H$3,0,0,'Données projet'!$E$17+1,1))</f>
        <v>323.01113210765487</v>
      </c>
      <c r="GF35" s="59">
        <f t="shared" si="50"/>
        <v>311.68541696405975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8.6</v>
      </c>
      <c r="GU35" s="12">
        <f>IF('Données projet'!$A$270&gt;35,GU34+GT35-HC34,IF(A35&lt;'Données projet'!$A$270,$GR$205^A35,IF(A35='Données projet'!$A$270,'Données projet'!$B$270,GU34+GT35-HC34)))</f>
        <v>110.19999999999997</v>
      </c>
      <c r="GV35" s="17">
        <f>GU35*VLOOKUP('Données projet'!$B$18,Paramètres!$A$1:$I$89,3,0)*VLOOKUP('Données projet'!$B$18,Paramètres!$A$1:$I$89,5,0)</f>
        <v>96.270719999999983</v>
      </c>
      <c r="GW35" s="13">
        <f t="shared" si="51"/>
        <v>26.071592384845928</v>
      </c>
      <c r="GX35" s="20">
        <f t="shared" si="28"/>
        <v>213.07952740360665</v>
      </c>
      <c r="GY35" s="59">
        <f t="shared" si="29"/>
        <v>454.05202988413197</v>
      </c>
      <c r="GZ35" s="59">
        <f ca="1">AVERAGE(OFFSET($GY$3,0,0,'Données projet'!$E$18+1,1))-AVERAGE(OFFSET($H$3,0,0,'Données projet'!$E$18+1,1))</f>
        <v>285.8437404763045</v>
      </c>
      <c r="HA35" s="59">
        <f t="shared" si="52"/>
        <v>276.01618888357268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</v>
      </c>
      <c r="N36" s="13">
        <f>IF('Données projet'!$A$36&gt;35,N35+M36-V35,IF(A36&lt;'Données projet'!$A$36,$K$205^A36,IF(A36='Données projet'!$A$36,'Données projet'!$B$36,N35+M36-V35)))</f>
        <v>68.999999999999986</v>
      </c>
      <c r="O36" s="13">
        <f>N36*VLOOKUP('Données projet'!$B$9,Paramètres!$A$1:$I$89,3,0)*VLOOKUP('Données projet'!$B$9,Paramètres!$A$1:$I$89,5,0)</f>
        <v>62.431199999999983</v>
      </c>
      <c r="P36" s="13">
        <f t="shared" si="33"/>
        <v>17.781524466058684</v>
      </c>
      <c r="Q36" s="20">
        <f t="shared" si="53"/>
        <v>139.70382844505215</v>
      </c>
      <c r="R36" s="59">
        <f t="shared" si="0"/>
        <v>381.58467427959289</v>
      </c>
      <c r="S36" s="59">
        <f ca="1">AVERAGE(OFFSET($R$3,0,0,'Données projet'!$E$9+1,1))-AVERAGE(OFFSET($H$3,0,0,'Données projet'!$E$9+1,1))</f>
        <v>315.34103933739129</v>
      </c>
      <c r="T36" s="59">
        <f t="shared" si="34"/>
        <v>165.80901858372513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17.605999999999995</v>
      </c>
      <c r="AI36" s="13">
        <f>IF('Données projet'!$A$62&gt;35,AI35+AH36-AQ35,IF(A36&lt;'Données projet'!$A$62,$AF$205^A36,IF(A36='Données projet'!$A$62,'Données projet'!$B$62,AI35+AH36-AQ35)))</f>
        <v>257.39399999999995</v>
      </c>
      <c r="AJ36" s="13">
        <f>AI36*VLOOKUP('Données projet'!$B$10,Paramètres!$A$1:$I$89,3,0)*VLOOKUP('Données projet'!$B$10,Paramètres!$A$1:$I$89,5,0)</f>
        <v>153.92161199999998</v>
      </c>
      <c r="AK36" s="13">
        <f t="shared" si="35"/>
        <v>39.468442995886647</v>
      </c>
      <c r="AL36" s="20">
        <f t="shared" si="4"/>
        <v>336.82101245116922</v>
      </c>
      <c r="AM36" s="59">
        <f t="shared" si="5"/>
        <v>578.70185828570993</v>
      </c>
      <c r="AN36" s="59">
        <f ca="1">AVERAGE(OFFSET($AM$3,0,0,'Données projet'!$E$10+1,1))-AVERAGE(OFFSET($H$3,0,0,'Données projet'!$E$10+1,1))</f>
        <v>317.328615425664</v>
      </c>
      <c r="AO36" s="59">
        <f t="shared" si="36"/>
        <v>324.95872842255744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10.590235250044513</v>
      </c>
      <c r="AV36" s="21">
        <f>EXP(-LN(2)/25)*AV35+(1-EXP(-LN(2)/25))/(LN(2)/25)*Calculateur!AQ36*Calculateur!AS36*VLOOKUP('Données projet'!$B$10,Paramètres!$A$1:$I$89,3,0)*0.475*44/12</f>
        <v>19.865960818511706</v>
      </c>
      <c r="AW36" s="21">
        <f>EXP(-LN(2)/2)*AW35+(1-EXP(-LN(2)/2))/(LN(2)/2)*AQ36*AT36*VLOOKUP('Données projet'!$B$10,Paramètres!$A$1:$I$89,3,0)*0.475*44/12</f>
        <v>2.8800799089223394</v>
      </c>
      <c r="AX36" s="21">
        <f t="shared" si="6"/>
        <v>33.336275977478557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13.63</v>
      </c>
      <c r="BD36" s="12">
        <f>IF('Données projet'!$A$88&gt;35,BD35+BC36-BL35,IF(A36&lt;'Données projet'!$A$88,$BA$205^A36,IF(A36='Données projet'!$A$88,'Données projet'!$B$88,BD35+BC36-BL35)))</f>
        <v>166.37</v>
      </c>
      <c r="BE36" s="13">
        <f>BD36*VLOOKUP('Données projet'!$B$11,Paramètres!$A$1:$I$89,3,0)*VLOOKUP('Données projet'!$B$11,Paramètres!$A$1:$I$89,5,0)</f>
        <v>191.65824000000001</v>
      </c>
      <c r="BF36" s="13">
        <f t="shared" si="37"/>
        <v>47.90638055377417</v>
      </c>
      <c r="BG36" s="20">
        <f t="shared" si="7"/>
        <v>417.2417141311567</v>
      </c>
      <c r="BH36" s="59">
        <f t="shared" si="8"/>
        <v>659.12255996569741</v>
      </c>
      <c r="BI36" s="59">
        <f ca="1">AVERAGE(OFFSET($BH$3,0,0,'Données projet'!$E$11+1,1))-AVERAGE(OFFSET($H$3,0,0,'Données projet'!$E$11+1,1))</f>
        <v>418.31716673276725</v>
      </c>
      <c r="BJ36" s="59">
        <f t="shared" si="38"/>
        <v>472.37891533957929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2.6368077598173998</v>
      </c>
      <c r="BQ36" s="21">
        <f>EXP(-LN(2)/25)*BQ35+(1-EXP(-LN(2)/25))/(LN(2)/25)*Calculateur!BL36*Calculateur!BN36*VLOOKUP('Données projet'!$B$11,Paramètres!$A$1:$I$89,3,0)*0.475*44/12</f>
        <v>15.114064179736033</v>
      </c>
      <c r="BR36" s="21">
        <f>EXP(-LN(2)/2)*BR35+(1-EXP(-LN(2)/2))/(LN(2)/2)*BL36*BO36*VLOOKUP('Données projet'!$B$11,Paramètres!$A$1:$I$89,3,0)*0.475*44/12</f>
        <v>3.9569241862213995</v>
      </c>
      <c r="BS36" s="22">
        <f t="shared" si="9"/>
        <v>21.707796125774834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6.2833333333333314</v>
      </c>
      <c r="BY36" s="12">
        <f>IF('Données projet'!$A$114&gt;35,BY35+BX36-CG35,IF(A36&lt;'Données projet'!$A$114,$BV$205^A36,IF(A36='Données projet'!$A$114,'Données projet'!$B$114,BY35+BX36-CG35)))</f>
        <v>86.86</v>
      </c>
      <c r="BZ36" s="13">
        <f>BY36*VLOOKUP('Données projet'!$B$12,Paramètres!$A$1:$I$89,3,0)*VLOOKUP('Données projet'!$B$12,Paramètres!$A$1:$I$89,5,0)</f>
        <v>50.813100000000006</v>
      </c>
      <c r="CA36" s="13">
        <f t="shared" si="39"/>
        <v>14.823548735162552</v>
      </c>
      <c r="CB36" s="20">
        <f t="shared" si="10"/>
        <v>114.31716321374144</v>
      </c>
      <c r="CC36" s="59">
        <f t="shared" si="11"/>
        <v>356.19800904828219</v>
      </c>
      <c r="CD36" s="59">
        <f ca="1">AVERAGE(OFFSET($CC$3,0,0,'Données projet'!$E$12+1,1))-AVERAGE(OFFSET($H$3,0,0,'Données projet'!$E$12+1,1))</f>
        <v>184.11352167663844</v>
      </c>
      <c r="CE36" s="59">
        <f t="shared" si="40"/>
        <v>145.86653500981791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5.5720000000000001</v>
      </c>
      <c r="CT36" s="12">
        <f>IF('Données projet'!$A$140&gt;35,CT35+CS36-DB35,IF(A36&lt;'Données projet'!$A$140,$CQ$205^A36,IF(A36='Données projet'!$A$140,'Données projet'!$B$140,CT35+CS36-DB35)))</f>
        <v>82.086000000000013</v>
      </c>
      <c r="CU36" s="17">
        <f>CT36*VLOOKUP('Données projet'!$B$13,Paramètres!$A$1:$I$89,3,0)*VLOOKUP('Données projet'!$B$13,Paramètres!$A$1:$I$89,5,0)</f>
        <v>39.483366000000004</v>
      </c>
      <c r="CV36" s="13">
        <f t="shared" si="41"/>
        <v>11.861609576379569</v>
      </c>
      <c r="CW36" s="20">
        <f t="shared" si="13"/>
        <v>89.425832462194421</v>
      </c>
      <c r="CX36" s="59">
        <f t="shared" si="14"/>
        <v>331.30667829673519</v>
      </c>
      <c r="CY36" s="59">
        <f ca="1">AVERAGE(OFFSET($CX$3,0,0,'Données projet'!$E$13+1,1))-AVERAGE(OFFSET($H$3,0,0,'Données projet'!$E$13+1,1))</f>
        <v>303.76035885073708</v>
      </c>
      <c r="CZ36" s="59">
        <f t="shared" si="42"/>
        <v>127.43112562890414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7.8</v>
      </c>
      <c r="DO36" s="12">
        <f>IF('Données projet'!$A$166&gt;35,DO35+DN36-DW35,IF(A36&lt;'Données projet'!$A$166,$DL$205^A36,IF(A36='Données projet'!$A$166,'Données projet'!$B$166,DO35+DN36-DW35)))</f>
        <v>192.40000000000006</v>
      </c>
      <c r="DP36" s="17">
        <f>DO36*VLOOKUP('Données projet'!$B$14,Paramètres!$A$1:$I$89,3,0)*VLOOKUP('Données projet'!$B$14,Paramètres!$A$1:$I$89,5,0)</f>
        <v>111.05328000000003</v>
      </c>
      <c r="DQ36" s="13">
        <f t="shared" si="43"/>
        <v>29.579007750773375</v>
      </c>
      <c r="DR36" s="20">
        <f t="shared" si="16"/>
        <v>244.93456783259703</v>
      </c>
      <c r="DS36" s="59">
        <f t="shared" si="17"/>
        <v>486.81541366713776</v>
      </c>
      <c r="DT36" s="59">
        <f ca="1">AVERAGE(OFFSET($DS$3,0,0,'Données projet'!$E$14+1,1))-AVERAGE(OFFSET($H$3,0,0,'Données projet'!$E$14+1,1))</f>
        <v>243.65374431792841</v>
      </c>
      <c r="DU36" s="59">
        <f t="shared" si="44"/>
        <v>271.60754570002939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8</v>
      </c>
      <c r="EJ36" s="12">
        <f>IF('Données projet'!$A$192&gt;35,EJ35+EI36-ER35,IF(A36&lt;'Données projet'!$A$192,$EG$205^A36,IF(A36='Données projet'!$A$192,'Données projet'!$B$192,EJ35+EI36-ER35)))</f>
        <v>100.00000000000003</v>
      </c>
      <c r="EK36" s="17">
        <f>EJ36*VLOOKUP('Données projet'!$B$15,Paramètres!$A$1:$I$89,3,0)*VLOOKUP('Données projet'!$B$15,Paramètres!$A$1:$I$89,5,0)</f>
        <v>67.080000000000027</v>
      </c>
      <c r="EL36" s="13">
        <f t="shared" si="45"/>
        <v>18.946530238513894</v>
      </c>
      <c r="EM36" s="20">
        <f t="shared" si="19"/>
        <v>149.82954016541174</v>
      </c>
      <c r="EN36" s="59">
        <f t="shared" si="20"/>
        <v>391.71038599995245</v>
      </c>
      <c r="EO36" s="59">
        <f ca="1">AVERAGE(OFFSET($EN$3,0,0,'Données projet'!$E$15+1,1))-AVERAGE(OFFSET($H$3,0,0,'Données projet'!$E$15+1,1))</f>
        <v>321.44781099085594</v>
      </c>
      <c r="EP36" s="59">
        <f t="shared" si="46"/>
        <v>201.22243186578183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8.6</v>
      </c>
      <c r="FE36" s="12">
        <f>IF('Données projet'!$A$218&gt;35,FE35+FD36-FM35,IF(A36&lt;'Données projet'!$A$218,$FB$205^A36,IF(A36='Données projet'!$A$218,'Données projet'!$B$218,FE35+FD36-FM35)))</f>
        <v>118.79999999999997</v>
      </c>
      <c r="FF36" s="17">
        <f>FE36*VLOOKUP('Données projet'!$B$16,Paramètres!$A$1:$I$89,3,0)*VLOOKUP('Données projet'!$B$16,Paramètres!$A$1:$I$89,5,0)</f>
        <v>103.78367999999999</v>
      </c>
      <c r="FG36" s="13">
        <f t="shared" si="47"/>
        <v>27.861449539780477</v>
      </c>
      <c r="FH36" s="20">
        <f t="shared" si="22"/>
        <v>229.28193394845096</v>
      </c>
      <c r="FI36" s="59">
        <f t="shared" si="23"/>
        <v>471.16277978299172</v>
      </c>
      <c r="FJ36" s="59">
        <f ca="1">AVERAGE(OFFSET($FI$3,0,0,'Données projet'!$E$16+1,1))-AVERAGE(OFFSET($H$3,0,0,'Données projet'!$E$16+1,1))</f>
        <v>285.8437404763045</v>
      </c>
      <c r="FK36" s="59">
        <f t="shared" si="48"/>
        <v>276.01618888357268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10.8</v>
      </c>
      <c r="FZ36" s="12">
        <f>IF('Données projet'!$A$244&gt;35,FZ35+FY36-GH35,IF(A36&lt;'Données projet'!$A$244,$FW$205^A36,IF(A36='Données projet'!$A$244,'Données projet'!$B$244,FZ35+FY36-GH35)))</f>
        <v>150.4</v>
      </c>
      <c r="GA36" s="17">
        <f>FZ36*VLOOKUP('Données projet'!$B$17,Paramètres!$A$1:$I$89,3,0)*VLOOKUP('Données projet'!$B$17,Paramètres!$A$1:$I$89,5,0)</f>
        <v>119.65824000000002</v>
      </c>
      <c r="GB36" s="13">
        <f t="shared" si="49"/>
        <v>31.595276160231336</v>
      </c>
      <c r="GC36" s="20">
        <f t="shared" si="25"/>
        <v>263.43320731240294</v>
      </c>
      <c r="GD36" s="59">
        <f t="shared" si="26"/>
        <v>505.31405314694371</v>
      </c>
      <c r="GE36" s="59">
        <f ca="1">AVERAGE(OFFSET($GD$3,0,0,'Données projet'!$E$17+1,1))-AVERAGE(OFFSET($H$3,0,0,'Données projet'!$E$17+1,1))</f>
        <v>323.01113210765487</v>
      </c>
      <c r="GF36" s="59">
        <f t="shared" si="50"/>
        <v>311.68541696405975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8.6</v>
      </c>
      <c r="GU36" s="12">
        <f>IF('Données projet'!$A$270&gt;35,GU35+GT36-HC35,IF(A36&lt;'Données projet'!$A$270,$GR$205^A36,IF(A36='Données projet'!$A$270,'Données projet'!$B$270,GU35+GT36-HC35)))</f>
        <v>118.79999999999997</v>
      </c>
      <c r="GV36" s="17">
        <f>GU36*VLOOKUP('Données projet'!$B$18,Paramètres!$A$1:$I$89,3,0)*VLOOKUP('Données projet'!$B$18,Paramètres!$A$1:$I$89,5,0)</f>
        <v>103.78367999999999</v>
      </c>
      <c r="GW36" s="13">
        <f t="shared" si="51"/>
        <v>27.861449539780477</v>
      </c>
      <c r="GX36" s="20">
        <f t="shared" si="28"/>
        <v>229.28193394845096</v>
      </c>
      <c r="GY36" s="59">
        <f t="shared" si="29"/>
        <v>471.16277978299172</v>
      </c>
      <c r="GZ36" s="59">
        <f ca="1">AVERAGE(OFFSET($GY$3,0,0,'Données projet'!$E$18+1,1))-AVERAGE(OFFSET($H$3,0,0,'Données projet'!$E$18+1,1))</f>
        <v>285.8437404763045</v>
      </c>
      <c r="HA36" s="59">
        <f t="shared" si="52"/>
        <v>276.01618888357268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</v>
      </c>
      <c r="N37" s="13">
        <f>IF('Données projet'!$A$36&gt;35,N36+M37-V36,IF(A37&lt;'Données projet'!$A$36,$K$205^A37,IF(A37='Données projet'!$A$36,'Données projet'!$B$36,N36+M37-V36)))</f>
        <v>73.999999999999986</v>
      </c>
      <c r="O37" s="13">
        <f>N37*VLOOKUP('Données projet'!$B$9,Paramètres!$A$1:$I$89,3,0)*VLOOKUP('Données projet'!$B$9,Paramètres!$A$1:$I$89,5,0)</f>
        <v>66.955199999999977</v>
      </c>
      <c r="P37" s="13">
        <f t="shared" si="33"/>
        <v>18.915380530436487</v>
      </c>
      <c r="Q37" s="20">
        <f t="shared" si="53"/>
        <v>149.55792775717683</v>
      </c>
      <c r="R37" s="59">
        <f t="shared" si="0"/>
        <v>392.33135921929238</v>
      </c>
      <c r="S37" s="59">
        <f ca="1">AVERAGE(OFFSET($R$3,0,0,'Données projet'!$E$9+1,1))-AVERAGE(OFFSET($H$3,0,0,'Données projet'!$E$9+1,1))</f>
        <v>315.34103933739129</v>
      </c>
      <c r="T37" s="59">
        <f t="shared" si="34"/>
        <v>165.80901858372513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275</v>
      </c>
      <c r="AG37" s="12">
        <f>VLOOKUP(A37,'Données projet'!$A$61:$I$81,9,0)</f>
        <v>17.605999999999995</v>
      </c>
      <c r="AH37" s="12">
        <f t="array" ref="AH37">INDEX(AG:AG,MIN(IF(ISNUMBER(AG37:AG233),ROW(AG37:AG233),"")))</f>
        <v>17.605999999999995</v>
      </c>
      <c r="AI37" s="13">
        <f>IF('Données projet'!$A$62&gt;35,AI36+AH37-AQ36,IF(A37&lt;'Données projet'!$A$62,$AF$205^A37,IF(A37='Données projet'!$A$62,'Données projet'!$B$62,AI36+AH37-AQ36)))</f>
        <v>274.99999999999994</v>
      </c>
      <c r="AJ37" s="13">
        <f>AI37*VLOOKUP('Données projet'!$B$10,Paramètres!$A$1:$I$89,3,0)*VLOOKUP('Données projet'!$B$10,Paramètres!$A$1:$I$89,5,0)</f>
        <v>164.45</v>
      </c>
      <c r="AK37" s="13">
        <f t="shared" si="35"/>
        <v>41.844617207687371</v>
      </c>
      <c r="AL37" s="20">
        <f t="shared" si="4"/>
        <v>359.29645830338882</v>
      </c>
      <c r="AM37" s="59">
        <f t="shared" si="5"/>
        <v>602.0698897655044</v>
      </c>
      <c r="AN37" s="59">
        <f ca="1">AVERAGE(OFFSET($AM$3,0,0,'Données projet'!$E$10+1,1))-AVERAGE(OFFSET($H$3,0,0,'Données projet'!$E$10+1,1))</f>
        <v>317.328615425664</v>
      </c>
      <c r="AO37" s="59">
        <f t="shared" si="36"/>
        <v>324.95872842255744</v>
      </c>
      <c r="AP37" s="15">
        <f>IF(ISNA(VLOOKUP(A37,'Données projet'!$A$61:$I$81,3,0)),0,VLOOKUP(A37,'Données projet'!$A$61:$I$81,3,0))</f>
        <v>4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0.22500000000000001</v>
      </c>
      <c r="AS37" s="16">
        <f>IF(ISNA(VLOOKUP(A37,'Données projet'!$A$61:$I$81,6,0)),0%,VLOOKUP(A37,'Données projet'!$A$61:$I$81,6,0)*VLOOKUP('Données projet'!$B$10,Paramètres!$A$1:$I$89,7,0))</f>
        <v>0.12600000000000003</v>
      </c>
      <c r="AT37" s="16">
        <f>IF(ISNA(VLOOKUP(A37,'Données projet'!$A$61:$I$81,7,0)),0%,VLOOKUP(A37,'Données projet'!$A$61:$I$81,7,0))</f>
        <v>0.22</v>
      </c>
      <c r="AU37" s="21">
        <f>EXP(-LN(2)/35)*AU36+(1-EXP(-LN(2)/35))/(LN(2)/35)*AQ37*AR37*VLOOKUP('Données projet'!$B$10,Paramètres!$A$1:$I$89,3,0)*0.475*44/12</f>
        <v>10.382567196196829</v>
      </c>
      <c r="AV37" s="21">
        <f>EXP(-LN(2)/25)*AV36+(1-EXP(-LN(2)/25))/(LN(2)/25)*Calculateur!AQ37*Calculateur!AS37*VLOOKUP('Données projet'!$B$10,Paramètres!$A$1:$I$89,3,0)*0.475*44/12</f>
        <v>19.322725075224028</v>
      </c>
      <c r="AW37" s="21">
        <f>EXP(-LN(2)/2)*AW36+(1-EXP(-LN(2)/2))/(LN(2)/2)*AQ37*AT37*VLOOKUP('Données projet'!$B$10,Paramètres!$A$1:$I$89,3,0)*0.475*44/12</f>
        <v>2.0365240339581208</v>
      </c>
      <c r="AX37" s="21">
        <f t="shared" si="6"/>
        <v>31.741816305378979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13.63</v>
      </c>
      <c r="BD37" s="12">
        <f>IF('Données projet'!$A$88&gt;35,BD36+BC37-BL36,IF(A37&lt;'Données projet'!$A$88,$BA$205^A37,IF(A37='Données projet'!$A$88,'Données projet'!$B$88,BD36+BC37-BL36)))</f>
        <v>180</v>
      </c>
      <c r="BE37" s="13">
        <f>BD37*VLOOKUP('Données projet'!$B$11,Paramètres!$A$1:$I$89,3,0)*VLOOKUP('Données projet'!$B$11,Paramètres!$A$1:$I$89,5,0)</f>
        <v>207.35999999999999</v>
      </c>
      <c r="BF37" s="13">
        <f t="shared" si="37"/>
        <v>51.358255191248631</v>
      </c>
      <c r="BG37" s="20">
        <f t="shared" si="7"/>
        <v>450.60096112475793</v>
      </c>
      <c r="BH37" s="59">
        <f t="shared" si="8"/>
        <v>693.37439258687346</v>
      </c>
      <c r="BI37" s="59">
        <f ca="1">AVERAGE(OFFSET($BH$3,0,0,'Données projet'!$E$11+1,1))-AVERAGE(OFFSET($H$3,0,0,'Données projet'!$E$11+1,1))</f>
        <v>418.31716673276725</v>
      </c>
      <c r="BJ37" s="59">
        <f t="shared" si="38"/>
        <v>472.37891533957929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2.5851015679413081</v>
      </c>
      <c r="BQ37" s="21">
        <f>EXP(-LN(2)/25)*BQ36+(1-EXP(-LN(2)/25))/(LN(2)/25)*Calculateur!BL37*Calculateur!BN37*VLOOKUP('Données projet'!$B$11,Paramètres!$A$1:$I$89,3,0)*0.475*44/12</f>
        <v>14.70076929992706</v>
      </c>
      <c r="BR37" s="21">
        <f>EXP(-LN(2)/2)*BR36+(1-EXP(-LN(2)/2))/(LN(2)/2)*BL37*BO37*VLOOKUP('Données projet'!$B$11,Paramètres!$A$1:$I$89,3,0)*0.475*44/12</f>
        <v>2.797967924718213</v>
      </c>
      <c r="BS37" s="22">
        <f t="shared" si="9"/>
        <v>20.083838792586583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6.2833333333333314</v>
      </c>
      <c r="BY37" s="12">
        <f>IF('Données projet'!$A$114&gt;35,BY36+BX37-CG36,IF(A37&lt;'Données projet'!$A$114,$BV$205^A37,IF(A37='Données projet'!$A$114,'Données projet'!$B$114,BY36+BX37-CG36)))</f>
        <v>93.143333333333331</v>
      </c>
      <c r="BZ37" s="13">
        <f>BY37*VLOOKUP('Données projet'!$B$12,Paramètres!$A$1:$I$89,3,0)*VLOOKUP('Données projet'!$B$12,Paramètres!$A$1:$I$89,5,0)</f>
        <v>54.488849999999999</v>
      </c>
      <c r="CA37" s="13">
        <f t="shared" si="39"/>
        <v>15.767160824757687</v>
      </c>
      <c r="CB37" s="20">
        <f t="shared" si="10"/>
        <v>122.36255218645294</v>
      </c>
      <c r="CC37" s="59">
        <f t="shared" si="11"/>
        <v>365.13598364856853</v>
      </c>
      <c r="CD37" s="59">
        <f ca="1">AVERAGE(OFFSET($CC$3,0,0,'Données projet'!$E$12+1,1))-AVERAGE(OFFSET($H$3,0,0,'Données projet'!$E$12+1,1))</f>
        <v>184.11352167663844</v>
      </c>
      <c r="CE37" s="59">
        <f t="shared" si="40"/>
        <v>145.86653500981791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5.5720000000000001</v>
      </c>
      <c r="CT37" s="12">
        <f>IF('Données projet'!$A$140&gt;35,CT36+CS37-DB36,IF(A37&lt;'Données projet'!$A$140,$CQ$205^A37,IF(A37='Données projet'!$A$140,'Données projet'!$B$140,CT36+CS37-DB36)))</f>
        <v>87.658000000000015</v>
      </c>
      <c r="CU37" s="17">
        <f>CT37*VLOOKUP('Données projet'!$B$13,Paramètres!$A$1:$I$89,3,0)*VLOOKUP('Données projet'!$B$13,Paramètres!$A$1:$I$89,5,0)</f>
        <v>42.163498000000004</v>
      </c>
      <c r="CV37" s="13">
        <f t="shared" si="41"/>
        <v>12.570312505529376</v>
      </c>
      <c r="CW37" s="20">
        <f t="shared" si="13"/>
        <v>95.328053297130324</v>
      </c>
      <c r="CX37" s="59">
        <f t="shared" si="14"/>
        <v>338.10148475924592</v>
      </c>
      <c r="CY37" s="59">
        <f ca="1">AVERAGE(OFFSET($CX$3,0,0,'Données projet'!$E$13+1,1))-AVERAGE(OFFSET($H$3,0,0,'Données projet'!$E$13+1,1))</f>
        <v>303.76035885073708</v>
      </c>
      <c r="CZ37" s="59">
        <f t="shared" si="42"/>
        <v>127.43112562890414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7.8</v>
      </c>
      <c r="DO37" s="12">
        <f>IF('Données projet'!$A$166&gt;35,DO36+DN37-DW36,IF(A37&lt;'Données projet'!$A$166,$DL$205^A37,IF(A37='Données projet'!$A$166,'Données projet'!$B$166,DO36+DN37-DW36)))</f>
        <v>200.20000000000007</v>
      </c>
      <c r="DP37" s="17">
        <f>DO37*VLOOKUP('Données projet'!$B$14,Paramètres!$A$1:$I$89,3,0)*VLOOKUP('Données projet'!$B$14,Paramètres!$A$1:$I$89,5,0)</f>
        <v>115.55544000000005</v>
      </c>
      <c r="DQ37" s="13">
        <f t="shared" si="43"/>
        <v>30.636112693776919</v>
      </c>
      <c r="DR37" s="20">
        <f t="shared" si="16"/>
        <v>254.6169542749949</v>
      </c>
      <c r="DS37" s="59">
        <f t="shared" si="17"/>
        <v>497.39038573711048</v>
      </c>
      <c r="DT37" s="59">
        <f ca="1">AVERAGE(OFFSET($DS$3,0,0,'Données projet'!$E$14+1,1))-AVERAGE(OFFSET($H$3,0,0,'Données projet'!$E$14+1,1))</f>
        <v>243.65374431792841</v>
      </c>
      <c r="DU37" s="59">
        <f t="shared" si="44"/>
        <v>271.60754570002939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8</v>
      </c>
      <c r="EJ37" s="12">
        <f>IF('Données projet'!$A$192&gt;35,EJ36+EI37-ER36,IF(A37&lt;'Données projet'!$A$192,$EG$205^A37,IF(A37='Données projet'!$A$192,'Données projet'!$B$192,EJ36+EI37-ER36)))</f>
        <v>108.00000000000003</v>
      </c>
      <c r="EK37" s="17">
        <f>EJ37*VLOOKUP('Données projet'!$B$15,Paramètres!$A$1:$I$89,3,0)*VLOOKUP('Données projet'!$B$15,Paramètres!$A$1:$I$89,5,0)</f>
        <v>72.446400000000025</v>
      </c>
      <c r="EL37" s="13">
        <f t="shared" si="45"/>
        <v>20.279764978841879</v>
      </c>
      <c r="EM37" s="20">
        <f t="shared" si="19"/>
        <v>161.49807067148296</v>
      </c>
      <c r="EN37" s="59">
        <f t="shared" si="20"/>
        <v>404.27150213359857</v>
      </c>
      <c r="EO37" s="59">
        <f ca="1">AVERAGE(OFFSET($EN$3,0,0,'Données projet'!$E$15+1,1))-AVERAGE(OFFSET($H$3,0,0,'Données projet'!$E$15+1,1))</f>
        <v>321.44781099085594</v>
      </c>
      <c r="EP37" s="59">
        <f t="shared" si="46"/>
        <v>201.22243186578183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8.6</v>
      </c>
      <c r="FE37" s="12">
        <f>IF('Données projet'!$A$218&gt;35,FE36+FD37-FM36,IF(A37&lt;'Données projet'!$A$218,$FB$205^A37,IF(A37='Données projet'!$A$218,'Données projet'!$B$218,FE36+FD37-FM36)))</f>
        <v>127.39999999999996</v>
      </c>
      <c r="FF37" s="17">
        <f>FE37*VLOOKUP('Données projet'!$B$16,Paramètres!$A$1:$I$89,3,0)*VLOOKUP('Données projet'!$B$16,Paramètres!$A$1:$I$89,5,0)</f>
        <v>111.29663999999997</v>
      </c>
      <c r="FG37" s="13">
        <f t="shared" si="47"/>
        <v>29.636274399319749</v>
      </c>
      <c r="FH37" s="20">
        <f t="shared" si="22"/>
        <v>245.45815924548182</v>
      </c>
      <c r="FI37" s="59">
        <f t="shared" si="23"/>
        <v>488.23159070759743</v>
      </c>
      <c r="FJ37" s="59">
        <f ca="1">AVERAGE(OFFSET($FI$3,0,0,'Données projet'!$E$16+1,1))-AVERAGE(OFFSET($H$3,0,0,'Données projet'!$E$16+1,1))</f>
        <v>285.8437404763045</v>
      </c>
      <c r="FK37" s="59">
        <f t="shared" si="48"/>
        <v>276.01618888357268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10.8</v>
      </c>
      <c r="FZ37" s="12">
        <f>IF('Données projet'!$A$244&gt;35,FZ36+FY37-GH36,IF(A37&lt;'Données projet'!$A$244,$FW$205^A37,IF(A37='Données projet'!$A$244,'Données projet'!$B$244,FZ36+FY37-GH36)))</f>
        <v>161.20000000000002</v>
      </c>
      <c r="GA37" s="17">
        <f>FZ37*VLOOKUP('Données projet'!$B$17,Paramètres!$A$1:$I$89,3,0)*VLOOKUP('Données projet'!$B$17,Paramètres!$A$1:$I$89,5,0)</f>
        <v>128.25072</v>
      </c>
      <c r="GB37" s="13">
        <f t="shared" si="49"/>
        <v>33.591833937449593</v>
      </c>
      <c r="GC37" s="20">
        <f t="shared" si="25"/>
        <v>281.875781441058</v>
      </c>
      <c r="GD37" s="59">
        <f t="shared" si="26"/>
        <v>524.64921290317352</v>
      </c>
      <c r="GE37" s="59">
        <f ca="1">AVERAGE(OFFSET($GD$3,0,0,'Données projet'!$E$17+1,1))-AVERAGE(OFFSET($H$3,0,0,'Données projet'!$E$17+1,1))</f>
        <v>323.01113210765487</v>
      </c>
      <c r="GF37" s="59">
        <f t="shared" si="50"/>
        <v>311.68541696405975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8.6</v>
      </c>
      <c r="GU37" s="12">
        <f>IF('Données projet'!$A$270&gt;35,GU36+GT37-HC36,IF(A37&lt;'Données projet'!$A$270,$GR$205^A37,IF(A37='Données projet'!$A$270,'Données projet'!$B$270,GU36+GT37-HC36)))</f>
        <v>127.39999999999996</v>
      </c>
      <c r="GV37" s="17">
        <f>GU37*VLOOKUP('Données projet'!$B$18,Paramètres!$A$1:$I$89,3,0)*VLOOKUP('Données projet'!$B$18,Paramètres!$A$1:$I$89,5,0)</f>
        <v>111.29663999999997</v>
      </c>
      <c r="GW37" s="13">
        <f t="shared" si="51"/>
        <v>29.636274399319749</v>
      </c>
      <c r="GX37" s="20">
        <f t="shared" si="28"/>
        <v>245.45815924548182</v>
      </c>
      <c r="GY37" s="59">
        <f t="shared" si="29"/>
        <v>488.23159070759743</v>
      </c>
      <c r="GZ37" s="59">
        <f ca="1">AVERAGE(OFFSET($GY$3,0,0,'Données projet'!$E$18+1,1))-AVERAGE(OFFSET($H$3,0,0,'Données projet'!$E$18+1,1))</f>
        <v>285.8437404763045</v>
      </c>
      <c r="HA37" s="59">
        <f t="shared" si="52"/>
        <v>276.01618888357268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79</v>
      </c>
      <c r="L38" s="12">
        <f>VLOOKUP(A38,'Données projet'!$A$35:$I$55,9,0)</f>
        <v>5</v>
      </c>
      <c r="M38" s="12">
        <f t="array" ref="M38">INDEX(L:L,MIN(IF(ISNUMBER(L38:L234),ROW(L38:L234),"")))</f>
        <v>5</v>
      </c>
      <c r="N38" s="13">
        <f>IF('Données projet'!$A$36&gt;35,N37+M38-V37,IF(A38&lt;'Données projet'!$A$36,$K$205^A38,IF(A38='Données projet'!$A$36,'Données projet'!$B$36,N37+M38-V37)))</f>
        <v>78.999999999999986</v>
      </c>
      <c r="O38" s="13">
        <f>N38*VLOOKUP('Données projet'!$B$9,Paramètres!$A$1:$I$89,3,0)*VLOOKUP('Données projet'!$B$9,Paramètres!$A$1:$I$89,5,0)</f>
        <v>71.479199999999977</v>
      </c>
      <c r="P38" s="13">
        <f t="shared" si="33"/>
        <v>20.040346808618612</v>
      </c>
      <c r="Q38" s="20">
        <f t="shared" si="53"/>
        <v>159.39654402501068</v>
      </c>
      <c r="R38" s="59">
        <f t="shared" si="0"/>
        <v>403.04707674958519</v>
      </c>
      <c r="S38" s="59">
        <f ca="1">AVERAGE(OFFSET($R$3,0,0,'Données projet'!$E$9+1,1))-AVERAGE(OFFSET($H$3,0,0,'Données projet'!$E$9+1,1))</f>
        <v>315.34103933739129</v>
      </c>
      <c r="T38" s="59">
        <f t="shared" si="34"/>
        <v>165.80901858372513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13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18.064999999999998</v>
      </c>
      <c r="AI38" s="13">
        <f>IF('Données projet'!$A$62&gt;35,AI37+AH38-AQ37,IF(A38&lt;'Données projet'!$A$62,$AF$205^A38,IF(A38='Données projet'!$A$62,'Données projet'!$B$62,AI37+AH38-AQ37)))</f>
        <v>293.06499999999994</v>
      </c>
      <c r="AJ38" s="13">
        <f>AI38*VLOOKUP('Données projet'!$B$10,Paramètres!$A$1:$I$89,3,0)*VLOOKUP('Données projet'!$B$10,Paramètres!$A$1:$I$89,5,0)</f>
        <v>175.25286999999997</v>
      </c>
      <c r="AK38" s="13">
        <f t="shared" si="35"/>
        <v>44.264399978038341</v>
      </c>
      <c r="AL38" s="20">
        <f t="shared" si="4"/>
        <v>382.32591187841672</v>
      </c>
      <c r="AM38" s="59">
        <f t="shared" si="5"/>
        <v>625.97644460299125</v>
      </c>
      <c r="AN38" s="59">
        <f ca="1">AVERAGE(OFFSET($AM$3,0,0,'Données projet'!$E$10+1,1))-AVERAGE(OFFSET($H$3,0,0,'Données projet'!$E$10+1,1))</f>
        <v>317.328615425664</v>
      </c>
      <c r="AO38" s="59">
        <f t="shared" si="36"/>
        <v>324.95872842255744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10.178971386220093</v>
      </c>
      <c r="AV38" s="21">
        <f>EXP(-LN(2)/25)*AV37+(1-EXP(-LN(2)/25))/(LN(2)/25)*Calculateur!AQ38*Calculateur!AS38*VLOOKUP('Données projet'!$B$10,Paramètres!$A$1:$I$89,3,0)*0.475*44/12</f>
        <v>18.794344141904077</v>
      </c>
      <c r="AW38" s="21">
        <f>EXP(-LN(2)/2)*AW37+(1-EXP(-LN(2)/2))/(LN(2)/2)*AQ38*AT38*VLOOKUP('Données projet'!$B$10,Paramètres!$A$1:$I$89,3,0)*0.475*44/12</f>
        <v>1.4400399544611702</v>
      </c>
      <c r="AX38" s="21">
        <f t="shared" si="6"/>
        <v>30.413355482585338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13.63</v>
      </c>
      <c r="BD38" s="12">
        <f>IF('Données projet'!$A$88&gt;35,BD37+BC38-BL37,IF(A38&lt;'Données projet'!$A$88,$BA$205^A38,IF(A38='Données projet'!$A$88,'Données projet'!$B$88,BD37+BC38-BL37)))</f>
        <v>193.63</v>
      </c>
      <c r="BE38" s="13">
        <f>BD38*VLOOKUP('Données projet'!$B$11,Paramètres!$A$1:$I$89,3,0)*VLOOKUP('Données projet'!$B$11,Paramètres!$A$1:$I$89,5,0)</f>
        <v>223.06175999999996</v>
      </c>
      <c r="BF38" s="13">
        <f t="shared" si="37"/>
        <v>54.779807895698262</v>
      </c>
      <c r="BG38" s="20">
        <f t="shared" si="7"/>
        <v>483.90739741834113</v>
      </c>
      <c r="BH38" s="59">
        <f t="shared" si="8"/>
        <v>727.55793014291567</v>
      </c>
      <c r="BI38" s="59">
        <f ca="1">AVERAGE(OFFSET($BH$3,0,0,'Données projet'!$E$11+1,1))-AVERAGE(OFFSET($H$3,0,0,'Données projet'!$E$11+1,1))</f>
        <v>418.31716673276725</v>
      </c>
      <c r="BJ38" s="59">
        <f t="shared" si="38"/>
        <v>472.37891533957929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2.5344093029502437</v>
      </c>
      <c r="BQ38" s="21">
        <f>EXP(-LN(2)/25)*BQ37+(1-EXP(-LN(2)/25))/(LN(2)/25)*Calculateur!BL38*Calculateur!BN38*VLOOKUP('Données projet'!$B$11,Paramètres!$A$1:$I$89,3,0)*0.475*44/12</f>
        <v>14.298775990340696</v>
      </c>
      <c r="BR38" s="21">
        <f>EXP(-LN(2)/2)*BR37+(1-EXP(-LN(2)/2))/(LN(2)/2)*BL38*BO38*VLOOKUP('Données projet'!$B$11,Paramètres!$A$1:$I$89,3,0)*0.475*44/12</f>
        <v>1.9784620931107</v>
      </c>
      <c r="BS38" s="22">
        <f t="shared" si="9"/>
        <v>18.811647386401638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6.2833333333333314</v>
      </c>
      <c r="BY38" s="12">
        <f>IF('Données projet'!$A$114&gt;35,BY37+BX38-CG37,IF(A38&lt;'Données projet'!$A$114,$BV$205^A38,IF(A38='Données projet'!$A$114,'Données projet'!$B$114,BY37+BX38-CG37)))</f>
        <v>99.426666666666662</v>
      </c>
      <c r="BZ38" s="13">
        <f>BY38*VLOOKUP('Données projet'!$B$12,Paramètres!$A$1:$I$89,3,0)*VLOOKUP('Données projet'!$B$12,Paramètres!$A$1:$I$89,5,0)</f>
        <v>58.1646</v>
      </c>
      <c r="CA38" s="13">
        <f t="shared" si="39"/>
        <v>16.7033865870347</v>
      </c>
      <c r="CB38" s="20">
        <f t="shared" si="10"/>
        <v>130.39507663908543</v>
      </c>
      <c r="CC38" s="59">
        <f t="shared" si="11"/>
        <v>374.04560936365993</v>
      </c>
      <c r="CD38" s="59">
        <f ca="1">AVERAGE(OFFSET($CC$3,0,0,'Données projet'!$E$12+1,1))-AVERAGE(OFFSET($H$3,0,0,'Données projet'!$E$12+1,1))</f>
        <v>184.11352167663844</v>
      </c>
      <c r="CE38" s="59">
        <f t="shared" si="40"/>
        <v>145.86653500981791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93.23</v>
      </c>
      <c r="CR38" s="12">
        <f>VLOOKUP(A38,'Données projet'!$A$139:$I$159,9,0)</f>
        <v>5.5720000000000001</v>
      </c>
      <c r="CS38" s="12">
        <f t="array" ref="CS38">INDEX(CR:CR,MIN(IF(ISNUMBER(CR38:CR234),ROW(CR38:CR234),"")))</f>
        <v>5.5720000000000001</v>
      </c>
      <c r="CT38" s="12">
        <f>IF('Données projet'!$A$140&gt;35,CT37+CS38-DB37,IF(A38&lt;'Données projet'!$A$140,$CQ$205^A38,IF(A38='Données projet'!$A$140,'Données projet'!$B$140,CT37+CS38-DB37)))</f>
        <v>93.230000000000018</v>
      </c>
      <c r="CU38" s="17">
        <f>CT38*VLOOKUP('Données projet'!$B$13,Paramètres!$A$1:$I$89,3,0)*VLOOKUP('Données projet'!$B$13,Paramètres!$A$1:$I$89,5,0)</f>
        <v>44.843630000000012</v>
      </c>
      <c r="CV38" s="13">
        <f t="shared" si="41"/>
        <v>13.27378738347754</v>
      </c>
      <c r="CW38" s="20">
        <f t="shared" si="13"/>
        <v>101.22116860955673</v>
      </c>
      <c r="CX38" s="59">
        <f t="shared" si="14"/>
        <v>344.87170133413122</v>
      </c>
      <c r="CY38" s="59">
        <f ca="1">AVERAGE(OFFSET($CX$3,0,0,'Données projet'!$E$13+1,1))-AVERAGE(OFFSET($H$3,0,0,'Données projet'!$E$13+1,1))</f>
        <v>303.76035885073708</v>
      </c>
      <c r="CZ38" s="59">
        <f t="shared" si="42"/>
        <v>127.43112562890414</v>
      </c>
      <c r="DA38" s="15">
        <f>IF(ISNA(VLOOKUP(A38,'Données projet'!$A$139:$I$159,3,0)),0,VLOOKUP(A38,'Données projet'!$A$139:$I$159,3,0))</f>
        <v>2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0.30800000000000005</v>
      </c>
      <c r="DE38" s="16">
        <f>IF(ISNA(VLOOKUP(A38,'Données projet'!$A$139:$I$159,7,0)),0%,VLOOKUP(A38,'Données projet'!$A$139:$I$159,7,0))</f>
        <v>0.44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208</v>
      </c>
      <c r="DM38" s="12">
        <f>VLOOKUP(A38,'Données projet'!$A$165:$I$185,9,0)</f>
        <v>7.8</v>
      </c>
      <c r="DN38" s="12">
        <f t="array" ref="DN38">INDEX(DM:DM,MIN(IF(ISNUMBER(DM38:DM234),ROW(DM38:DM234),"")))</f>
        <v>7.8</v>
      </c>
      <c r="DO38" s="12">
        <f>IF('Données projet'!$A$166&gt;35,DO37+DN38-DW37,IF(A38&lt;'Données projet'!$A$166,$DL$205^A38,IF(A38='Données projet'!$A$166,'Données projet'!$B$166,DO37+DN38-DW37)))</f>
        <v>208.00000000000009</v>
      </c>
      <c r="DP38" s="17">
        <f>DO38*VLOOKUP('Données projet'!$B$14,Paramètres!$A$1:$I$89,3,0)*VLOOKUP('Données projet'!$B$14,Paramètres!$A$1:$I$89,5,0)</f>
        <v>120.05760000000006</v>
      </c>
      <c r="DQ38" s="13">
        <f t="shared" si="43"/>
        <v>31.688433172991385</v>
      </c>
      <c r="DR38" s="20">
        <f t="shared" si="16"/>
        <v>264.29100777629338</v>
      </c>
      <c r="DS38" s="59">
        <f t="shared" si="17"/>
        <v>507.94154050086786</v>
      </c>
      <c r="DT38" s="59">
        <f ca="1">AVERAGE(OFFSET($DS$3,0,0,'Données projet'!$E$14+1,1))-AVERAGE(OFFSET($H$3,0,0,'Données projet'!$E$14+1,1))</f>
        <v>243.65374431792841</v>
      </c>
      <c r="DU38" s="59">
        <f t="shared" si="44"/>
        <v>271.60754570002939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0.12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116</v>
      </c>
      <c r="EH38" s="12">
        <f>VLOOKUP(A38,'Données projet'!$A$191:$I$211,9,0)</f>
        <v>8</v>
      </c>
      <c r="EI38" s="12">
        <f t="array" ref="EI38">INDEX(EH:EH,MIN(IF(ISNUMBER(EH38:EH234),ROW(EH38:EH234),"")))</f>
        <v>8</v>
      </c>
      <c r="EJ38" s="12">
        <f>IF('Données projet'!$A$192&gt;35,EJ37+EI38-ER37,IF(A38&lt;'Données projet'!$A$192,$EG$205^A38,IF(A38='Données projet'!$A$192,'Données projet'!$B$192,EJ37+EI38-ER37)))</f>
        <v>116.00000000000003</v>
      </c>
      <c r="EK38" s="17">
        <f>EJ38*VLOOKUP('Données projet'!$B$15,Paramètres!$A$1:$I$89,3,0)*VLOOKUP('Données projet'!$B$15,Paramètres!$A$1:$I$89,5,0)</f>
        <v>77.812800000000024</v>
      </c>
      <c r="EL38" s="13">
        <f t="shared" si="45"/>
        <v>21.601542634761511</v>
      </c>
      <c r="EM38" s="20">
        <f t="shared" si="19"/>
        <v>173.146646755543</v>
      </c>
      <c r="EN38" s="59">
        <f t="shared" si="20"/>
        <v>416.79717948011751</v>
      </c>
      <c r="EO38" s="59">
        <f ca="1">AVERAGE(OFFSET($EN$3,0,0,'Données projet'!$E$15+1,1))-AVERAGE(OFFSET($H$3,0,0,'Données projet'!$E$15+1,1))</f>
        <v>321.44781099085594</v>
      </c>
      <c r="EP38" s="59">
        <f t="shared" si="46"/>
        <v>201.22243186578183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21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136</v>
      </c>
      <c r="FC38" s="12">
        <f>VLOOKUP(A38,'Données projet'!$A$217:$I$237,9,0)</f>
        <v>8.6</v>
      </c>
      <c r="FD38" s="12">
        <f t="array" ref="FD38">INDEX(FC:FC,MIN(IF(ISNUMBER(FC38:FC234),ROW(FC38:FC234),"")))</f>
        <v>8.6</v>
      </c>
      <c r="FE38" s="12">
        <f>IF('Données projet'!$A$218&gt;35,FE37+FD38-FM37,IF(A38&lt;'Données projet'!$A$218,$FB$205^A38,IF(A38='Données projet'!$A$218,'Données projet'!$B$218,FE37+FD38-FM37)))</f>
        <v>135.99999999999997</v>
      </c>
      <c r="FF38" s="17">
        <f>FE38*VLOOKUP('Données projet'!$B$16,Paramètres!$A$1:$I$89,3,0)*VLOOKUP('Données projet'!$B$16,Paramètres!$A$1:$I$89,5,0)</f>
        <v>118.8096</v>
      </c>
      <c r="FG38" s="13">
        <f t="shared" si="47"/>
        <v>31.39719715333722</v>
      </c>
      <c r="FH38" s="20">
        <f t="shared" si="22"/>
        <v>261.61017170872896</v>
      </c>
      <c r="FI38" s="59">
        <f t="shared" si="23"/>
        <v>505.26070443330343</v>
      </c>
      <c r="FJ38" s="59">
        <f ca="1">AVERAGE(OFFSET($FI$3,0,0,'Données projet'!$E$16+1,1))-AVERAGE(OFFSET($H$3,0,0,'Données projet'!$E$16+1,1))</f>
        <v>285.8437404763045</v>
      </c>
      <c r="FK38" s="59">
        <f t="shared" si="48"/>
        <v>276.01618888357268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21</v>
      </c>
      <c r="FN38" s="16">
        <f>IF(ISNA(VLOOKUP(A38,'Données projet'!$A$217:$I$237,5,0)),0%,VLOOKUP(A38,'Données projet'!$A$217:$I$237,5,0)*VLOOKUP('Données projet'!$B$16,Paramètres!$A$1:$I$89,7,0))</f>
        <v>0.10600000000000001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2.1497348438445276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2.1497348438445276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172</v>
      </c>
      <c r="FX38" s="12">
        <f>VLOOKUP(A38,'Données projet'!$A$243:$I$263,9,0)</f>
        <v>10.8</v>
      </c>
      <c r="FY38" s="12">
        <f t="array" ref="FY38">INDEX(FX:FX,MIN(IF(ISNUMBER(FX38:FX234),ROW(FX38:FX234),"")))</f>
        <v>10.8</v>
      </c>
      <c r="FZ38" s="12">
        <f>IF('Données projet'!$A$244&gt;35,FZ37+FY38-GH37,IF(A38&lt;'Données projet'!$A$244,$FW$205^A38,IF(A38='Données projet'!$A$244,'Données projet'!$B$244,FZ37+FY38-GH37)))</f>
        <v>172.00000000000003</v>
      </c>
      <c r="GA38" s="17">
        <f>FZ38*VLOOKUP('Données projet'!$B$17,Paramètres!$A$1:$I$89,3,0)*VLOOKUP('Données projet'!$B$17,Paramètres!$A$1:$I$89,5,0)</f>
        <v>136.84320000000002</v>
      </c>
      <c r="GB38" s="13">
        <f t="shared" si="49"/>
        <v>35.572869837729648</v>
      </c>
      <c r="GC38" s="20">
        <f t="shared" si="25"/>
        <v>300.2913216340458</v>
      </c>
      <c r="GD38" s="59">
        <f t="shared" si="26"/>
        <v>543.94185435862028</v>
      </c>
      <c r="GE38" s="59">
        <f ca="1">AVERAGE(OFFSET($GD$3,0,0,'Données projet'!$E$17+1,1))-AVERAGE(OFFSET($H$3,0,0,'Données projet'!$E$17+1,1))</f>
        <v>323.01113210765487</v>
      </c>
      <c r="GF38" s="59">
        <f t="shared" si="50"/>
        <v>311.68541696405975</v>
      </c>
      <c r="GG38" s="15">
        <f>IF(ISNA(VLOOKUP(A38,'Données projet'!$A$243:$I$263,3,0)),0,VLOOKUP(A38,'Données projet'!$A$243:$I$263,3,0))</f>
        <v>5</v>
      </c>
      <c r="GH38" s="15">
        <f>IF(ISNA(VLOOKUP(A38,'Données projet'!$A$243:$I$263,4,0)),0,VLOOKUP(A38,'Données projet'!$A$243:$I$263,4,0))</f>
        <v>28</v>
      </c>
      <c r="GI38" s="16">
        <f>IF(ISNA(VLOOKUP(A38,'Données projet'!$A$243:$I$263,5,0)),0%,VLOOKUP(A38,'Données projet'!$A$243:$I$263,5,0)*VLOOKUP('Données projet'!$B$17,Paramètres!$A$1:$I$89,7,0))</f>
        <v>0.10600000000000001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2.6103923103826401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2.6103923103826401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136</v>
      </c>
      <c r="GS38" s="12">
        <f>VLOOKUP(A38,'Données projet'!$A$269:$I$289,9,0)</f>
        <v>8.6</v>
      </c>
      <c r="GT38" s="12">
        <f t="array" ref="GT38">INDEX(GS:GS,MIN(IF(ISNUMBER(GS38:GS234),ROW(GS38:GS234),"")))</f>
        <v>8.6</v>
      </c>
      <c r="GU38" s="12">
        <f>IF('Données projet'!$A$270&gt;35,GU37+GT38-HC37,IF(A38&lt;'Données projet'!$A$270,$GR$205^A38,IF(A38='Données projet'!$A$270,'Données projet'!$B$270,GU37+GT38-HC37)))</f>
        <v>135.99999999999997</v>
      </c>
      <c r="GV38" s="17">
        <f>GU38*VLOOKUP('Données projet'!$B$18,Paramètres!$A$1:$I$89,3,0)*VLOOKUP('Données projet'!$B$18,Paramètres!$A$1:$I$89,5,0)</f>
        <v>118.8096</v>
      </c>
      <c r="GW38" s="13">
        <f t="shared" si="51"/>
        <v>31.39719715333722</v>
      </c>
      <c r="GX38" s="20">
        <f t="shared" si="28"/>
        <v>261.61017170872896</v>
      </c>
      <c r="GY38" s="59">
        <f t="shared" si="29"/>
        <v>505.26070443330343</v>
      </c>
      <c r="GZ38" s="59">
        <f ca="1">AVERAGE(OFFSET($GY$3,0,0,'Données projet'!$E$18+1,1))-AVERAGE(OFFSET($H$3,0,0,'Données projet'!$E$18+1,1))</f>
        <v>285.8437404763045</v>
      </c>
      <c r="HA38" s="59">
        <f t="shared" si="52"/>
        <v>276.01618888357268</v>
      </c>
      <c r="HB38" s="15">
        <f>IF(ISNA(VLOOKUP(A38,'Données projet'!$A$269:$I$289,3,0)),0,VLOOKUP(A38,'Données projet'!$A$269:$I$289,3,0))</f>
        <v>5</v>
      </c>
      <c r="HC38" s="15">
        <f>IF(ISNA(VLOOKUP(A38,'Données projet'!$A$269:$I$289,4,0)),0,VLOOKUP(A38,'Données projet'!$A$269:$I$289,4,0))</f>
        <v>21</v>
      </c>
      <c r="HD38" s="16">
        <f>IF(ISNA(VLOOKUP(A38,'Données projet'!$A$269:$I$289,5,0)),0%,VLOOKUP(A38,'Données projet'!$A$269:$I$289,5,0)*VLOOKUP('Données projet'!$B$18,Paramètres!$A$1:$I$89,7,0))</f>
        <v>0.10600000000000001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2.1497348438445276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2.1497348438445276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5.4</v>
      </c>
      <c r="N39" s="13">
        <f>IF('Données projet'!$A$36&gt;35,N38+M39-V38,IF(A39&lt;'Données projet'!$A$36,$K$205^A39,IF(A39='Données projet'!$A$36,'Données projet'!$B$36,N38+M39-V38)))</f>
        <v>71.399999999999991</v>
      </c>
      <c r="O39" s="13">
        <f>N39*VLOOKUP('Données projet'!$B$9,Paramètres!$A$1:$I$89,3,0)*VLOOKUP('Données projet'!$B$9,Paramètres!$A$1:$I$89,5,0)</f>
        <v>64.602719999999991</v>
      </c>
      <c r="P39" s="13">
        <f t="shared" si="33"/>
        <v>18.326928056848999</v>
      </c>
      <c r="Q39" s="20">
        <f t="shared" si="53"/>
        <v>144.43580369901198</v>
      </c>
      <c r="R39" s="59">
        <f t="shared" si="0"/>
        <v>388.94822194004644</v>
      </c>
      <c r="S39" s="59">
        <f ca="1">AVERAGE(OFFSET($R$3,0,0,'Données projet'!$E$9+1,1))-AVERAGE(OFFSET($H$3,0,0,'Données projet'!$E$9+1,1))</f>
        <v>315.34103933739129</v>
      </c>
      <c r="T39" s="59">
        <f t="shared" si="34"/>
        <v>165.80901858372513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311.13</v>
      </c>
      <c r="AG39" s="12">
        <f>VLOOKUP(A39,'Données projet'!$A$61:$I$81,9,0)</f>
        <v>18.064999999999998</v>
      </c>
      <c r="AH39" s="12">
        <f t="array" ref="AH39">INDEX(AG:AG,MIN(IF(ISNUMBER(AG39:AG235),ROW(AG39:AG235),"")))</f>
        <v>18.064999999999998</v>
      </c>
      <c r="AI39" s="13">
        <f>IF('Données projet'!$A$62&gt;35,AI38+AH39-AQ38,IF(A39&lt;'Données projet'!$A$62,$AF$205^A39,IF(A39='Données projet'!$A$62,'Données projet'!$B$62,AI38+AH39-AQ38)))</f>
        <v>311.12999999999994</v>
      </c>
      <c r="AJ39" s="13">
        <f>AI39*VLOOKUP('Données projet'!$B$10,Paramètres!$A$1:$I$89,3,0)*VLOOKUP('Données projet'!$B$10,Paramètres!$A$1:$I$89,5,0)</f>
        <v>186.05573999999996</v>
      </c>
      <c r="AK39" s="13">
        <f t="shared" si="35"/>
        <v>46.66687117215772</v>
      </c>
      <c r="AL39" s="20">
        <f t="shared" si="4"/>
        <v>405.32521445817457</v>
      </c>
      <c r="AM39" s="59">
        <f t="shared" si="5"/>
        <v>649.83763269920905</v>
      </c>
      <c r="AN39" s="59">
        <f ca="1">AVERAGE(OFFSET($AM$3,0,0,'Données projet'!$E$10+1,1))-AVERAGE(OFFSET($H$3,0,0,'Données projet'!$E$10+1,1))</f>
        <v>317.328615425664</v>
      </c>
      <c r="AO39" s="59">
        <f t="shared" si="36"/>
        <v>324.95872842255744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76</v>
      </c>
      <c r="AR39" s="16">
        <f>IF(ISNA(VLOOKUP(A39,'Données projet'!$A$61:$I$81,5,0)),0%,VLOOKUP(A39,'Données projet'!$A$61:$I$81,5,0)*VLOOKUP('Données projet'!$B$10,Paramètres!$A$1:$I$89,7,0))</f>
        <v>0.27</v>
      </c>
      <c r="AS39" s="16">
        <f>IF(ISNA(VLOOKUP(A39,'Données projet'!$A$61:$I$81,6,0)),0%,VLOOKUP(A39,'Données projet'!$A$61:$I$81,6,0)*VLOOKUP('Données projet'!$B$10,Paramètres!$A$1:$I$89,7,0))</f>
        <v>9.9000000000000005E-2</v>
      </c>
      <c r="AT39" s="16">
        <f>IF(ISNA(VLOOKUP(A39,'Données projet'!$A$61:$I$81,7,0)),0%,VLOOKUP(A39,'Données projet'!$A$61:$I$81,7,0))</f>
        <v>0.18</v>
      </c>
      <c r="AU39" s="21">
        <f>EXP(-LN(2)/35)*AU38+(1-EXP(-LN(2)/35))/(LN(2)/35)*AQ39*AR39*VLOOKUP('Données projet'!$B$10,Paramètres!$A$1:$I$89,3,0)*0.475*44/12</f>
        <v>26.257587336016201</v>
      </c>
      <c r="AV39" s="21">
        <f>EXP(-LN(2)/25)*AV38+(1-EXP(-LN(2)/25))/(LN(2)/25)*Calculateur!AQ39*Calculateur!AS39*VLOOKUP('Données projet'!$B$10,Paramètres!$A$1:$I$89,3,0)*0.475*44/12</f>
        <v>24.225591279581977</v>
      </c>
      <c r="AW39" s="21">
        <f>EXP(-LN(2)/2)*AW38+(1-EXP(-LN(2)/2))/(LN(2)/2)*AQ39*AT39*VLOOKUP('Données projet'!$B$10,Paramètres!$A$1:$I$89,3,0)*0.475*44/12</f>
        <v>10.280646839415969</v>
      </c>
      <c r="AX39" s="21">
        <f t="shared" si="6"/>
        <v>60.763825455014143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13.63</v>
      </c>
      <c r="BD39" s="12">
        <f>IF('Données projet'!$A$88&gt;35,BD38+BC39-BL38,IF(A39&lt;'Données projet'!$A$88,$BA$205^A39,IF(A39='Données projet'!$A$88,'Données projet'!$B$88,BD38+BC39-BL38)))</f>
        <v>207.26</v>
      </c>
      <c r="BE39" s="13">
        <f>BD39*VLOOKUP('Données projet'!$B$11,Paramètres!$A$1:$I$89,3,0)*VLOOKUP('Données projet'!$B$11,Paramètres!$A$1:$I$89,5,0)</f>
        <v>238.76351999999997</v>
      </c>
      <c r="BF39" s="13">
        <f t="shared" si="37"/>
        <v>58.173415863935141</v>
      </c>
      <c r="BG39" s="20">
        <f t="shared" si="7"/>
        <v>517.16516329635363</v>
      </c>
      <c r="BH39" s="59">
        <f t="shared" si="8"/>
        <v>761.67758153738805</v>
      </c>
      <c r="BI39" s="59">
        <f ca="1">AVERAGE(OFFSET($BH$3,0,0,'Données projet'!$E$11+1,1))-AVERAGE(OFFSET($H$3,0,0,'Données projet'!$E$11+1,1))</f>
        <v>418.31716673276725</v>
      </c>
      <c r="BJ39" s="59">
        <f t="shared" si="38"/>
        <v>472.37891533957929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2.4847110823564256</v>
      </c>
      <c r="BQ39" s="21">
        <f>EXP(-LN(2)/25)*BQ38+(1-EXP(-LN(2)/25))/(LN(2)/25)*Calculateur!BL39*Calculateur!BN39*VLOOKUP('Données projet'!$B$11,Paramètres!$A$1:$I$89,3,0)*0.475*44/12</f>
        <v>13.90777520894488</v>
      </c>
      <c r="BR39" s="21">
        <f>EXP(-LN(2)/2)*BR38+(1-EXP(-LN(2)/2))/(LN(2)/2)*BL39*BO39*VLOOKUP('Données projet'!$B$11,Paramètres!$A$1:$I$89,3,0)*0.475*44/12</f>
        <v>1.3989839623591067</v>
      </c>
      <c r="BS39" s="22">
        <f t="shared" si="9"/>
        <v>17.791470253660414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>
        <f>VLOOKUP(A39,'Données projet'!$A$113:$I$133,2,0)</f>
        <v>105.71</v>
      </c>
      <c r="BW39" s="12">
        <f>VLOOKUP(A39,'Données projet'!$A$113:$I$133,9,0)</f>
        <v>6.2833333333333314</v>
      </c>
      <c r="BX39" s="12">
        <f t="array" ref="BX39">INDEX(BW:BW,MIN(IF(ISNUMBER(BW39:BW235),ROW(BW39:BW235),"")))</f>
        <v>6.2833333333333314</v>
      </c>
      <c r="BY39" s="12">
        <f>IF('Données projet'!$A$114&gt;35,BY38+BX39-CG38,IF(A39&lt;'Données projet'!$A$114,$BV$205^A39,IF(A39='Données projet'!$A$114,'Données projet'!$B$114,BY38+BX39-CG38)))</f>
        <v>105.71</v>
      </c>
      <c r="BZ39" s="13">
        <f>BY39*VLOOKUP('Données projet'!$B$12,Paramètres!$A$1:$I$89,3,0)*VLOOKUP('Données projet'!$B$12,Paramètres!$A$1:$I$89,5,0)</f>
        <v>61.840350000000001</v>
      </c>
      <c r="CA39" s="13">
        <f t="shared" si="39"/>
        <v>17.632745941182343</v>
      </c>
      <c r="CB39" s="20">
        <f t="shared" si="10"/>
        <v>138.41564209755924</v>
      </c>
      <c r="CC39" s="59">
        <f t="shared" si="11"/>
        <v>382.9280603385937</v>
      </c>
      <c r="CD39" s="59">
        <f ca="1">AVERAGE(OFFSET($CC$3,0,0,'Données projet'!$E$12+1,1))-AVERAGE(OFFSET($H$3,0,0,'Données projet'!$E$12+1,1))</f>
        <v>184.11352167663844</v>
      </c>
      <c r="CE39" s="59">
        <f t="shared" si="40"/>
        <v>145.86653500981791</v>
      </c>
      <c r="CF39" s="15">
        <f>IF(ISNA(VLOOKUP(A39,'Données projet'!$A$113:$I$133,3,0)),0,VLOOKUP(A39,'Données projet'!$A$113:$I$133,3,0))</f>
        <v>7</v>
      </c>
      <c r="CG39" s="15">
        <f>IF(ISNA(VLOOKUP(A39,'Données projet'!$A$113:$I$133,4,0)),0,VLOOKUP(A39,'Données projet'!$A$113:$I$133,4,0))</f>
        <v>29</v>
      </c>
      <c r="CH39" s="16">
        <f>IF(ISNA(VLOOKUP(A39,'Données projet'!$A$113:$I$133,5,0)),0%,VLOOKUP(A39,'Données projet'!$A$113:$I$133,5,0)*VLOOKUP('Données projet'!$B$12,Paramètres!$A$1:$I$89,7,0))</f>
        <v>9.0000000000000011E-2</v>
      </c>
      <c r="CI39" s="16">
        <f>IF(ISNA(VLOOKUP(A39,'Données projet'!$A$113:$I$133,6,0)),0%,VLOOKUP(A39,'Données projet'!$A$113:$I$133,6,0)*VLOOKUP('Données projet'!$B$12,Paramètres!$A$1:$I$89,7,0))</f>
        <v>0.20250000000000001</v>
      </c>
      <c r="CJ39" s="16">
        <f>IF(ISNA(VLOOKUP(A39,'Données projet'!$A$113:$I$133,7,0)),0%,VLOOKUP(A39,'Données projet'!$A$113:$I$133,7,0))</f>
        <v>0.35</v>
      </c>
      <c r="CK39" s="21">
        <f>EXP(-LN(2)/35)*CK38+(1-EXP(-LN(2)/35))/(LN(2)/35)*CG39*CH39*VLOOKUP('Données projet'!$B$12,Paramètres!$A$1:$I$89,3,0)*0.475*44/12</f>
        <v>2.0254649387878625</v>
      </c>
      <c r="CL39" s="21">
        <f>EXP(-LN(2)/25)*CL38+(1-EXP(-LN(2)/25))/(LN(2)/25)*Calculateur!CG39*Calculateur!CI39*VLOOKUP('Données projet'!$B$12,Paramètres!$A$1:$I$89,3,0)*0.475*44/12</f>
        <v>4.539352301012717</v>
      </c>
      <c r="CM39" s="21">
        <f>EXP(-LN(2)/2)*CM38+(1-EXP(-LN(2)/2))/(LN(2)/2)*CG39*CJ39*VLOOKUP('Données projet'!$B$12,Paramètres!$A$1:$I$89,3,0)*0.475*44/12</f>
        <v>6.7229123246377727</v>
      </c>
      <c r="CN39" s="22">
        <f t="shared" si="12"/>
        <v>13.287729564438351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6.347999999999999</v>
      </c>
      <c r="CT39" s="12">
        <f>IF('Données projet'!$A$140&gt;35,CT38+CS39-DB38,IF(A39&lt;'Données projet'!$A$140,$CQ$205^A39,IF(A39='Données projet'!$A$140,'Données projet'!$B$140,CT38+CS39-DB38)))</f>
        <v>99.578000000000017</v>
      </c>
      <c r="CU39" s="17">
        <f>CT39*VLOOKUP('Données projet'!$B$13,Paramètres!$A$1:$I$89,3,0)*VLOOKUP('Données projet'!$B$13,Paramètres!$A$1:$I$89,5,0)</f>
        <v>47.89701800000001</v>
      </c>
      <c r="CV39" s="13">
        <f t="shared" si="41"/>
        <v>14.069304658275794</v>
      </c>
      <c r="CW39" s="20">
        <f t="shared" si="13"/>
        <v>107.92467862983034</v>
      </c>
      <c r="CX39" s="59">
        <f t="shared" si="14"/>
        <v>352.43709687086476</v>
      </c>
      <c r="CY39" s="59">
        <f ca="1">AVERAGE(OFFSET($CX$3,0,0,'Données projet'!$E$13+1,1))-AVERAGE(OFFSET($H$3,0,0,'Données projet'!$E$13+1,1))</f>
        <v>303.76035885073708</v>
      </c>
      <c r="CZ39" s="59">
        <f t="shared" si="42"/>
        <v>127.43112562890414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6.4</v>
      </c>
      <c r="DO39" s="12">
        <f>IF('Données projet'!$A$166&gt;35,DO38+DN39-DW38,IF(A39&lt;'Données projet'!$A$166,$DL$205^A39,IF(A39='Données projet'!$A$166,'Données projet'!$B$166,DO38+DN39-DW38)))</f>
        <v>214.40000000000009</v>
      </c>
      <c r="DP39" s="17">
        <f>DO39*VLOOKUP('Données projet'!$B$14,Paramètres!$A$1:$I$89,3,0)*VLOOKUP('Données projet'!$B$14,Paramètres!$A$1:$I$89,5,0)</f>
        <v>123.75168000000005</v>
      </c>
      <c r="DQ39" s="13">
        <f t="shared" si="43"/>
        <v>32.548443116166098</v>
      </c>
      <c r="DR39" s="20">
        <f t="shared" si="16"/>
        <v>272.22271442732273</v>
      </c>
      <c r="DS39" s="59">
        <f t="shared" si="17"/>
        <v>516.73513266835721</v>
      </c>
      <c r="DT39" s="59">
        <f ca="1">AVERAGE(OFFSET($DS$3,0,0,'Données projet'!$E$14+1,1))-AVERAGE(OFFSET($H$3,0,0,'Données projet'!$E$14+1,1))</f>
        <v>243.65374431792841</v>
      </c>
      <c r="DU39" s="59">
        <f t="shared" si="44"/>
        <v>271.60754570002939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8.4</v>
      </c>
      <c r="EJ39" s="12">
        <f>IF('Données projet'!$A$192&gt;35,EJ38+EI39-ER38,IF(A39&lt;'Données projet'!$A$192,$EG$205^A39,IF(A39='Données projet'!$A$192,'Données projet'!$B$192,EJ38+EI39-ER38)))</f>
        <v>103.40000000000003</v>
      </c>
      <c r="EK39" s="17">
        <f>EJ39*VLOOKUP('Données projet'!$B$15,Paramètres!$A$1:$I$89,3,0)*VLOOKUP('Données projet'!$B$15,Paramètres!$A$1:$I$89,5,0)</f>
        <v>69.360720000000029</v>
      </c>
      <c r="EL39" s="13">
        <f t="shared" si="45"/>
        <v>19.514617146984691</v>
      </c>
      <c r="EM39" s="20">
        <f t="shared" si="19"/>
        <v>154.79121219766503</v>
      </c>
      <c r="EN39" s="59">
        <f t="shared" si="20"/>
        <v>399.30363043869943</v>
      </c>
      <c r="EO39" s="59">
        <f ca="1">AVERAGE(OFFSET($EN$3,0,0,'Données projet'!$E$15+1,1))-AVERAGE(OFFSET($H$3,0,0,'Données projet'!$E$15+1,1))</f>
        <v>321.44781099085594</v>
      </c>
      <c r="EP39" s="59">
        <f t="shared" si="46"/>
        <v>201.22243186578183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7.6</v>
      </c>
      <c r="FE39" s="12">
        <f>IF('Données projet'!$A$218&gt;35,FE38+FD39-FM38,IF(A39&lt;'Données projet'!$A$218,$FB$205^A39,IF(A39='Données projet'!$A$218,'Données projet'!$B$218,FE38+FD39-FM38)))</f>
        <v>122.59999999999997</v>
      </c>
      <c r="FF39" s="17">
        <f>FE39*VLOOKUP('Données projet'!$B$16,Paramètres!$A$1:$I$89,3,0)*VLOOKUP('Données projet'!$B$16,Paramètres!$A$1:$I$89,5,0)</f>
        <v>107.10336</v>
      </c>
      <c r="FG39" s="13">
        <f t="shared" si="47"/>
        <v>28.647457255358184</v>
      </c>
      <c r="FH39" s="20">
        <f t="shared" si="22"/>
        <v>236.43267338641553</v>
      </c>
      <c r="FI39" s="59">
        <f t="shared" si="23"/>
        <v>480.94509162744998</v>
      </c>
      <c r="FJ39" s="59">
        <f ca="1">AVERAGE(OFFSET($FI$3,0,0,'Données projet'!$E$16+1,1))-AVERAGE(OFFSET($H$3,0,0,'Données projet'!$E$16+1,1))</f>
        <v>285.8437404763045</v>
      </c>
      <c r="FK39" s="59">
        <f t="shared" si="48"/>
        <v>276.01618888357268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2.10757985476552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2.10757985476552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9.6</v>
      </c>
      <c r="FZ39" s="12">
        <f>IF('Données projet'!$A$244&gt;35,FZ38+FY39-GH38,IF(A39&lt;'Données projet'!$A$244,$FW$205^A39,IF(A39='Données projet'!$A$244,'Données projet'!$B$244,FZ38+FY39-GH38)))</f>
        <v>153.60000000000002</v>
      </c>
      <c r="GA39" s="17">
        <f>FZ39*VLOOKUP('Données projet'!$B$17,Paramètres!$A$1:$I$89,3,0)*VLOOKUP('Données projet'!$B$17,Paramètres!$A$1:$I$89,5,0)</f>
        <v>122.20416000000003</v>
      </c>
      <c r="GB39" s="13">
        <f t="shared" si="49"/>
        <v>32.188537573102472</v>
      </c>
      <c r="GC39" s="20">
        <f t="shared" si="25"/>
        <v>268.90061493982017</v>
      </c>
      <c r="GD39" s="59">
        <f t="shared" si="26"/>
        <v>513.41303318085465</v>
      </c>
      <c r="GE39" s="59">
        <f ca="1">AVERAGE(OFFSET($GD$3,0,0,'Données projet'!$E$17+1,1))-AVERAGE(OFFSET($H$3,0,0,'Données projet'!$E$17+1,1))</f>
        <v>323.01113210765487</v>
      </c>
      <c r="GF39" s="59">
        <f t="shared" si="50"/>
        <v>311.68541696405975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2.5592041093581308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2.5592041093581308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7.6</v>
      </c>
      <c r="GU39" s="12">
        <f>IF('Données projet'!$A$270&gt;35,GU38+GT39-HC38,IF(A39&lt;'Données projet'!$A$270,$GR$205^A39,IF(A39='Données projet'!$A$270,'Données projet'!$B$270,GU38+GT39-HC38)))</f>
        <v>122.59999999999997</v>
      </c>
      <c r="GV39" s="17">
        <f>GU39*VLOOKUP('Données projet'!$B$18,Paramètres!$A$1:$I$89,3,0)*VLOOKUP('Données projet'!$B$18,Paramètres!$A$1:$I$89,5,0)</f>
        <v>107.10336</v>
      </c>
      <c r="GW39" s="13">
        <f t="shared" si="51"/>
        <v>28.647457255358184</v>
      </c>
      <c r="GX39" s="20">
        <f t="shared" si="28"/>
        <v>236.43267338641553</v>
      </c>
      <c r="GY39" s="59">
        <f t="shared" si="29"/>
        <v>480.94509162744998</v>
      </c>
      <c r="GZ39" s="59">
        <f ca="1">AVERAGE(OFFSET($GY$3,0,0,'Données projet'!$E$18+1,1))-AVERAGE(OFFSET($H$3,0,0,'Données projet'!$E$18+1,1))</f>
        <v>285.8437404763045</v>
      </c>
      <c r="HA39" s="59">
        <f t="shared" si="52"/>
        <v>276.01618888357268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2.10757985476552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2.10757985476552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5.4</v>
      </c>
      <c r="N40" s="13">
        <f>IF('Données projet'!$A$36&gt;35,N39+M40-V39,IF(A40&lt;'Données projet'!$A$36,$K$205^A40,IF(A40='Données projet'!$A$36,'Données projet'!$B$36,N39+M40-V39)))</f>
        <v>76.8</v>
      </c>
      <c r="O40" s="13">
        <f>N40*VLOOKUP('Données projet'!$B$9,Paramètres!$A$1:$I$89,3,0)*VLOOKUP('Données projet'!$B$9,Paramètres!$A$1:$I$89,5,0)</f>
        <v>69.488640000000004</v>
      </c>
      <c r="P40" s="13">
        <f t="shared" si="33"/>
        <v>19.546414723012209</v>
      </c>
      <c r="Q40" s="20">
        <f t="shared" si="53"/>
        <v>155.06938697591292</v>
      </c>
      <c r="R40" s="59">
        <f t="shared" si="0"/>
        <v>400.42873894658402</v>
      </c>
      <c r="S40" s="59">
        <f ca="1">AVERAGE(OFFSET($R$3,0,0,'Données projet'!$E$9+1,1))-AVERAGE(OFFSET($H$3,0,0,'Données projet'!$E$9+1,1))</f>
        <v>315.34103933739129</v>
      </c>
      <c r="T40" s="59">
        <f t="shared" si="34"/>
        <v>165.80901858372513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16.534285714285716</v>
      </c>
      <c r="AI40" s="13">
        <f>IF('Données projet'!$A$62&gt;35,AI39+AH40-AQ39,IF(A40&lt;'Données projet'!$A$62,$AF$205^A40,IF(A40='Données projet'!$A$62,'Données projet'!$B$62,AI39+AH40-AQ39)))</f>
        <v>251.66428571428565</v>
      </c>
      <c r="AJ40" s="13">
        <f>AI40*VLOOKUP('Données projet'!$B$10,Paramètres!$A$1:$I$89,3,0)*VLOOKUP('Données projet'!$B$10,Paramètres!$A$1:$I$89,5,0)</f>
        <v>150.49524285714284</v>
      </c>
      <c r="AK40" s="13">
        <f t="shared" si="35"/>
        <v>38.69110973764014</v>
      </c>
      <c r="AL40" s="20">
        <f t="shared" si="4"/>
        <v>329.49956410258034</v>
      </c>
      <c r="AM40" s="59">
        <f t="shared" si="5"/>
        <v>574.85891607325141</v>
      </c>
      <c r="AN40" s="59">
        <f ca="1">AVERAGE(OFFSET($AM$3,0,0,'Données projet'!$E$10+1,1))-AVERAGE(OFFSET($H$3,0,0,'Données projet'!$E$10+1,1))</f>
        <v>317.328615425664</v>
      </c>
      <c r="AO40" s="59">
        <f t="shared" si="36"/>
        <v>324.95872842255744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25.742692063903792</v>
      </c>
      <c r="AV40" s="21">
        <f>EXP(-LN(2)/25)*AV39+(1-EXP(-LN(2)/25))/(LN(2)/25)*Calculateur!AQ40*Calculateur!AS40*VLOOKUP('Données projet'!$B$10,Paramètres!$A$1:$I$89,3,0)*0.475*44/12</f>
        <v>23.563141212073329</v>
      </c>
      <c r="AW40" s="21">
        <f>EXP(-LN(2)/2)*AW39+(1-EXP(-LN(2)/2))/(LN(2)/2)*AQ40*AT40*VLOOKUP('Données projet'!$B$10,Paramètres!$A$1:$I$89,3,0)*0.475*44/12</f>
        <v>7.2695150951350795</v>
      </c>
      <c r="AX40" s="21">
        <f t="shared" si="6"/>
        <v>56.575348371112199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13.63</v>
      </c>
      <c r="BD40" s="12">
        <f>IF('Données projet'!$A$88&gt;35,BD39+BC40-BL39,IF(A40&lt;'Données projet'!$A$88,$BA$205^A40,IF(A40='Données projet'!$A$88,'Données projet'!$B$88,BD39+BC40-BL39)))</f>
        <v>220.89</v>
      </c>
      <c r="BE40" s="13">
        <f>BD40*VLOOKUP('Données projet'!$B$11,Paramètres!$A$1:$I$89,3,0)*VLOOKUP('Données projet'!$B$11,Paramètres!$A$1:$I$89,5,0)</f>
        <v>254.46527999999998</v>
      </c>
      <c r="BF40" s="13">
        <f t="shared" si="37"/>
        <v>61.541125946029794</v>
      </c>
      <c r="BG40" s="20">
        <f t="shared" si="7"/>
        <v>550.37782368933517</v>
      </c>
      <c r="BH40" s="59">
        <f t="shared" si="8"/>
        <v>795.7371756600063</v>
      </c>
      <c r="BI40" s="59">
        <f ca="1">AVERAGE(OFFSET($BH$3,0,0,'Données projet'!$E$11+1,1))-AVERAGE(OFFSET($H$3,0,0,'Données projet'!$E$11+1,1))</f>
        <v>418.31716673276725</v>
      </c>
      <c r="BJ40" s="59">
        <f t="shared" si="38"/>
        <v>472.37891533957929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2.4359874135555306</v>
      </c>
      <c r="BQ40" s="21">
        <f>EXP(-LN(2)/25)*BQ39+(1-EXP(-LN(2)/25))/(LN(2)/25)*Calculateur!BL40*Calculateur!BN40*VLOOKUP('Données projet'!$B$11,Paramètres!$A$1:$I$89,3,0)*0.475*44/12</f>
        <v>13.527466364478171</v>
      </c>
      <c r="BR40" s="21">
        <f>EXP(-LN(2)/2)*BR39+(1-EXP(-LN(2)/2))/(LN(2)/2)*BL40*BO40*VLOOKUP('Données projet'!$B$11,Paramètres!$A$1:$I$89,3,0)*0.475*44/12</f>
        <v>0.98923104655535021</v>
      </c>
      <c r="BS40" s="22">
        <f t="shared" si="9"/>
        <v>16.952684824589053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5.7811111111111124</v>
      </c>
      <c r="BY40" s="12">
        <f>IF('Données projet'!$A$114&gt;35,BY39+BX40-CG39,IF(A40&lt;'Données projet'!$A$114,$BV$205^A40,IF(A40='Données projet'!$A$114,'Données projet'!$B$114,BY39+BX40-CG39)))</f>
        <v>82.49111111111111</v>
      </c>
      <c r="BZ40" s="13">
        <f>BY40*VLOOKUP('Données projet'!$B$12,Paramètres!$A$1:$I$89,3,0)*VLOOKUP('Données projet'!$B$12,Paramètres!$A$1:$I$89,5,0)</f>
        <v>48.257300000000008</v>
      </c>
      <c r="CA40" s="13">
        <f t="shared" si="39"/>
        <v>14.162774776754532</v>
      </c>
      <c r="CB40" s="20">
        <f t="shared" si="10"/>
        <v>108.71496356951415</v>
      </c>
      <c r="CC40" s="59">
        <f t="shared" si="11"/>
        <v>354.07431554018524</v>
      </c>
      <c r="CD40" s="59">
        <f ca="1">AVERAGE(OFFSET($CC$3,0,0,'Données projet'!$E$12+1,1))-AVERAGE(OFFSET($H$3,0,0,'Données projet'!$E$12+1,1))</f>
        <v>184.11352167663844</v>
      </c>
      <c r="CE40" s="59">
        <f t="shared" si="40"/>
        <v>145.86653500981791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1.9857468067498585</v>
      </c>
      <c r="CL40" s="21">
        <f>EXP(-LN(2)/25)*CL39+(1-EXP(-LN(2)/25))/(LN(2)/25)*Calculateur!CG40*Calculateur!CI40*VLOOKUP('Données projet'!$B$12,Paramètres!$A$1:$I$89,3,0)*0.475*44/12</f>
        <v>4.4152234736273615</v>
      </c>
      <c r="CM40" s="21">
        <f>EXP(-LN(2)/2)*CM39+(1-EXP(-LN(2)/2))/(LN(2)/2)*CG40*CJ40*VLOOKUP('Données projet'!$B$12,Paramètres!$A$1:$I$89,3,0)*0.475*44/12</f>
        <v>4.7538168940739851</v>
      </c>
      <c r="CN40" s="22">
        <f t="shared" si="12"/>
        <v>11.154787174451204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6.347999999999999</v>
      </c>
      <c r="CT40" s="12">
        <f>IF('Données projet'!$A$140&gt;35,CT39+CS40-DB39,IF(A40&lt;'Données projet'!$A$140,$CQ$205^A40,IF(A40='Données projet'!$A$140,'Données projet'!$B$140,CT39+CS40-DB39)))</f>
        <v>105.92600000000002</v>
      </c>
      <c r="CU40" s="17">
        <f>CT40*VLOOKUP('Données projet'!$B$13,Paramètres!$A$1:$I$89,3,0)*VLOOKUP('Données projet'!$B$13,Paramètres!$A$1:$I$89,5,0)</f>
        <v>50.950406000000008</v>
      </c>
      <c r="CV40" s="13">
        <f t="shared" si="41"/>
        <v>14.858936528327767</v>
      </c>
      <c r="CW40" s="20">
        <f t="shared" si="13"/>
        <v>114.61793823683753</v>
      </c>
      <c r="CX40" s="59">
        <f t="shared" si="14"/>
        <v>359.97729020750864</v>
      </c>
      <c r="CY40" s="59">
        <f ca="1">AVERAGE(OFFSET($CX$3,0,0,'Données projet'!$E$13+1,1))-AVERAGE(OFFSET($H$3,0,0,'Données projet'!$E$13+1,1))</f>
        <v>303.76035885073708</v>
      </c>
      <c r="CZ40" s="59">
        <f t="shared" si="42"/>
        <v>127.43112562890414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6.4</v>
      </c>
      <c r="DO40" s="12">
        <f>IF('Données projet'!$A$166&gt;35,DO39+DN40-DW39,IF(A40&lt;'Données projet'!$A$166,$DL$205^A40,IF(A40='Données projet'!$A$166,'Données projet'!$B$166,DO39+DN40-DW39)))</f>
        <v>220.8000000000001</v>
      </c>
      <c r="DP40" s="17">
        <f>DO40*VLOOKUP('Données projet'!$B$14,Paramètres!$A$1:$I$89,3,0)*VLOOKUP('Données projet'!$B$14,Paramètres!$A$1:$I$89,5,0)</f>
        <v>127.44576000000006</v>
      </c>
      <c r="DQ40" s="13">
        <f t="shared" si="43"/>
        <v>33.405469562986674</v>
      </c>
      <c r="DR40" s="20">
        <f t="shared" si="16"/>
        <v>280.14922482220192</v>
      </c>
      <c r="DS40" s="59">
        <f t="shared" si="17"/>
        <v>525.50857679287299</v>
      </c>
      <c r="DT40" s="59">
        <f ca="1">AVERAGE(OFFSET($DS$3,0,0,'Données projet'!$E$14+1,1))-AVERAGE(OFFSET($H$3,0,0,'Données projet'!$E$14+1,1))</f>
        <v>243.65374431792841</v>
      </c>
      <c r="DU40" s="59">
        <f t="shared" si="44"/>
        <v>271.60754570002939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8.4</v>
      </c>
      <c r="EJ40" s="12">
        <f>IF('Données projet'!$A$192&gt;35,EJ39+EI40-ER39,IF(A40&lt;'Données projet'!$A$192,$EG$205^A40,IF(A40='Données projet'!$A$192,'Données projet'!$B$192,EJ39+EI40-ER39)))</f>
        <v>111.80000000000004</v>
      </c>
      <c r="EK40" s="17">
        <f>EJ40*VLOOKUP('Données projet'!$B$15,Paramètres!$A$1:$I$89,3,0)*VLOOKUP('Données projet'!$B$15,Paramètres!$A$1:$I$89,5,0)</f>
        <v>74.995440000000031</v>
      </c>
      <c r="EL40" s="13">
        <f t="shared" si="45"/>
        <v>20.908980854017098</v>
      </c>
      <c r="EM40" s="20">
        <f t="shared" si="19"/>
        <v>167.03353298741317</v>
      </c>
      <c r="EN40" s="59">
        <f t="shared" si="20"/>
        <v>412.39288495808427</v>
      </c>
      <c r="EO40" s="59">
        <f ca="1">AVERAGE(OFFSET($EN$3,0,0,'Données projet'!$E$15+1,1))-AVERAGE(OFFSET($H$3,0,0,'Données projet'!$E$15+1,1))</f>
        <v>321.44781099085594</v>
      </c>
      <c r="EP40" s="59">
        <f t="shared" si="46"/>
        <v>201.22243186578183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7.6</v>
      </c>
      <c r="FE40" s="12">
        <f>IF('Données projet'!$A$218&gt;35,FE39+FD40-FM39,IF(A40&lt;'Données projet'!$A$218,$FB$205^A40,IF(A40='Données projet'!$A$218,'Données projet'!$B$218,FE39+FD40-FM39)))</f>
        <v>130.19999999999996</v>
      </c>
      <c r="FF40" s="17">
        <f>FE40*VLOOKUP('Données projet'!$B$16,Paramètres!$A$1:$I$89,3,0)*VLOOKUP('Données projet'!$B$16,Paramètres!$A$1:$I$89,5,0)</f>
        <v>113.74271999999996</v>
      </c>
      <c r="FG40" s="13">
        <f t="shared" si="47"/>
        <v>30.211074114233345</v>
      </c>
      <c r="FH40" s="20">
        <f t="shared" si="22"/>
        <v>250.71952474895636</v>
      </c>
      <c r="FI40" s="59">
        <f t="shared" si="23"/>
        <v>496.07887671962749</v>
      </c>
      <c r="FJ40" s="59">
        <f ca="1">AVERAGE(OFFSET($FI$3,0,0,'Données projet'!$E$16+1,1))-AVERAGE(OFFSET($H$3,0,0,'Données projet'!$E$16+1,1))</f>
        <v>285.8437404763045</v>
      </c>
      <c r="FK40" s="59">
        <f t="shared" si="48"/>
        <v>276.01618888357268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2.0662514993103471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2.0662514993103471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9.6</v>
      </c>
      <c r="FZ40" s="12">
        <f>IF('Données projet'!$A$244&gt;35,FZ39+FY40-GH39,IF(A40&lt;'Données projet'!$A$244,$FW$205^A40,IF(A40='Données projet'!$A$244,'Données projet'!$B$244,FZ39+FY40-GH39)))</f>
        <v>163.20000000000002</v>
      </c>
      <c r="GA40" s="17">
        <f>FZ40*VLOOKUP('Données projet'!$B$17,Paramètres!$A$1:$I$89,3,0)*VLOOKUP('Données projet'!$B$17,Paramètres!$A$1:$I$89,5,0)</f>
        <v>129.84192000000002</v>
      </c>
      <c r="GB40" s="13">
        <f t="shared" si="49"/>
        <v>33.959829099416851</v>
      </c>
      <c r="GC40" s="20">
        <f t="shared" si="25"/>
        <v>285.288046348151</v>
      </c>
      <c r="GD40" s="59">
        <f t="shared" si="26"/>
        <v>530.64739831882207</v>
      </c>
      <c r="GE40" s="59">
        <f ca="1">AVERAGE(OFFSET($GD$3,0,0,'Données projet'!$E$17+1,1))-AVERAGE(OFFSET($H$3,0,0,'Données projet'!$E$17+1,1))</f>
        <v>323.01113210765487</v>
      </c>
      <c r="GF40" s="59">
        <f t="shared" si="50"/>
        <v>311.68541696405975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2.5090196777339924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2.5090196777339924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7.6</v>
      </c>
      <c r="GU40" s="12">
        <f>IF('Données projet'!$A$270&gt;35,GU39+GT40-HC39,IF(A40&lt;'Données projet'!$A$270,$GR$205^A40,IF(A40='Données projet'!$A$270,'Données projet'!$B$270,GU39+GT40-HC39)))</f>
        <v>130.19999999999996</v>
      </c>
      <c r="GV40" s="17">
        <f>GU40*VLOOKUP('Données projet'!$B$18,Paramètres!$A$1:$I$89,3,0)*VLOOKUP('Données projet'!$B$18,Paramètres!$A$1:$I$89,5,0)</f>
        <v>113.74271999999996</v>
      </c>
      <c r="GW40" s="13">
        <f t="shared" si="51"/>
        <v>30.211074114233345</v>
      </c>
      <c r="GX40" s="20">
        <f t="shared" si="28"/>
        <v>250.71952474895636</v>
      </c>
      <c r="GY40" s="59">
        <f t="shared" si="29"/>
        <v>496.07887671962749</v>
      </c>
      <c r="GZ40" s="59">
        <f ca="1">AVERAGE(OFFSET($GY$3,0,0,'Données projet'!$E$18+1,1))-AVERAGE(OFFSET($H$3,0,0,'Données projet'!$E$18+1,1))</f>
        <v>285.8437404763045</v>
      </c>
      <c r="HA40" s="59">
        <f t="shared" si="52"/>
        <v>276.01618888357268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2.0662514993103471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2.0662514993103471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5.4</v>
      </c>
      <c r="N41" s="13">
        <f>IF('Données projet'!$A$36&gt;35,N40+M41-V40,IF(A41&lt;'Données projet'!$A$36,$K$205^A41,IF(A41='Données projet'!$A$36,'Données projet'!$B$36,N40+M41-V40)))</f>
        <v>82.2</v>
      </c>
      <c r="O41" s="13">
        <f>N41*VLOOKUP('Données projet'!$B$9,Paramètres!$A$1:$I$89,3,0)*VLOOKUP('Données projet'!$B$9,Paramètres!$A$1:$I$89,5,0)</f>
        <v>74.374559999999988</v>
      </c>
      <c r="P41" s="13">
        <f t="shared" si="33"/>
        <v>20.755952735382312</v>
      </c>
      <c r="Q41" s="20">
        <f t="shared" si="53"/>
        <v>165.68564301412417</v>
      </c>
      <c r="R41" s="59">
        <f t="shared" si="0"/>
        <v>411.87723630768289</v>
      </c>
      <c r="S41" s="59">
        <f ca="1">AVERAGE(OFFSET($R$3,0,0,'Données projet'!$E$9+1,1))-AVERAGE(OFFSET($H$3,0,0,'Données projet'!$E$9+1,1))</f>
        <v>315.34103933739129</v>
      </c>
      <c r="T41" s="59">
        <f t="shared" si="34"/>
        <v>165.80901858372513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16.534285714285716</v>
      </c>
      <c r="AI41" s="13">
        <f>IF('Données projet'!$A$62&gt;35,AI40+AH41-AQ40,IF(A41&lt;'Données projet'!$A$62,$AF$205^A41,IF(A41='Données projet'!$A$62,'Données projet'!$B$62,AI40+AH41-AQ40)))</f>
        <v>268.19857142857137</v>
      </c>
      <c r="AJ41" s="13">
        <f>AI41*VLOOKUP('Données projet'!$B$10,Paramètres!$A$1:$I$89,3,0)*VLOOKUP('Données projet'!$B$10,Paramètres!$A$1:$I$89,5,0)</f>
        <v>160.3827457142857</v>
      </c>
      <c r="AK41" s="13">
        <f t="shared" si="35"/>
        <v>40.928832762511696</v>
      </c>
      <c r="AL41" s="20">
        <f t="shared" si="4"/>
        <v>350.6176658470888</v>
      </c>
      <c r="AM41" s="59">
        <f t="shared" si="5"/>
        <v>596.80925914064755</v>
      </c>
      <c r="AN41" s="59">
        <f ca="1">AVERAGE(OFFSET($AM$3,0,0,'Données projet'!$E$10+1,1))-AVERAGE(OFFSET($H$3,0,0,'Données projet'!$E$10+1,1))</f>
        <v>317.328615425664</v>
      </c>
      <c r="AO41" s="59">
        <f t="shared" si="36"/>
        <v>324.95872842255744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25.237893574022404</v>
      </c>
      <c r="AV41" s="21">
        <f>EXP(-LN(2)/25)*AV40+(1-EXP(-LN(2)/25))/(LN(2)/25)*Calculateur!AQ41*Calculateur!AS41*VLOOKUP('Données projet'!$B$10,Paramètres!$A$1:$I$89,3,0)*0.475*44/12</f>
        <v>22.918805876497441</v>
      </c>
      <c r="AW41" s="21">
        <f>EXP(-LN(2)/2)*AW40+(1-EXP(-LN(2)/2))/(LN(2)/2)*AQ41*AT41*VLOOKUP('Données projet'!$B$10,Paramètres!$A$1:$I$89,3,0)*0.475*44/12</f>
        <v>5.1403234197079852</v>
      </c>
      <c r="AX41" s="21">
        <f t="shared" si="6"/>
        <v>53.297022870227828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>
        <f>VLOOKUP(A41,'Données projet'!$A$87:$I$107,2,0)</f>
        <v>234.52</v>
      </c>
      <c r="BB41" s="12">
        <f>VLOOKUP(A41,'Données projet'!$A$87:$I$107,9,0)</f>
        <v>13.63</v>
      </c>
      <c r="BC41" s="12">
        <f t="array" ref="BC41">INDEX(BB:BB,MIN(IF(ISNUMBER(BB41:BB237),ROW(BB41:BB237),"")))</f>
        <v>13.63</v>
      </c>
      <c r="BD41" s="12">
        <f>IF('Données projet'!$A$88&gt;35,BD40+BC41-BL40,IF(A41&lt;'Données projet'!$A$88,$BA$205^A41,IF(A41='Données projet'!$A$88,'Données projet'!$B$88,BD40+BC41-BL40)))</f>
        <v>234.51999999999998</v>
      </c>
      <c r="BE41" s="13">
        <f>BD41*VLOOKUP('Données projet'!$B$11,Paramètres!$A$1:$I$89,3,0)*VLOOKUP('Données projet'!$B$11,Paramètres!$A$1:$I$89,5,0)</f>
        <v>270.16703999999999</v>
      </c>
      <c r="BF41" s="13">
        <f t="shared" si="37"/>
        <v>64.884718115508605</v>
      </c>
      <c r="BG41" s="20">
        <f t="shared" si="7"/>
        <v>583.5484787178442</v>
      </c>
      <c r="BH41" s="59">
        <f t="shared" si="8"/>
        <v>829.74007201140296</v>
      </c>
      <c r="BI41" s="59">
        <f ca="1">AVERAGE(OFFSET($BH$3,0,0,'Données projet'!$E$11+1,1))-AVERAGE(OFFSET($H$3,0,0,'Données projet'!$E$11+1,1))</f>
        <v>418.31716673276725</v>
      </c>
      <c r="BJ41" s="59">
        <f t="shared" si="38"/>
        <v>472.37891533957929</v>
      </c>
      <c r="BK41" s="15">
        <f>IF(ISNA(VLOOKUP(A41,'Données projet'!$A$87:$I$107,3,0)),0,VLOOKUP(A41,'Données projet'!$A$87:$I$107,3,0))</f>
        <v>3</v>
      </c>
      <c r="BL41" s="15">
        <f>IF(ISNA(VLOOKUP(A41,'Données projet'!$A$87:$I$107,4,0)),0,VLOOKUP(A41,'Données projet'!$A$87:$I$107,4,0))</f>
        <v>53.95</v>
      </c>
      <c r="BM41" s="16">
        <f>IF(ISNA(VLOOKUP(A41,'Données projet'!$A$87:$I$107,5,0)),0%,VLOOKUP(A41,'Données projet'!$A$87:$I$107,5,0)*VLOOKUP('Données projet'!$B$11,Paramètres!$A$1:$I$89,7,0))</f>
        <v>0.18000000000000002</v>
      </c>
      <c r="BN41" s="16">
        <f>IF(ISNA(VLOOKUP(A41,'Données projet'!$A$87:$I$107,6,0)),0%,VLOOKUP(A41,'Données projet'!$A$87:$I$107,6,0)*VLOOKUP('Données projet'!$B$11,Paramètres!$A$1:$I$89,7,0))</f>
        <v>0.15300000000000002</v>
      </c>
      <c r="BO41" s="16">
        <f>IF(ISNA(VLOOKUP(A41,'Données projet'!$A$87:$I$107,7,0)),0%,VLOOKUP(A41,'Données projet'!$A$87:$I$107,7,0))</f>
        <v>0.26</v>
      </c>
      <c r="BP41" s="21">
        <f>EXP(-LN(2)/35)*BP40+(1-EXP(-LN(2)/35))/(LN(2)/35)*BL41*BM41*VLOOKUP('Données projet'!$B$11,Paramètres!$A$1:$I$89,3,0)*0.475*44/12</f>
        <v>10.426754060487905</v>
      </c>
      <c r="BQ41" s="21">
        <f>EXP(-LN(2)/25)*BQ40+(1-EXP(-LN(2)/25))/(LN(2)/25)*Calculateur!BL41*Calculateur!BN41*VLOOKUP('Données projet'!$B$11,Paramètres!$A$1:$I$89,3,0)*0.475*44/12</f>
        <v>19.963408570009822</v>
      </c>
      <c r="BR41" s="21">
        <f>EXP(-LN(2)/2)*BR40+(1-EXP(-LN(2)/2))/(LN(2)/2)*BL41*BO41*VLOOKUP('Données projet'!$B$11,Paramètres!$A$1:$I$89,3,0)*0.475*44/12</f>
        <v>10.609749182119486</v>
      </c>
      <c r="BS41" s="22">
        <f t="shared" si="9"/>
        <v>40.999911812617214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5.7811111111111124</v>
      </c>
      <c r="BY41" s="12">
        <f>IF('Données projet'!$A$114&gt;35,BY40+BX41-CG40,IF(A41&lt;'Données projet'!$A$114,$BV$205^A41,IF(A41='Données projet'!$A$114,'Données projet'!$B$114,BY40+BX41-CG40)))</f>
        <v>88.272222222222226</v>
      </c>
      <c r="BZ41" s="13">
        <f>BY41*VLOOKUP('Données projet'!$B$12,Paramètres!$A$1:$I$89,3,0)*VLOOKUP('Données projet'!$B$12,Paramètres!$A$1:$I$89,5,0)</f>
        <v>51.639250000000004</v>
      </c>
      <c r="CA41" s="13">
        <f t="shared" si="39"/>
        <v>15.03630503584429</v>
      </c>
      <c r="CB41" s="20">
        <f t="shared" si="10"/>
        <v>116.12659168742881</v>
      </c>
      <c r="CC41" s="59">
        <f t="shared" si="11"/>
        <v>362.31818498098755</v>
      </c>
      <c r="CD41" s="59">
        <f ca="1">AVERAGE(OFFSET($CC$3,0,0,'Données projet'!$E$12+1,1))-AVERAGE(OFFSET($H$3,0,0,'Données projet'!$E$12+1,1))</f>
        <v>184.11352167663844</v>
      </c>
      <c r="CE41" s="59">
        <f t="shared" si="40"/>
        <v>145.86653500981791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1.9468075230554511</v>
      </c>
      <c r="CL41" s="21">
        <f>EXP(-LN(2)/25)*CL40+(1-EXP(-LN(2)/25))/(LN(2)/25)*Calculateur!CG41*Calculateur!CI41*VLOOKUP('Données projet'!$B$12,Paramètres!$A$1:$I$89,3,0)*0.475*44/12</f>
        <v>4.2944889555545096</v>
      </c>
      <c r="CM41" s="21">
        <f>EXP(-LN(2)/2)*CM40+(1-EXP(-LN(2)/2))/(LN(2)/2)*CG41*CJ41*VLOOKUP('Données projet'!$B$12,Paramètres!$A$1:$I$89,3,0)*0.475*44/12</f>
        <v>3.3614561623188868</v>
      </c>
      <c r="CN41" s="22">
        <f t="shared" si="12"/>
        <v>9.6027526409288484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6.347999999999999</v>
      </c>
      <c r="CT41" s="12">
        <f>IF('Données projet'!$A$140&gt;35,CT40+CS41-DB40,IF(A41&lt;'Données projet'!$A$140,$CQ$205^A41,IF(A41='Données projet'!$A$140,'Données projet'!$B$140,CT40+CS41-DB40)))</f>
        <v>112.27400000000002</v>
      </c>
      <c r="CU41" s="17">
        <f>CT41*VLOOKUP('Données projet'!$B$13,Paramètres!$A$1:$I$89,3,0)*VLOOKUP('Données projet'!$B$13,Paramètres!$A$1:$I$89,5,0)</f>
        <v>54.003794000000006</v>
      </c>
      <c r="CV41" s="13">
        <f t="shared" si="41"/>
        <v>15.643075866626202</v>
      </c>
      <c r="CW41" s="20">
        <f t="shared" si="13"/>
        <v>121.30163168437396</v>
      </c>
      <c r="CX41" s="59">
        <f t="shared" si="14"/>
        <v>367.4932249779327</v>
      </c>
      <c r="CY41" s="59">
        <f ca="1">AVERAGE(OFFSET($CX$3,0,0,'Données projet'!$E$13+1,1))-AVERAGE(OFFSET($H$3,0,0,'Données projet'!$E$13+1,1))</f>
        <v>303.76035885073708</v>
      </c>
      <c r="CZ41" s="59">
        <f t="shared" si="42"/>
        <v>127.43112562890414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6.4</v>
      </c>
      <c r="DO41" s="12">
        <f>IF('Données projet'!$A$166&gt;35,DO40+DN41-DW40,IF(A41&lt;'Données projet'!$A$166,$DL$205^A41,IF(A41='Données projet'!$A$166,'Données projet'!$B$166,DO40+DN41-DW40)))</f>
        <v>227.2000000000001</v>
      </c>
      <c r="DP41" s="17">
        <f>DO41*VLOOKUP('Données projet'!$B$14,Paramètres!$A$1:$I$89,3,0)*VLOOKUP('Données projet'!$B$14,Paramètres!$A$1:$I$89,5,0)</f>
        <v>131.13984000000005</v>
      </c>
      <c r="DQ41" s="13">
        <f t="shared" si="43"/>
        <v>34.259608922345194</v>
      </c>
      <c r="DR41" s="20">
        <f t="shared" si="16"/>
        <v>288.07070687308465</v>
      </c>
      <c r="DS41" s="59">
        <f t="shared" si="17"/>
        <v>534.2623001666434</v>
      </c>
      <c r="DT41" s="59">
        <f ca="1">AVERAGE(OFFSET($DS$3,0,0,'Données projet'!$E$14+1,1))-AVERAGE(OFFSET($H$3,0,0,'Données projet'!$E$14+1,1))</f>
        <v>243.65374431792841</v>
      </c>
      <c r="DU41" s="59">
        <f t="shared" si="44"/>
        <v>271.60754570002939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8.4</v>
      </c>
      <c r="EJ41" s="12">
        <f>IF('Données projet'!$A$192&gt;35,EJ40+EI41-ER40,IF(A41&lt;'Données projet'!$A$192,$EG$205^A41,IF(A41='Données projet'!$A$192,'Données projet'!$B$192,EJ40+EI41-ER40)))</f>
        <v>120.20000000000005</v>
      </c>
      <c r="EK41" s="17">
        <f>EJ41*VLOOKUP('Données projet'!$B$15,Paramètres!$A$1:$I$89,3,0)*VLOOKUP('Données projet'!$B$15,Paramètres!$A$1:$I$89,5,0)</f>
        <v>80.630160000000032</v>
      </c>
      <c r="EL41" s="13">
        <f t="shared" si="45"/>
        <v>22.291191095412266</v>
      </c>
      <c r="EM41" s="20">
        <f t="shared" si="19"/>
        <v>179.25468649117639</v>
      </c>
      <c r="EN41" s="59">
        <f t="shared" si="20"/>
        <v>425.44627978473511</v>
      </c>
      <c r="EO41" s="59">
        <f ca="1">AVERAGE(OFFSET($EN$3,0,0,'Données projet'!$E$15+1,1))-AVERAGE(OFFSET($H$3,0,0,'Données projet'!$E$15+1,1))</f>
        <v>321.44781099085594</v>
      </c>
      <c r="EP41" s="59">
        <f t="shared" si="46"/>
        <v>201.22243186578183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7.6</v>
      </c>
      <c r="FE41" s="12">
        <f>IF('Données projet'!$A$218&gt;35,FE40+FD41-FM40,IF(A41&lt;'Données projet'!$A$218,$FB$205^A41,IF(A41='Données projet'!$A$218,'Données projet'!$B$218,FE40+FD41-FM40)))</f>
        <v>137.79999999999995</v>
      </c>
      <c r="FF41" s="17">
        <f>FE41*VLOOKUP('Données projet'!$B$16,Paramètres!$A$1:$I$89,3,0)*VLOOKUP('Données projet'!$B$16,Paramètres!$A$1:$I$89,5,0)</f>
        <v>120.38207999999997</v>
      </c>
      <c r="FG41" s="13">
        <f t="shared" si="47"/>
        <v>31.764096685603551</v>
      </c>
      <c r="FH41" s="20">
        <f t="shared" si="22"/>
        <v>264.98792439409277</v>
      </c>
      <c r="FI41" s="59">
        <f t="shared" si="23"/>
        <v>511.17951768765147</v>
      </c>
      <c r="FJ41" s="59">
        <f ca="1">AVERAGE(OFFSET($FI$3,0,0,'Données projet'!$E$16+1,1))-AVERAGE(OFFSET($H$3,0,0,'Données projet'!$E$16+1,1))</f>
        <v>285.8437404763045</v>
      </c>
      <c r="FK41" s="59">
        <f t="shared" si="48"/>
        <v>276.01618888357268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2.0257335676978427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2.0257335676978427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9.6</v>
      </c>
      <c r="FZ41" s="12">
        <f>IF('Données projet'!$A$244&gt;35,FZ40+FY41-GH40,IF(A41&lt;'Données projet'!$A$244,$FW$205^A41,IF(A41='Données projet'!$A$244,'Données projet'!$B$244,FZ40+FY41-GH40)))</f>
        <v>172.8</v>
      </c>
      <c r="GA41" s="17">
        <f>FZ41*VLOOKUP('Données projet'!$B$17,Paramètres!$A$1:$I$89,3,0)*VLOOKUP('Données projet'!$B$17,Paramètres!$A$1:$I$89,5,0)</f>
        <v>137.47968000000003</v>
      </c>
      <c r="GB41" s="13">
        <f t="shared" si="49"/>
        <v>35.719026553355249</v>
      </c>
      <c r="GC41" s="20">
        <f t="shared" si="25"/>
        <v>301.65441391376049</v>
      </c>
      <c r="GD41" s="59">
        <f t="shared" si="26"/>
        <v>547.84600720731919</v>
      </c>
      <c r="GE41" s="59">
        <f ca="1">AVERAGE(OFFSET($GD$3,0,0,'Données projet'!$E$17+1,1))-AVERAGE(OFFSET($H$3,0,0,'Données projet'!$E$17+1,1))</f>
        <v>323.01113210765487</v>
      </c>
      <c r="GF41" s="59">
        <f t="shared" si="50"/>
        <v>311.68541696405975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2.4598193322045225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2.4598193322045225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7.6</v>
      </c>
      <c r="GU41" s="12">
        <f>IF('Données projet'!$A$270&gt;35,GU40+GT41-HC40,IF(A41&lt;'Données projet'!$A$270,$GR$205^A41,IF(A41='Données projet'!$A$270,'Données projet'!$B$270,GU40+GT41-HC40)))</f>
        <v>137.79999999999995</v>
      </c>
      <c r="GV41" s="17">
        <f>GU41*VLOOKUP('Données projet'!$B$18,Paramètres!$A$1:$I$89,3,0)*VLOOKUP('Données projet'!$B$18,Paramètres!$A$1:$I$89,5,0)</f>
        <v>120.38207999999997</v>
      </c>
      <c r="GW41" s="13">
        <f t="shared" si="51"/>
        <v>31.764096685603551</v>
      </c>
      <c r="GX41" s="20">
        <f t="shared" si="28"/>
        <v>264.98792439409277</v>
      </c>
      <c r="GY41" s="59">
        <f t="shared" si="29"/>
        <v>511.17951768765147</v>
      </c>
      <c r="GZ41" s="59">
        <f ca="1">AVERAGE(OFFSET($GY$3,0,0,'Données projet'!$E$18+1,1))-AVERAGE(OFFSET($H$3,0,0,'Données projet'!$E$18+1,1))</f>
        <v>285.8437404763045</v>
      </c>
      <c r="HA41" s="59">
        <f t="shared" si="52"/>
        <v>276.01618888357268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2.0257335676978427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2.0257335676978427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5.4</v>
      </c>
      <c r="N42" s="13">
        <f>IF('Données projet'!$A$36&gt;35,N41+M42-V41,IF(A42&lt;'Données projet'!$A$36,$K$205^A42,IF(A42='Données projet'!$A$36,'Données projet'!$B$36,N41+M42-V41)))</f>
        <v>87.600000000000009</v>
      </c>
      <c r="O42" s="13">
        <f>N42*VLOOKUP('Données projet'!$B$9,Paramètres!$A$1:$I$89,3,0)*VLOOKUP('Données projet'!$B$9,Paramètres!$A$1:$I$89,5,0)</f>
        <v>79.260480000000001</v>
      </c>
      <c r="P42" s="13">
        <f t="shared" si="33"/>
        <v>21.956270028417133</v>
      </c>
      <c r="Q42" s="20">
        <f t="shared" si="53"/>
        <v>176.28583963282651</v>
      </c>
      <c r="R42" s="59">
        <f t="shared" si="0"/>
        <v>423.29523672293362</v>
      </c>
      <c r="S42" s="59">
        <f ca="1">AVERAGE(OFFSET($R$3,0,0,'Données projet'!$E$9+1,1))-AVERAGE(OFFSET($H$3,0,0,'Données projet'!$E$9+1,1))</f>
        <v>315.34103933739129</v>
      </c>
      <c r="T42" s="59">
        <f t="shared" si="34"/>
        <v>165.80901858372513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16.534285714285716</v>
      </c>
      <c r="AI42" s="13">
        <f>IF('Données projet'!$A$62&gt;35,AI41+AH42-AQ41,IF(A42&lt;'Données projet'!$A$62,$AF$205^A42,IF(A42='Données projet'!$A$62,'Données projet'!$B$62,AI41+AH42-AQ41)))</f>
        <v>284.73285714285709</v>
      </c>
      <c r="AJ42" s="13">
        <f>AI42*VLOOKUP('Données projet'!$B$10,Paramètres!$A$1:$I$89,3,0)*VLOOKUP('Données projet'!$B$10,Paramètres!$A$1:$I$89,5,0)</f>
        <v>170.27024857142854</v>
      </c>
      <c r="AK42" s="13">
        <f t="shared" si="35"/>
        <v>43.150544678675374</v>
      </c>
      <c r="AL42" s="20">
        <f t="shared" si="4"/>
        <v>371.70788157726429</v>
      </c>
      <c r="AM42" s="59">
        <f t="shared" si="5"/>
        <v>618.71727866737137</v>
      </c>
      <c r="AN42" s="59">
        <f ca="1">AVERAGE(OFFSET($AM$3,0,0,'Données projet'!$E$10+1,1))-AVERAGE(OFFSET($H$3,0,0,'Données projet'!$E$10+1,1))</f>
        <v>317.328615425664</v>
      </c>
      <c r="AO42" s="59">
        <f t="shared" si="36"/>
        <v>324.95872842255744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24.742993874630915</v>
      </c>
      <c r="AV42" s="21">
        <f>EXP(-LN(2)/25)*AV41+(1-EXP(-LN(2)/25))/(LN(2)/25)*Calculateur!AQ42*Calculateur!AS42*VLOOKUP('Données projet'!$B$10,Paramètres!$A$1:$I$89,3,0)*0.475*44/12</f>
        <v>22.292089924557001</v>
      </c>
      <c r="AW42" s="21">
        <f>EXP(-LN(2)/2)*AW41+(1-EXP(-LN(2)/2))/(LN(2)/2)*AQ42*AT42*VLOOKUP('Données projet'!$B$10,Paramètres!$A$1:$I$89,3,0)*0.475*44/12</f>
        <v>3.6347575475675402</v>
      </c>
      <c r="AX42" s="21">
        <f t="shared" si="6"/>
        <v>50.669841346755454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13.096666666666673</v>
      </c>
      <c r="BD42" s="12">
        <f>IF('Données projet'!$A$88&gt;35,BD41+BC42-BL41,IF(A42&lt;'Données projet'!$A$88,$BA$205^A42,IF(A42='Données projet'!$A$88,'Données projet'!$B$88,BD41+BC42-BL41)))</f>
        <v>193.66666666666663</v>
      </c>
      <c r="BE42" s="13">
        <f>BD42*VLOOKUP('Données projet'!$B$11,Paramètres!$A$1:$I$89,3,0)*VLOOKUP('Données projet'!$B$11,Paramètres!$A$1:$I$89,5,0)</f>
        <v>223.10399999999996</v>
      </c>
      <c r="BF42" s="13">
        <f t="shared" si="37"/>
        <v>54.788973692204124</v>
      </c>
      <c r="BG42" s="20">
        <f t="shared" si="7"/>
        <v>483.99692918058872</v>
      </c>
      <c r="BH42" s="59">
        <f t="shared" si="8"/>
        <v>731.00632627069581</v>
      </c>
      <c r="BI42" s="59">
        <f ca="1">AVERAGE(OFFSET($BH$3,0,0,'Données projet'!$E$11+1,1))-AVERAGE(OFFSET($H$3,0,0,'Données projet'!$E$11+1,1))</f>
        <v>418.31716673276725</v>
      </c>
      <c r="BJ42" s="59">
        <f t="shared" si="38"/>
        <v>472.37891533957929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10.222291773053747</v>
      </c>
      <c r="BQ42" s="21">
        <f>EXP(-LN(2)/25)*BQ41+(1-EXP(-LN(2)/25))/(LN(2)/25)*Calculateur!BL42*Calculateur!BN42*VLOOKUP('Données projet'!$B$11,Paramètres!$A$1:$I$89,3,0)*0.475*44/12</f>
        <v>19.417508112832873</v>
      </c>
      <c r="BR42" s="21">
        <f>EXP(-LN(2)/2)*BR41+(1-EXP(-LN(2)/2))/(LN(2)/2)*BL42*BO42*VLOOKUP('Données projet'!$B$11,Paramètres!$A$1:$I$89,3,0)*0.475*44/12</f>
        <v>7.5022255933651154</v>
      </c>
      <c r="BS42" s="22">
        <f t="shared" si="9"/>
        <v>37.142025479251735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5.7811111111111124</v>
      </c>
      <c r="BY42" s="12">
        <f>IF('Données projet'!$A$114&gt;35,BY41+BX42-CG41,IF(A42&lt;'Données projet'!$A$114,$BV$205^A42,IF(A42='Données projet'!$A$114,'Données projet'!$B$114,BY41+BX42-CG41)))</f>
        <v>94.053333333333342</v>
      </c>
      <c r="BZ42" s="13">
        <f>BY42*VLOOKUP('Données projet'!$B$12,Paramètres!$A$1:$I$89,3,0)*VLOOKUP('Données projet'!$B$12,Paramètres!$A$1:$I$89,5,0)</f>
        <v>55.021200000000007</v>
      </c>
      <c r="CA42" s="13">
        <f t="shared" si="39"/>
        <v>15.903196463859256</v>
      </c>
      <c r="CB42" s="20">
        <f t="shared" si="10"/>
        <v>123.52665717455488</v>
      </c>
      <c r="CC42" s="59">
        <f t="shared" si="11"/>
        <v>370.53605426466197</v>
      </c>
      <c r="CD42" s="59">
        <f ca="1">AVERAGE(OFFSET($CC$3,0,0,'Données projet'!$E$12+1,1))-AVERAGE(OFFSET($H$3,0,0,'Données projet'!$E$12+1,1))</f>
        <v>184.11352167663844</v>
      </c>
      <c r="CE42" s="59">
        <f t="shared" si="40"/>
        <v>145.86653500981791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1.9086318149636734</v>
      </c>
      <c r="CL42" s="21">
        <f>EXP(-LN(2)/25)*CL41+(1-EXP(-LN(2)/25))/(LN(2)/25)*Calculateur!CG42*Calculateur!CI42*VLOOKUP('Données projet'!$B$12,Paramètres!$A$1:$I$89,3,0)*0.475*44/12</f>
        <v>4.1770559292275129</v>
      </c>
      <c r="CM42" s="21">
        <f>EXP(-LN(2)/2)*CM41+(1-EXP(-LN(2)/2))/(LN(2)/2)*CG42*CJ42*VLOOKUP('Données projet'!$B$12,Paramètres!$A$1:$I$89,3,0)*0.475*44/12</f>
        <v>2.376908447036993</v>
      </c>
      <c r="CN42" s="22">
        <f t="shared" si="12"/>
        <v>8.4625961912281795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6.347999999999999</v>
      </c>
      <c r="CT42" s="12">
        <f>IF('Données projet'!$A$140&gt;35,CT41+CS42-DB41,IF(A42&lt;'Données projet'!$A$140,$CQ$205^A42,IF(A42='Données projet'!$A$140,'Données projet'!$B$140,CT41+CS42-DB41)))</f>
        <v>118.62200000000001</v>
      </c>
      <c r="CU42" s="17">
        <f>CT42*VLOOKUP('Données projet'!$B$13,Paramètres!$A$1:$I$89,3,0)*VLOOKUP('Données projet'!$B$13,Paramètres!$A$1:$I$89,5,0)</f>
        <v>57.057182000000005</v>
      </c>
      <c r="CV42" s="13">
        <f t="shared" si="41"/>
        <v>16.422068610645585</v>
      </c>
      <c r="CW42" s="20">
        <f t="shared" si="13"/>
        <v>127.97636148020774</v>
      </c>
      <c r="CX42" s="59">
        <f t="shared" si="14"/>
        <v>374.98575857031483</v>
      </c>
      <c r="CY42" s="59">
        <f ca="1">AVERAGE(OFFSET($CX$3,0,0,'Données projet'!$E$13+1,1))-AVERAGE(OFFSET($H$3,0,0,'Données projet'!$E$13+1,1))</f>
        <v>303.76035885073708</v>
      </c>
      <c r="CZ42" s="59">
        <f t="shared" si="42"/>
        <v>127.43112562890414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6.4</v>
      </c>
      <c r="DO42" s="12">
        <f>IF('Données projet'!$A$166&gt;35,DO41+DN42-DW41,IF(A42&lt;'Données projet'!$A$166,$DL$205^A42,IF(A42='Données projet'!$A$166,'Données projet'!$B$166,DO41+DN42-DW41)))</f>
        <v>233.60000000000011</v>
      </c>
      <c r="DP42" s="17">
        <f>DO42*VLOOKUP('Données projet'!$B$14,Paramètres!$A$1:$I$89,3,0)*VLOOKUP('Données projet'!$B$14,Paramètres!$A$1:$I$89,5,0)</f>
        <v>134.83392000000006</v>
      </c>
      <c r="DQ42" s="13">
        <f t="shared" si="43"/>
        <v>35.110951862650737</v>
      </c>
      <c r="DR42" s="20">
        <f t="shared" si="16"/>
        <v>295.98731849411683</v>
      </c>
      <c r="DS42" s="59">
        <f t="shared" si="17"/>
        <v>542.99671558422392</v>
      </c>
      <c r="DT42" s="59">
        <f ca="1">AVERAGE(OFFSET($DS$3,0,0,'Données projet'!$E$14+1,1))-AVERAGE(OFFSET($H$3,0,0,'Données projet'!$E$14+1,1))</f>
        <v>243.65374431792841</v>
      </c>
      <c r="DU42" s="59">
        <f t="shared" si="44"/>
        <v>271.60754570002939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8.4</v>
      </c>
      <c r="EJ42" s="12">
        <f>IF('Données projet'!$A$192&gt;35,EJ41+EI42-ER41,IF(A42&lt;'Données projet'!$A$192,$EG$205^A42,IF(A42='Données projet'!$A$192,'Données projet'!$B$192,EJ41+EI42-ER41)))</f>
        <v>128.60000000000005</v>
      </c>
      <c r="EK42" s="17">
        <f>EJ42*VLOOKUP('Données projet'!$B$15,Paramètres!$A$1:$I$89,3,0)*VLOOKUP('Données projet'!$B$15,Paramètres!$A$1:$I$89,5,0)</f>
        <v>86.264880000000034</v>
      </c>
      <c r="EL42" s="13">
        <f t="shared" si="45"/>
        <v>23.662193807539584</v>
      </c>
      <c r="EM42" s="20">
        <f t="shared" si="19"/>
        <v>191.45632021479813</v>
      </c>
      <c r="EN42" s="59">
        <f t="shared" si="20"/>
        <v>438.46571730490524</v>
      </c>
      <c r="EO42" s="59">
        <f ca="1">AVERAGE(OFFSET($EN$3,0,0,'Données projet'!$E$15+1,1))-AVERAGE(OFFSET($H$3,0,0,'Données projet'!$E$15+1,1))</f>
        <v>321.44781099085594</v>
      </c>
      <c r="EP42" s="59">
        <f t="shared" si="46"/>
        <v>201.22243186578183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7.6</v>
      </c>
      <c r="FE42" s="12">
        <f>IF('Données projet'!$A$218&gt;35,FE41+FD42-FM41,IF(A42&lt;'Données projet'!$A$218,$FB$205^A42,IF(A42='Données projet'!$A$218,'Données projet'!$B$218,FE41+FD42-FM41)))</f>
        <v>145.39999999999995</v>
      </c>
      <c r="FF42" s="17">
        <f>FE42*VLOOKUP('Données projet'!$B$16,Paramètres!$A$1:$I$89,3,0)*VLOOKUP('Données projet'!$B$16,Paramètres!$A$1:$I$89,5,0)</f>
        <v>127.02143999999997</v>
      </c>
      <c r="FG42" s="13">
        <f t="shared" si="47"/>
        <v>33.307175870664402</v>
      </c>
      <c r="FH42" s="20">
        <f t="shared" si="22"/>
        <v>279.23900597474045</v>
      </c>
      <c r="FI42" s="59">
        <f t="shared" si="23"/>
        <v>526.24840306484759</v>
      </c>
      <c r="FJ42" s="59">
        <f ca="1">AVERAGE(OFFSET($FI$3,0,0,'Données projet'!$E$16+1,1))-AVERAGE(OFFSET($H$3,0,0,'Données projet'!$E$16+1,1))</f>
        <v>285.8437404763045</v>
      </c>
      <c r="FK42" s="59">
        <f t="shared" si="48"/>
        <v>276.01618888357268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1.9860101680107614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1.9860101680107614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9.6</v>
      </c>
      <c r="FZ42" s="12">
        <f>IF('Données projet'!$A$244&gt;35,FZ41+FY42-GH41,IF(A42&lt;'Données projet'!$A$244,$FW$205^A42,IF(A42='Données projet'!$A$244,'Données projet'!$B$244,FZ41+FY42-GH41)))</f>
        <v>182.4</v>
      </c>
      <c r="GA42" s="17">
        <f>FZ42*VLOOKUP('Données projet'!$B$17,Paramètres!$A$1:$I$89,3,0)*VLOOKUP('Données projet'!$B$17,Paramètres!$A$1:$I$89,5,0)</f>
        <v>145.11744000000002</v>
      </c>
      <c r="GB42" s="13">
        <f t="shared" si="49"/>
        <v>37.466878406916173</v>
      </c>
      <c r="GC42" s="20">
        <f t="shared" si="25"/>
        <v>318.00102122537902</v>
      </c>
      <c r="GD42" s="59">
        <f t="shared" si="26"/>
        <v>565.01041831548616</v>
      </c>
      <c r="GE42" s="59">
        <f ca="1">AVERAGE(OFFSET($GD$3,0,0,'Données projet'!$E$17+1,1))-AVERAGE(OFFSET($H$3,0,0,'Données projet'!$E$17+1,1))</f>
        <v>323.01113210765487</v>
      </c>
      <c r="GF42" s="59">
        <f t="shared" si="50"/>
        <v>311.68541696405975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2.4115837754416383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2.4115837754416383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7.6</v>
      </c>
      <c r="GU42" s="12">
        <f>IF('Données projet'!$A$270&gt;35,GU41+GT42-HC41,IF(A42&lt;'Données projet'!$A$270,$GR$205^A42,IF(A42='Données projet'!$A$270,'Données projet'!$B$270,GU41+GT42-HC41)))</f>
        <v>145.39999999999995</v>
      </c>
      <c r="GV42" s="17">
        <f>GU42*VLOOKUP('Données projet'!$B$18,Paramètres!$A$1:$I$89,3,0)*VLOOKUP('Données projet'!$B$18,Paramètres!$A$1:$I$89,5,0)</f>
        <v>127.02143999999997</v>
      </c>
      <c r="GW42" s="13">
        <f t="shared" si="51"/>
        <v>33.307175870664402</v>
      </c>
      <c r="GX42" s="20">
        <f t="shared" si="28"/>
        <v>279.23900597474045</v>
      </c>
      <c r="GY42" s="59">
        <f t="shared" si="29"/>
        <v>526.24840306484759</v>
      </c>
      <c r="GZ42" s="59">
        <f ca="1">AVERAGE(OFFSET($GY$3,0,0,'Données projet'!$E$18+1,1))-AVERAGE(OFFSET($H$3,0,0,'Données projet'!$E$18+1,1))</f>
        <v>285.8437404763045</v>
      </c>
      <c r="HA42" s="59">
        <f t="shared" si="52"/>
        <v>276.01618888357268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1.9860101680107614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1.9860101680107614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93</v>
      </c>
      <c r="L43" s="12">
        <f>VLOOKUP(A43,'Données projet'!$A$35:$I$55,9,0)</f>
        <v>5.4</v>
      </c>
      <c r="M43" s="12">
        <f t="array" ref="M43">INDEX(L:L,MIN(IF(ISNUMBER(L43:L239),ROW(L43:L239),"")))</f>
        <v>5.4</v>
      </c>
      <c r="N43" s="13">
        <f>IF('Données projet'!$A$36&gt;35,N42+M43-V42,IF(A43&lt;'Données projet'!$A$36,$K$205^A43,IF(A43='Données projet'!$A$36,'Données projet'!$B$36,N42+M43-V42)))</f>
        <v>93.000000000000014</v>
      </c>
      <c r="O43" s="13">
        <f>N43*VLOOKUP('Données projet'!$B$9,Paramètres!$A$1:$I$89,3,0)*VLOOKUP('Données projet'!$B$9,Paramètres!$A$1:$I$89,5,0)</f>
        <v>84.146400000000014</v>
      </c>
      <c r="P43" s="13">
        <f t="shared" si="33"/>
        <v>23.14799971956144</v>
      </c>
      <c r="Q43" s="20">
        <f t="shared" si="53"/>
        <v>186.87107951156952</v>
      </c>
      <c r="R43" s="59">
        <f t="shared" si="0"/>
        <v>434.6840933306903</v>
      </c>
      <c r="S43" s="59">
        <f ca="1">AVERAGE(OFFSET($R$3,0,0,'Données projet'!$E$9+1,1))-AVERAGE(OFFSET($H$3,0,0,'Données projet'!$E$9+1,1))</f>
        <v>315.34103933739129</v>
      </c>
      <c r="T43" s="59">
        <f t="shared" si="34"/>
        <v>165.80901858372513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14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1.2042764376793016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1.2042764376793016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16.534285714285716</v>
      </c>
      <c r="AI43" s="13">
        <f>IF('Données projet'!$A$62&gt;35,AI42+AH43-AQ42,IF(A43&lt;'Données projet'!$A$62,$AF$205^A43,IF(A43='Données projet'!$A$62,'Données projet'!$B$62,AI42+AH43-AQ42)))</f>
        <v>301.2671428571428</v>
      </c>
      <c r="AJ43" s="13">
        <f>AI43*VLOOKUP('Données projet'!$B$10,Paramètres!$A$1:$I$89,3,0)*VLOOKUP('Données projet'!$B$10,Paramètres!$A$1:$I$89,5,0)</f>
        <v>180.1577514285714</v>
      </c>
      <c r="AK43" s="13">
        <f t="shared" si="35"/>
        <v>45.357281163450082</v>
      </c>
      <c r="AL43" s="20">
        <f t="shared" si="4"/>
        <v>392.77201509777075</v>
      </c>
      <c r="AM43" s="59">
        <f t="shared" si="5"/>
        <v>640.58502891689159</v>
      </c>
      <c r="AN43" s="59">
        <f ca="1">AVERAGE(OFFSET($AM$3,0,0,'Données projet'!$E$10+1,1))-AVERAGE(OFFSET($H$3,0,0,'Données projet'!$E$10+1,1))</f>
        <v>317.328615425664</v>
      </c>
      <c r="AO43" s="59">
        <f t="shared" si="36"/>
        <v>324.95872842255744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24.257798856485483</v>
      </c>
      <c r="AV43" s="21">
        <f>EXP(-LN(2)/25)*AV42+(1-EXP(-LN(2)/25))/(LN(2)/25)*Calculateur!AQ43*Calculateur!AS43*VLOOKUP('Données projet'!$B$10,Paramètres!$A$1:$I$89,3,0)*0.475*44/12</f>
        <v>21.68251155327993</v>
      </c>
      <c r="AW43" s="21">
        <f>EXP(-LN(2)/2)*AW42+(1-EXP(-LN(2)/2))/(LN(2)/2)*AQ43*AT43*VLOOKUP('Données projet'!$B$10,Paramètres!$A$1:$I$89,3,0)*0.475*44/12</f>
        <v>2.5701617098539931</v>
      </c>
      <c r="AX43" s="21">
        <f t="shared" si="6"/>
        <v>48.510472119619408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13.096666666666673</v>
      </c>
      <c r="BD43" s="12">
        <f>IF('Données projet'!$A$88&gt;35,BD42+BC43-BL42,IF(A43&lt;'Données projet'!$A$88,$BA$205^A43,IF(A43='Données projet'!$A$88,'Données projet'!$B$88,BD42+BC43-BL42)))</f>
        <v>206.76333333333329</v>
      </c>
      <c r="BE43" s="13">
        <f>BD43*VLOOKUP('Données projet'!$B$11,Paramètres!$A$1:$I$89,3,0)*VLOOKUP('Données projet'!$B$11,Paramètres!$A$1:$I$89,5,0)</f>
        <v>238.19135999999995</v>
      </c>
      <c r="BF43" s="13">
        <f t="shared" si="37"/>
        <v>58.050221621134895</v>
      </c>
      <c r="BG43" s="20">
        <f t="shared" si="7"/>
        <v>515.95408799014319</v>
      </c>
      <c r="BH43" s="59">
        <f t="shared" si="8"/>
        <v>763.76710180926398</v>
      </c>
      <c r="BI43" s="59">
        <f ca="1">AVERAGE(OFFSET($BH$3,0,0,'Données projet'!$E$11+1,1))-AVERAGE(OFFSET($H$3,0,0,'Données projet'!$E$11+1,1))</f>
        <v>418.31716673276725</v>
      </c>
      <c r="BJ43" s="59">
        <f t="shared" si="38"/>
        <v>472.37891533957929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10.021838866366492</v>
      </c>
      <c r="BQ43" s="21">
        <f>EXP(-LN(2)/25)*BQ42+(1-EXP(-LN(2)/25))/(LN(2)/25)*Calculateur!BL43*Calculateur!BN43*VLOOKUP('Données projet'!$B$11,Paramètres!$A$1:$I$89,3,0)*0.475*44/12</f>
        <v>18.886535332365085</v>
      </c>
      <c r="BR43" s="21">
        <f>EXP(-LN(2)/2)*BR42+(1-EXP(-LN(2)/2))/(LN(2)/2)*BL43*BO43*VLOOKUP('Données projet'!$B$11,Paramètres!$A$1:$I$89,3,0)*0.475*44/12</f>
        <v>5.3048745910597441</v>
      </c>
      <c r="BS43" s="22">
        <f t="shared" si="9"/>
        <v>34.213248789791322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5.7811111111111124</v>
      </c>
      <c r="BY43" s="12">
        <f>IF('Données projet'!$A$114&gt;35,BY42+BX43-CG42,IF(A43&lt;'Données projet'!$A$114,$BV$205^A43,IF(A43='Données projet'!$A$114,'Données projet'!$B$114,BY42+BX43-CG42)))</f>
        <v>99.834444444444458</v>
      </c>
      <c r="BZ43" s="13">
        <f>BY43*VLOOKUP('Données projet'!$B$12,Paramètres!$A$1:$I$89,3,0)*VLOOKUP('Données projet'!$B$12,Paramètres!$A$1:$I$89,5,0)</f>
        <v>58.403150000000011</v>
      </c>
      <c r="CA43" s="13">
        <f t="shared" si="39"/>
        <v>16.763903587845451</v>
      </c>
      <c r="CB43" s="20">
        <f t="shared" si="10"/>
        <v>130.91595166549749</v>
      </c>
      <c r="CC43" s="59">
        <f t="shared" si="11"/>
        <v>378.7289654846183</v>
      </c>
      <c r="CD43" s="59">
        <f ca="1">AVERAGE(OFFSET($CC$3,0,0,'Données projet'!$E$12+1,1))-AVERAGE(OFFSET($H$3,0,0,'Données projet'!$E$12+1,1))</f>
        <v>184.11352167663844</v>
      </c>
      <c r="CE43" s="59">
        <f t="shared" si="40"/>
        <v>145.86653500981791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1.8712047092226927</v>
      </c>
      <c r="CL43" s="21">
        <f>EXP(-LN(2)/25)*CL42+(1-EXP(-LN(2)/25))/(LN(2)/25)*Calculateur!CG43*Calculateur!CI43*VLOOKUP('Données projet'!$B$12,Paramètres!$A$1:$I$89,3,0)*0.475*44/12</f>
        <v>4.0628341151809622</v>
      </c>
      <c r="CM43" s="21">
        <f>EXP(-LN(2)/2)*CM42+(1-EXP(-LN(2)/2))/(LN(2)/2)*CG43*CJ43*VLOOKUP('Données projet'!$B$12,Paramètres!$A$1:$I$89,3,0)*0.475*44/12</f>
        <v>1.6807280811594436</v>
      </c>
      <c r="CN43" s="22">
        <f t="shared" si="12"/>
        <v>7.6147669055630987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124.97</v>
      </c>
      <c r="CR43" s="12">
        <f>VLOOKUP(A43,'Données projet'!$A$139:$I$159,9,0)</f>
        <v>6.347999999999999</v>
      </c>
      <c r="CS43" s="12">
        <f t="array" ref="CS43">INDEX(CR:CR,MIN(IF(ISNUMBER(CR43:CR239),ROW(CR43:CR239),"")))</f>
        <v>6.347999999999999</v>
      </c>
      <c r="CT43" s="12">
        <f>IF('Données projet'!$A$140&gt;35,CT42+CS43-DB42,IF(A43&lt;'Données projet'!$A$140,$CQ$205^A43,IF(A43='Données projet'!$A$140,'Données projet'!$B$140,CT42+CS43-DB42)))</f>
        <v>124.97000000000001</v>
      </c>
      <c r="CU43" s="17">
        <f>CT43*VLOOKUP('Données projet'!$B$13,Paramètres!$A$1:$I$89,3,0)*VLOOKUP('Données projet'!$B$13,Paramètres!$A$1:$I$89,5,0)</f>
        <v>60.110570000000003</v>
      </c>
      <c r="CV43" s="13">
        <f t="shared" si="41"/>
        <v>17.196221581368786</v>
      </c>
      <c r="CW43" s="20">
        <f t="shared" si="13"/>
        <v>134.64266200421727</v>
      </c>
      <c r="CX43" s="59">
        <f t="shared" si="14"/>
        <v>382.45567582333808</v>
      </c>
      <c r="CY43" s="59">
        <f ca="1">AVERAGE(OFFSET($CX$3,0,0,'Données projet'!$E$13+1,1))-AVERAGE(OFFSET($H$3,0,0,'Données projet'!$E$13+1,1))</f>
        <v>303.76035885073708</v>
      </c>
      <c r="CZ43" s="59">
        <f t="shared" si="42"/>
        <v>127.43112562890414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0.30800000000000005</v>
      </c>
      <c r="DE43" s="16">
        <f>IF(ISNA(VLOOKUP(A43,'Données projet'!$A$139:$I$159,7,0)),0%,VLOOKUP(A43,'Données projet'!$A$139:$I$159,7,0))</f>
        <v>0.44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240</v>
      </c>
      <c r="DM43" s="12">
        <f>VLOOKUP(A43,'Données projet'!$A$165:$I$185,9,0)</f>
        <v>6.4</v>
      </c>
      <c r="DN43" s="12">
        <f t="array" ref="DN43">INDEX(DM:DM,MIN(IF(ISNUMBER(DM43:DM239),ROW(DM43:DM239),"")))</f>
        <v>6.4</v>
      </c>
      <c r="DO43" s="12">
        <f>IF('Données projet'!$A$166&gt;35,DO42+DN43-DW42,IF(A43&lt;'Données projet'!$A$166,$DL$205^A43,IF(A43='Données projet'!$A$166,'Données projet'!$B$166,DO42+DN43-DW42)))</f>
        <v>240.00000000000011</v>
      </c>
      <c r="DP43" s="17">
        <f>DO43*VLOOKUP('Données projet'!$B$14,Paramètres!$A$1:$I$89,3,0)*VLOOKUP('Données projet'!$B$14,Paramètres!$A$1:$I$89,5,0)</f>
        <v>138.52800000000008</v>
      </c>
      <c r="DQ43" s="13">
        <f t="shared" si="43"/>
        <v>35.959583801423804</v>
      </c>
      <c r="DR43" s="20">
        <f t="shared" si="16"/>
        <v>303.89920845414656</v>
      </c>
      <c r="DS43" s="59">
        <f t="shared" si="17"/>
        <v>551.71222227326734</v>
      </c>
      <c r="DT43" s="59">
        <f ca="1">AVERAGE(OFFSET($DS$3,0,0,'Données projet'!$E$14+1,1))-AVERAGE(OFFSET($H$3,0,0,'Données projet'!$E$14+1,1))</f>
        <v>243.65374431792841</v>
      </c>
      <c r="DU43" s="59">
        <f t="shared" si="44"/>
        <v>271.60754570002939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0.18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137</v>
      </c>
      <c r="EH43" s="12">
        <f>VLOOKUP(A43,'Données projet'!$A$191:$I$211,9,0)</f>
        <v>8.4</v>
      </c>
      <c r="EI43" s="12">
        <f t="array" ref="EI43">INDEX(EH:EH,MIN(IF(ISNUMBER(EH43:EH239),ROW(EH43:EH239),"")))</f>
        <v>8.4</v>
      </c>
      <c r="EJ43" s="12">
        <f>IF('Données projet'!$A$192&gt;35,EJ42+EI43-ER42,IF(A43&lt;'Données projet'!$A$192,$EG$205^A43,IF(A43='Données projet'!$A$192,'Données projet'!$B$192,EJ42+EI43-ER42)))</f>
        <v>137.00000000000006</v>
      </c>
      <c r="EK43" s="17">
        <f>EJ43*VLOOKUP('Données projet'!$B$15,Paramètres!$A$1:$I$89,3,0)*VLOOKUP('Données projet'!$B$15,Paramètres!$A$1:$I$89,5,0)</f>
        <v>91.899600000000049</v>
      </c>
      <c r="EL43" s="13">
        <f t="shared" si="45"/>
        <v>25.022804363156492</v>
      </c>
      <c r="EM43" s="20">
        <f t="shared" si="19"/>
        <v>203.63985426583096</v>
      </c>
      <c r="EN43" s="59">
        <f t="shared" si="20"/>
        <v>451.45286808495177</v>
      </c>
      <c r="EO43" s="59">
        <f ca="1">AVERAGE(OFFSET($EN$3,0,0,'Données projet'!$E$15+1,1))-AVERAGE(OFFSET($H$3,0,0,'Données projet'!$E$15+1,1))</f>
        <v>321.44781099085594</v>
      </c>
      <c r="EP43" s="59">
        <f t="shared" si="46"/>
        <v>201.22243186578183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21</v>
      </c>
      <c r="ES43" s="16">
        <f>IF(ISNA(VLOOKUP(A43,'Données projet'!$A$191:$I$211,5,0)),0%,VLOOKUP(A43,'Données projet'!$A$191:$I$211,5,0)*VLOOKUP('Données projet'!$B$15,Paramètres!$A$1:$I$89,7,0))</f>
        <v>0.10600000000000001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1.6506892550949051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1.6506892550949051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153</v>
      </c>
      <c r="FC43" s="12">
        <f>VLOOKUP(A43,'Données projet'!$A$217:$I$237,9,0)</f>
        <v>7.6</v>
      </c>
      <c r="FD43" s="12">
        <f t="array" ref="FD43">INDEX(FC:FC,MIN(IF(ISNUMBER(FC43:FC239),ROW(FC43:FC239),"")))</f>
        <v>7.6</v>
      </c>
      <c r="FE43" s="12">
        <f>IF('Données projet'!$A$218&gt;35,FE42+FD43-FM42,IF(A43&lt;'Données projet'!$A$218,$FB$205^A43,IF(A43='Données projet'!$A$218,'Données projet'!$B$218,FE42+FD43-FM42)))</f>
        <v>152.99999999999994</v>
      </c>
      <c r="FF43" s="17">
        <f>FE43*VLOOKUP('Données projet'!$B$16,Paramètres!$A$1:$I$89,3,0)*VLOOKUP('Données projet'!$B$16,Paramètres!$A$1:$I$89,5,0)</f>
        <v>133.66079999999997</v>
      </c>
      <c r="FG43" s="13">
        <f t="shared" si="47"/>
        <v>34.840890682716719</v>
      </c>
      <c r="FH43" s="20">
        <f t="shared" si="22"/>
        <v>293.47377793906486</v>
      </c>
      <c r="FI43" s="59">
        <f t="shared" si="23"/>
        <v>541.2867917581857</v>
      </c>
      <c r="FJ43" s="59">
        <f ca="1">AVERAGE(OFFSET($FI$3,0,0,'Données projet'!$E$16+1,1))-AVERAGE(OFFSET($H$3,0,0,'Données projet'!$E$16+1,1))</f>
        <v>285.8437404763045</v>
      </c>
      <c r="FK43" s="59">
        <f t="shared" si="48"/>
        <v>276.01618888357268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21</v>
      </c>
      <c r="FN43" s="16">
        <f>IF(ISNA(VLOOKUP(A43,'Données projet'!$A$217:$I$237,5,0)),0%,VLOOKUP(A43,'Données projet'!$A$217:$I$237,5,0)*VLOOKUP('Données projet'!$B$16,Paramètres!$A$1:$I$89,7,0))</f>
        <v>0.10600000000000001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4.0968005638071894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4.0968005638071894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192</v>
      </c>
      <c r="FX43" s="12">
        <f>VLOOKUP(A43,'Données projet'!$A$243:$I$263,9,0)</f>
        <v>9.6</v>
      </c>
      <c r="FY43" s="12">
        <f t="array" ref="FY43">INDEX(FX:FX,MIN(IF(ISNUMBER(FX43:FX239),ROW(FX43:FX239),"")))</f>
        <v>9.6</v>
      </c>
      <c r="FZ43" s="12">
        <f>IF('Données projet'!$A$244&gt;35,FZ42+FY43-GH42,IF(A43&lt;'Données projet'!$A$244,$FW$205^A43,IF(A43='Données projet'!$A$244,'Données projet'!$B$244,FZ42+FY43-GH42)))</f>
        <v>192</v>
      </c>
      <c r="GA43" s="17">
        <f>FZ43*VLOOKUP('Données projet'!$B$17,Paramètres!$A$1:$I$89,3,0)*VLOOKUP('Données projet'!$B$17,Paramètres!$A$1:$I$89,5,0)</f>
        <v>152.7552</v>
      </c>
      <c r="GB43" s="13">
        <f t="shared" si="49"/>
        <v>39.204049895729561</v>
      </c>
      <c r="GC43" s="20">
        <f t="shared" si="25"/>
        <v>334.32902690172892</v>
      </c>
      <c r="GD43" s="59">
        <f t="shared" si="26"/>
        <v>582.14204072084976</v>
      </c>
      <c r="GE43" s="59">
        <f ca="1">AVERAGE(OFFSET($GD$3,0,0,'Données projet'!$E$17+1,1))-AVERAGE(OFFSET($H$3,0,0,'Données projet'!$E$17+1,1))</f>
        <v>323.01113210765487</v>
      </c>
      <c r="GF43" s="59">
        <f t="shared" si="50"/>
        <v>311.68541696405975</v>
      </c>
      <c r="GG43" s="15">
        <f>IF(ISNA(VLOOKUP(A43,'Données projet'!$A$243:$I$263,3,0)),0,VLOOKUP(A43,'Données projet'!$A$243:$I$263,3,0))</f>
        <v>6</v>
      </c>
      <c r="GH43" s="15">
        <f>IF(ISNA(VLOOKUP(A43,'Données projet'!$A$243:$I$263,4,0)),0,VLOOKUP(A43,'Données projet'!$A$243:$I$263,4,0))</f>
        <v>28</v>
      </c>
      <c r="GI43" s="16">
        <f>IF(ISNA(VLOOKUP(A43,'Données projet'!$A$243:$I$263,5,0)),0%,VLOOKUP(A43,'Données projet'!$A$243:$I$263,5,0)*VLOOKUP('Données projet'!$B$17,Paramètres!$A$1:$I$89,7,0))</f>
        <v>0.10600000000000001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4.9746863989087293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4.9746863989087293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153</v>
      </c>
      <c r="GS43" s="12">
        <f>VLOOKUP(A43,'Données projet'!$A$269:$I$289,9,0)</f>
        <v>7.6</v>
      </c>
      <c r="GT43" s="12">
        <f t="array" ref="GT43">INDEX(GS:GS,MIN(IF(ISNUMBER(GS43:GS239),ROW(GS43:GS239),"")))</f>
        <v>7.6</v>
      </c>
      <c r="GU43" s="12">
        <f>IF('Données projet'!$A$270&gt;35,GU42+GT43-HC42,IF(A43&lt;'Données projet'!$A$270,$GR$205^A43,IF(A43='Données projet'!$A$270,'Données projet'!$B$270,GU42+GT43-HC42)))</f>
        <v>152.99999999999994</v>
      </c>
      <c r="GV43" s="17">
        <f>GU43*VLOOKUP('Données projet'!$B$18,Paramètres!$A$1:$I$89,3,0)*VLOOKUP('Données projet'!$B$18,Paramètres!$A$1:$I$89,5,0)</f>
        <v>133.66079999999997</v>
      </c>
      <c r="GW43" s="13">
        <f t="shared" si="51"/>
        <v>34.840890682716719</v>
      </c>
      <c r="GX43" s="20">
        <f t="shared" si="28"/>
        <v>293.47377793906486</v>
      </c>
      <c r="GY43" s="59">
        <f t="shared" si="29"/>
        <v>541.2867917581857</v>
      </c>
      <c r="GZ43" s="59">
        <f ca="1">AVERAGE(OFFSET($GY$3,0,0,'Données projet'!$E$18+1,1))-AVERAGE(OFFSET($H$3,0,0,'Données projet'!$E$18+1,1))</f>
        <v>285.8437404763045</v>
      </c>
      <c r="HA43" s="59">
        <f t="shared" si="52"/>
        <v>276.01618888357268</v>
      </c>
      <c r="HB43" s="15">
        <f>IF(ISNA(VLOOKUP(A43,'Données projet'!$A$269:$I$289,3,0)),0,VLOOKUP(A43,'Données projet'!$A$269:$I$289,3,0))</f>
        <v>6</v>
      </c>
      <c r="HC43" s="15">
        <f>IF(ISNA(VLOOKUP(A43,'Données projet'!$A$269:$I$289,4,0)),0,VLOOKUP(A43,'Données projet'!$A$269:$I$289,4,0))</f>
        <v>21</v>
      </c>
      <c r="HD43" s="16">
        <f>IF(ISNA(VLOOKUP(A43,'Données projet'!$A$269:$I$289,5,0)),0%,VLOOKUP(A43,'Données projet'!$A$269:$I$289,5,0)*VLOOKUP('Données projet'!$B$18,Paramètres!$A$1:$I$89,7,0))</f>
        <v>0.10600000000000001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4.0968005638071894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4.0968005638071894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5.6</v>
      </c>
      <c r="N44" s="13">
        <f>IF('Données projet'!$A$36&gt;35,N43+M44-V43,IF(A44&lt;'Données projet'!$A$36,$K$205^A44,IF(A44='Données projet'!$A$36,'Données projet'!$B$36,N43+M44-V43)))</f>
        <v>84.600000000000009</v>
      </c>
      <c r="O44" s="13">
        <f>N44*VLOOKUP('Données projet'!$B$9,Paramètres!$A$1:$I$89,3,0)*VLOOKUP('Données projet'!$B$9,Paramètres!$A$1:$I$89,5,0)</f>
        <v>76.546080000000003</v>
      </c>
      <c r="P44" s="13">
        <f t="shared" si="33"/>
        <v>21.290525837973497</v>
      </c>
      <c r="Q44" s="20">
        <f t="shared" si="53"/>
        <v>170.39875516780384</v>
      </c>
      <c r="R44" s="59">
        <f t="shared" si="0"/>
        <v>419.00144476230781</v>
      </c>
      <c r="S44" s="59">
        <f ca="1">AVERAGE(OFFSET($R$3,0,0,'Données projet'!$E$9+1,1))-AVERAGE(OFFSET($H$3,0,0,'Données projet'!$E$9+1,1))</f>
        <v>315.34103933739129</v>
      </c>
      <c r="T44" s="59">
        <f t="shared" si="34"/>
        <v>165.80901858372513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1.180661311272508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1.180661311272508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16.534285714285716</v>
      </c>
      <c r="AI44" s="13">
        <f>IF('Données projet'!$A$62&gt;35,AI43+AH44-AQ43,IF(A44&lt;'Données projet'!$A$62,$AF$205^A44,IF(A44='Données projet'!$A$62,'Données projet'!$B$62,AI43+AH44-AQ43)))</f>
        <v>317.80142857142852</v>
      </c>
      <c r="AJ44" s="13">
        <f>AI44*VLOOKUP('Données projet'!$B$10,Paramètres!$A$1:$I$89,3,0)*VLOOKUP('Données projet'!$B$10,Paramètres!$A$1:$I$89,5,0)</f>
        <v>190.04525428571426</v>
      </c>
      <c r="AK44" s="13">
        <f t="shared" si="35"/>
        <v>47.549957792590313</v>
      </c>
      <c r="AL44" s="20">
        <f t="shared" si="4"/>
        <v>413.81166103638043</v>
      </c>
      <c r="AM44" s="59">
        <f t="shared" si="5"/>
        <v>662.41435063088443</v>
      </c>
      <c r="AN44" s="59">
        <f ca="1">AVERAGE(OFFSET($AM$3,0,0,'Données projet'!$E$10+1,1))-AVERAGE(OFFSET($H$3,0,0,'Données projet'!$E$10+1,1))</f>
        <v>317.328615425664</v>
      </c>
      <c r="AO44" s="59">
        <f t="shared" si="36"/>
        <v>324.95872842255744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23.782118216706142</v>
      </c>
      <c r="AV44" s="21">
        <f>EXP(-LN(2)/25)*AV43+(1-EXP(-LN(2)/25))/(LN(2)/25)*Calculateur!AQ44*Calculateur!AS44*VLOOKUP('Données projet'!$B$10,Paramètres!$A$1:$I$89,3,0)*0.475*44/12</f>
        <v>21.089602134621764</v>
      </c>
      <c r="AW44" s="21">
        <f>EXP(-LN(2)/2)*AW43+(1-EXP(-LN(2)/2))/(LN(2)/2)*AQ44*AT44*VLOOKUP('Données projet'!$B$10,Paramètres!$A$1:$I$89,3,0)*0.475*44/12</f>
        <v>1.8173787737837706</v>
      </c>
      <c r="AX44" s="21">
        <f t="shared" si="6"/>
        <v>46.689099125111682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219.86</v>
      </c>
      <c r="BB44" s="12">
        <f>VLOOKUP(A44,'Données projet'!$A$87:$I$107,9,0)</f>
        <v>13.096666666666673</v>
      </c>
      <c r="BC44" s="12">
        <f t="array" ref="BC44">INDEX(BB:BB,MIN(IF(ISNUMBER(BB44:BB240),ROW(BB44:BB240),"")))</f>
        <v>13.096666666666673</v>
      </c>
      <c r="BD44" s="12">
        <f>IF('Données projet'!$A$88&gt;35,BD43+BC44-BL43,IF(A44&lt;'Données projet'!$A$88,$BA$205^A44,IF(A44='Données projet'!$A$88,'Données projet'!$B$88,BD43+BC44-BL43)))</f>
        <v>219.85999999999996</v>
      </c>
      <c r="BE44" s="13">
        <f>BD44*VLOOKUP('Données projet'!$B$11,Paramètres!$A$1:$I$89,3,0)*VLOOKUP('Données projet'!$B$11,Paramètres!$A$1:$I$89,5,0)</f>
        <v>253.27871999999994</v>
      </c>
      <c r="BF44" s="13">
        <f t="shared" si="37"/>
        <v>61.28749609652958</v>
      </c>
      <c r="BG44" s="20">
        <f t="shared" si="7"/>
        <v>547.86949303478889</v>
      </c>
      <c r="BH44" s="59">
        <f t="shared" si="8"/>
        <v>796.47218262929289</v>
      </c>
      <c r="BI44" s="59">
        <f ca="1">AVERAGE(OFFSET($BH$3,0,0,'Données projet'!$E$11+1,1))-AVERAGE(OFFSET($H$3,0,0,'Données projet'!$E$11+1,1))</f>
        <v>418.31716673276725</v>
      </c>
      <c r="BJ44" s="59">
        <f t="shared" si="38"/>
        <v>472.37891533957929</v>
      </c>
      <c r="BK44" s="15">
        <f>IF(ISNA(VLOOKUP(A44,'Données projet'!$A$87:$I$107,3,0)),0,VLOOKUP(A44,'Données projet'!$A$87:$I$107,3,0))</f>
        <v>4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0.22500000000000001</v>
      </c>
      <c r="BN44" s="16">
        <f>IF(ISNA(VLOOKUP(A44,'Données projet'!$A$87:$I$107,6,0)),0%,VLOOKUP(A44,'Données projet'!$A$87:$I$107,6,0)*VLOOKUP('Données projet'!$B$11,Paramètres!$A$1:$I$89,7,0))</f>
        <v>0.12600000000000003</v>
      </c>
      <c r="BO44" s="16">
        <f>IF(ISNA(VLOOKUP(A44,'Données projet'!$A$87:$I$107,7,0)),0%,VLOOKUP(A44,'Données projet'!$A$87:$I$107,7,0))</f>
        <v>0.22</v>
      </c>
      <c r="BP44" s="21">
        <f>EXP(-LN(2)/35)*BP43+(1-EXP(-LN(2)/35))/(LN(2)/35)*BL44*BM44*VLOOKUP('Données projet'!$B$11,Paramètres!$A$1:$I$89,3,0)*0.475*44/12</f>
        <v>9.8253167189151736</v>
      </c>
      <c r="BQ44" s="21">
        <f>EXP(-LN(2)/25)*BQ43+(1-EXP(-LN(2)/25))/(LN(2)/25)*Calculateur!BL44*Calculateur!BN44*VLOOKUP('Données projet'!$B$11,Paramètres!$A$1:$I$89,3,0)*0.475*44/12</f>
        <v>18.370082030501834</v>
      </c>
      <c r="BR44" s="21">
        <f>EXP(-LN(2)/2)*BR43+(1-EXP(-LN(2)/2))/(LN(2)/2)*BL44*BO44*VLOOKUP('Données projet'!$B$11,Paramètres!$A$1:$I$89,3,0)*0.475*44/12</f>
        <v>3.7511127966825586</v>
      </c>
      <c r="BS44" s="22">
        <f t="shared" si="9"/>
        <v>31.946511546099568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5.7811111111111124</v>
      </c>
      <c r="BY44" s="12">
        <f>IF('Données projet'!$A$114&gt;35,BY43+BX44-CG43,IF(A44&lt;'Données projet'!$A$114,$BV$205^A44,IF(A44='Données projet'!$A$114,'Données projet'!$B$114,BY43+BX44-CG43)))</f>
        <v>105.61555555555557</v>
      </c>
      <c r="BZ44" s="13">
        <f>BY44*VLOOKUP('Données projet'!$B$12,Paramètres!$A$1:$I$89,3,0)*VLOOKUP('Données projet'!$B$12,Paramètres!$A$1:$I$89,5,0)</f>
        <v>61.785100000000014</v>
      </c>
      <c r="CA44" s="13">
        <f t="shared" si="39"/>
        <v>17.618825320813293</v>
      </c>
      <c r="CB44" s="20">
        <f t="shared" si="10"/>
        <v>138.2951699337498</v>
      </c>
      <c r="CC44" s="59">
        <f t="shared" si="11"/>
        <v>386.89785952825378</v>
      </c>
      <c r="CD44" s="59">
        <f ca="1">AVERAGE(OFFSET($CC$3,0,0,'Données projet'!$E$12+1,1))-AVERAGE(OFFSET($H$3,0,0,'Données projet'!$E$12+1,1))</f>
        <v>184.11352167663844</v>
      </c>
      <c r="CE44" s="59">
        <f t="shared" si="40"/>
        <v>145.86653500981791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1.8345115261970122</v>
      </c>
      <c r="CL44" s="21">
        <f>EXP(-LN(2)/25)*CL43+(1-EXP(-LN(2)/25))/(LN(2)/25)*Calculateur!CG44*Calculateur!CI44*VLOOKUP('Données projet'!$B$12,Paramètres!$A$1:$I$89,3,0)*0.475*44/12</f>
        <v>3.9517357026461783</v>
      </c>
      <c r="CM44" s="21">
        <f>EXP(-LN(2)/2)*CM43+(1-EXP(-LN(2)/2))/(LN(2)/2)*CG44*CJ44*VLOOKUP('Données projet'!$B$12,Paramètres!$A$1:$I$89,3,0)*0.475*44/12</f>
        <v>1.1884542235184967</v>
      </c>
      <c r="CN44" s="22">
        <f t="shared" si="12"/>
        <v>6.9747014523616873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7.3029999999999999</v>
      </c>
      <c r="CT44" s="12">
        <f>IF('Données projet'!$A$140&gt;35,CT43+CS44-DB43,IF(A44&lt;'Données projet'!$A$140,$CQ$205^A44,IF(A44='Données projet'!$A$140,'Données projet'!$B$140,CT43+CS44-DB43)))</f>
        <v>132.27300000000002</v>
      </c>
      <c r="CU44" s="17">
        <f>CT44*VLOOKUP('Données projet'!$B$13,Paramètres!$A$1:$I$89,3,0)*VLOOKUP('Données projet'!$B$13,Paramètres!$A$1:$I$89,5,0)</f>
        <v>63.62331300000001</v>
      </c>
      <c r="CV44" s="13">
        <f t="shared" si="41"/>
        <v>18.081206654290447</v>
      </c>
      <c r="CW44" s="20">
        <f t="shared" si="13"/>
        <v>142.30203839788922</v>
      </c>
      <c r="CX44" s="59">
        <f t="shared" si="14"/>
        <v>390.90472799239319</v>
      </c>
      <c r="CY44" s="59">
        <f ca="1">AVERAGE(OFFSET($CX$3,0,0,'Données projet'!$E$13+1,1))-AVERAGE(OFFSET($H$3,0,0,'Données projet'!$E$13+1,1))</f>
        <v>303.76035885073708</v>
      </c>
      <c r="CZ44" s="59">
        <f t="shared" si="42"/>
        <v>127.43112562890414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5.2</v>
      </c>
      <c r="DO44" s="12">
        <f>IF('Données projet'!$A$166&gt;35,DO43+DN44-DW43,IF(A44&lt;'Données projet'!$A$166,$DL$205^A44,IF(A44='Données projet'!$A$166,'Données projet'!$B$166,DO43+DN44-DW43)))</f>
        <v>245.2000000000001</v>
      </c>
      <c r="DP44" s="17">
        <f>DO44*VLOOKUP('Données projet'!$B$14,Paramètres!$A$1:$I$89,3,0)*VLOOKUP('Données projet'!$B$14,Paramètres!$A$1:$I$89,5,0)</f>
        <v>141.52944000000005</v>
      </c>
      <c r="DQ44" s="13">
        <f t="shared" si="43"/>
        <v>36.647156851536671</v>
      </c>
      <c r="DR44" s="20">
        <f t="shared" si="16"/>
        <v>310.32423951642642</v>
      </c>
      <c r="DS44" s="59">
        <f t="shared" si="17"/>
        <v>558.92692911093036</v>
      </c>
      <c r="DT44" s="59">
        <f ca="1">AVERAGE(OFFSET($DS$3,0,0,'Données projet'!$E$14+1,1))-AVERAGE(OFFSET($H$3,0,0,'Données projet'!$E$14+1,1))</f>
        <v>243.65374431792841</v>
      </c>
      <c r="DU44" s="59">
        <f t="shared" si="44"/>
        <v>271.60754570002939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8.4</v>
      </c>
      <c r="EJ44" s="12">
        <f>IF('Données projet'!$A$192&gt;35,EJ43+EI44-ER43,IF(A44&lt;'Données projet'!$A$192,$EG$205^A44,IF(A44='Données projet'!$A$192,'Données projet'!$B$192,EJ43+EI44-ER43)))</f>
        <v>124.40000000000006</v>
      </c>
      <c r="EK44" s="17">
        <f>EJ44*VLOOKUP('Données projet'!$B$15,Paramètres!$A$1:$I$89,3,0)*VLOOKUP('Données projet'!$B$15,Paramètres!$A$1:$I$89,5,0)</f>
        <v>83.44752000000004</v>
      </c>
      <c r="EL44" s="13">
        <f t="shared" si="45"/>
        <v>22.978039697763734</v>
      </c>
      <c r="EM44" s="20">
        <f t="shared" si="19"/>
        <v>185.35784980693856</v>
      </c>
      <c r="EN44" s="59">
        <f t="shared" si="20"/>
        <v>433.96053940144253</v>
      </c>
      <c r="EO44" s="59">
        <f ca="1">AVERAGE(OFFSET($EN$3,0,0,'Données projet'!$E$15+1,1))-AVERAGE(OFFSET($H$3,0,0,'Données projet'!$E$15+1,1))</f>
        <v>321.44781099085594</v>
      </c>
      <c r="EP44" s="59">
        <f t="shared" si="46"/>
        <v>201.22243186578183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1.6183202456235242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1.6183202456235242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6.4</v>
      </c>
      <c r="FE44" s="12">
        <f>IF('Données projet'!$A$218&gt;35,FE43+FD44-FM43,IF(A44&lt;'Données projet'!$A$218,$FB$205^A44,IF(A44='Données projet'!$A$218,'Données projet'!$B$218,FE43+FD44-FM43)))</f>
        <v>138.39999999999995</v>
      </c>
      <c r="FF44" s="17">
        <f>FE44*VLOOKUP('Données projet'!$B$16,Paramètres!$A$1:$I$89,3,0)*VLOOKUP('Données projet'!$B$16,Paramètres!$A$1:$I$89,5,0)</f>
        <v>120.90623999999997</v>
      </c>
      <c r="FG44" s="13">
        <f t="shared" si="47"/>
        <v>31.886272251257857</v>
      </c>
      <c r="FH44" s="20">
        <f t="shared" si="22"/>
        <v>266.11362550427401</v>
      </c>
      <c r="FI44" s="59">
        <f t="shared" si="23"/>
        <v>514.71631509877795</v>
      </c>
      <c r="FJ44" s="59">
        <f ca="1">AVERAGE(OFFSET($FI$3,0,0,'Données projet'!$E$16+1,1))-AVERAGE(OFFSET($H$3,0,0,'Données projet'!$E$16+1,1))</f>
        <v>285.8437404763045</v>
      </c>
      <c r="FK44" s="59">
        <f t="shared" si="48"/>
        <v>276.01618888357268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4.0164648035525383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4.0164648035525383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8.1999999999999993</v>
      </c>
      <c r="FZ44" s="12">
        <f>IF('Données projet'!$A$244&gt;35,FZ43+FY44-GH43,IF(A44&lt;'Données projet'!$A$244,$FW$205^A44,IF(A44='Données projet'!$A$244,'Données projet'!$B$244,FZ43+FY44-GH43)))</f>
        <v>172.2</v>
      </c>
      <c r="GA44" s="17">
        <f>FZ44*VLOOKUP('Données projet'!$B$17,Paramètres!$A$1:$I$89,3,0)*VLOOKUP('Données projet'!$B$17,Paramètres!$A$1:$I$89,5,0)</f>
        <v>137.00232</v>
      </c>
      <c r="GB44" s="13">
        <f t="shared" si="49"/>
        <v>35.609416420931346</v>
      </c>
      <c r="GC44" s="20">
        <f t="shared" si="25"/>
        <v>300.63210759978875</v>
      </c>
      <c r="GD44" s="59">
        <f t="shared" si="26"/>
        <v>549.2347971942927</v>
      </c>
      <c r="GE44" s="59">
        <f ca="1">AVERAGE(OFFSET($GD$3,0,0,'Données projet'!$E$17+1,1))-AVERAGE(OFFSET($H$3,0,0,'Données projet'!$E$17+1,1))</f>
        <v>323.01113210765487</v>
      </c>
      <c r="GF44" s="59">
        <f t="shared" si="50"/>
        <v>311.68541696405975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4.8771358328852239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4.8771358328852239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6.4</v>
      </c>
      <c r="GU44" s="12">
        <f>IF('Données projet'!$A$270&gt;35,GU43+GT44-HC43,IF(A44&lt;'Données projet'!$A$270,$GR$205^A44,IF(A44='Données projet'!$A$270,'Données projet'!$B$270,GU43+GT44-HC43)))</f>
        <v>138.39999999999995</v>
      </c>
      <c r="GV44" s="17">
        <f>GU44*VLOOKUP('Données projet'!$B$18,Paramètres!$A$1:$I$89,3,0)*VLOOKUP('Données projet'!$B$18,Paramètres!$A$1:$I$89,5,0)</f>
        <v>120.90623999999997</v>
      </c>
      <c r="GW44" s="13">
        <f t="shared" si="51"/>
        <v>31.886272251257857</v>
      </c>
      <c r="GX44" s="20">
        <f t="shared" si="28"/>
        <v>266.11362550427401</v>
      </c>
      <c r="GY44" s="59">
        <f t="shared" si="29"/>
        <v>514.71631509877795</v>
      </c>
      <c r="GZ44" s="59">
        <f ca="1">AVERAGE(OFFSET($GY$3,0,0,'Données projet'!$E$18+1,1))-AVERAGE(OFFSET($H$3,0,0,'Données projet'!$E$18+1,1))</f>
        <v>285.8437404763045</v>
      </c>
      <c r="HA44" s="59">
        <f t="shared" si="52"/>
        <v>276.01618888357268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4.0164648035525383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4.0164648035525383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5.6</v>
      </c>
      <c r="N45" s="13">
        <f>IF('Données projet'!$A$36&gt;35,N44+M45-V44,IF(A45&lt;'Données projet'!$A$36,$K$205^A45,IF(A45='Données projet'!$A$36,'Données projet'!$B$36,N44+M45-V44)))</f>
        <v>90.2</v>
      </c>
      <c r="O45" s="13">
        <f>N45*VLOOKUP('Données projet'!$B$9,Paramètres!$A$1:$I$89,3,0)*VLOOKUP('Données projet'!$B$9,Paramètres!$A$1:$I$89,5,0)</f>
        <v>81.612960000000001</v>
      </c>
      <c r="P45" s="13">
        <f t="shared" si="33"/>
        <v>22.531101896247538</v>
      </c>
      <c r="Q45" s="20">
        <f t="shared" si="53"/>
        <v>181.38424113596443</v>
      </c>
      <c r="R45" s="59">
        <f t="shared" si="0"/>
        <v>430.76290739659919</v>
      </c>
      <c r="S45" s="59">
        <f ca="1">AVERAGE(OFFSET($R$3,0,0,'Données projet'!$E$9+1,1))-AVERAGE(OFFSET($H$3,0,0,'Données projet'!$E$9+1,1))</f>
        <v>315.34103933739129</v>
      </c>
      <c r="T45" s="59">
        <f t="shared" si="34"/>
        <v>165.80901858372513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1.1575092630907469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1.1575092630907469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16.534285714285716</v>
      </c>
      <c r="AI45" s="13">
        <f>IF('Données projet'!$A$62&gt;35,AI44+AH45-AQ44,IF(A45&lt;'Données projet'!$A$62,$AF$205^A45,IF(A45='Données projet'!$A$62,'Données projet'!$B$62,AI44+AH45-AQ44)))</f>
        <v>334.33571428571423</v>
      </c>
      <c r="AJ45" s="13">
        <f>AI45*VLOOKUP('Données projet'!$B$10,Paramètres!$A$1:$I$89,3,0)*VLOOKUP('Données projet'!$B$10,Paramètres!$A$1:$I$89,5,0)</f>
        <v>199.9327571428571</v>
      </c>
      <c r="AK45" s="13">
        <f t="shared" si="35"/>
        <v>49.729389491415851</v>
      </c>
      <c r="AL45" s="20">
        <f t="shared" si="4"/>
        <v>434.82823872135873</v>
      </c>
      <c r="AM45" s="59">
        <f t="shared" si="5"/>
        <v>684.20690498199349</v>
      </c>
      <c r="AN45" s="59">
        <f ca="1">AVERAGE(OFFSET($AM$3,0,0,'Données projet'!$E$10+1,1))-AVERAGE(OFFSET($H$3,0,0,'Données projet'!$E$10+1,1))</f>
        <v>317.328615425664</v>
      </c>
      <c r="AO45" s="59">
        <f t="shared" si="36"/>
        <v>324.95872842255744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23.315765384136331</v>
      </c>
      <c r="AV45" s="21">
        <f>EXP(-LN(2)/25)*AV44+(1-EXP(-LN(2)/25))/(LN(2)/25)*Calculateur!AQ45*Calculateur!AS45*VLOOKUP('Données projet'!$B$10,Paramètres!$A$1:$I$89,3,0)*0.475*44/12</f>
        <v>20.512905855196557</v>
      </c>
      <c r="AW45" s="21">
        <f>EXP(-LN(2)/2)*AW44+(1-EXP(-LN(2)/2))/(LN(2)/2)*AQ45*AT45*VLOOKUP('Données projet'!$B$10,Paramètres!$A$1:$I$89,3,0)*0.475*44/12</f>
        <v>1.2850808549269968</v>
      </c>
      <c r="AX45" s="21">
        <f t="shared" si="6"/>
        <v>45.113752094259887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12.772000000000002</v>
      </c>
      <c r="BD45" s="12">
        <f>IF('Données projet'!$A$88&gt;35,BD44+BC45-BL44,IF(A45&lt;'Données projet'!$A$88,$BA$205^A45,IF(A45='Données projet'!$A$88,'Données projet'!$B$88,BD44+BC45-BL44)))</f>
        <v>232.63199999999995</v>
      </c>
      <c r="BE45" s="13">
        <f>BD45*VLOOKUP('Données projet'!$B$11,Paramètres!$A$1:$I$89,3,0)*VLOOKUP('Données projet'!$B$11,Paramètres!$A$1:$I$89,5,0)</f>
        <v>267.99206399999991</v>
      </c>
      <c r="BF45" s="13">
        <f t="shared" si="37"/>
        <v>64.422949638912371</v>
      </c>
      <c r="BG45" s="20">
        <f t="shared" si="7"/>
        <v>578.9561487544388</v>
      </c>
      <c r="BH45" s="59">
        <f t="shared" si="8"/>
        <v>828.33481501507356</v>
      </c>
      <c r="BI45" s="59">
        <f ca="1">AVERAGE(OFFSET($BH$3,0,0,'Données projet'!$E$11+1,1))-AVERAGE(OFFSET($H$3,0,0,'Données projet'!$E$11+1,1))</f>
        <v>418.31716673276725</v>
      </c>
      <c r="BJ45" s="59">
        <f t="shared" si="38"/>
        <v>472.37891533957929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9.6326482509087015</v>
      </c>
      <c r="BQ45" s="21">
        <f>EXP(-LN(2)/25)*BQ44+(1-EXP(-LN(2)/25))/(LN(2)/25)*Calculateur!BL45*Calculateur!BN45*VLOOKUP('Données projet'!$B$11,Paramètres!$A$1:$I$89,3,0)*0.475*44/12</f>
        <v>17.867751171337133</v>
      </c>
      <c r="BR45" s="21">
        <f>EXP(-LN(2)/2)*BR44+(1-EXP(-LN(2)/2))/(LN(2)/2)*BL45*BO45*VLOOKUP('Données projet'!$B$11,Paramètres!$A$1:$I$89,3,0)*0.475*44/12</f>
        <v>2.6524372955298725</v>
      </c>
      <c r="BS45" s="22">
        <f t="shared" si="9"/>
        <v>30.152836717775706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5.7811111111111124</v>
      </c>
      <c r="BY45" s="12">
        <f>IF('Données projet'!$A$114&gt;35,BY44+BX45-CG44,IF(A45&lt;'Données projet'!$A$114,$BV$205^A45,IF(A45='Données projet'!$A$114,'Données projet'!$B$114,BY44+BX45-CG44)))</f>
        <v>111.39666666666669</v>
      </c>
      <c r="BZ45" s="13">
        <f>BY45*VLOOKUP('Données projet'!$B$12,Paramètres!$A$1:$I$89,3,0)*VLOOKUP('Données projet'!$B$12,Paramètres!$A$1:$I$89,5,0)</f>
        <v>65.167050000000017</v>
      </c>
      <c r="CA45" s="13">
        <f t="shared" si="39"/>
        <v>18.468314438478938</v>
      </c>
      <c r="CB45" s="20">
        <f t="shared" si="10"/>
        <v>145.66492639701752</v>
      </c>
      <c r="CC45" s="59">
        <f t="shared" si="11"/>
        <v>395.04359265765225</v>
      </c>
      <c r="CD45" s="59">
        <f ca="1">AVERAGE(OFFSET($CC$3,0,0,'Données projet'!$E$12+1,1))-AVERAGE(OFFSET($H$3,0,0,'Données projet'!$E$12+1,1))</f>
        <v>184.11352167663844</v>
      </c>
      <c r="CE45" s="59">
        <f t="shared" si="40"/>
        <v>145.86653500981791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1.7985378741098335</v>
      </c>
      <c r="CL45" s="21">
        <f>EXP(-LN(2)/25)*CL44+(1-EXP(-LN(2)/25))/(LN(2)/25)*Calculateur!CG45*Calculateur!CI45*VLOOKUP('Données projet'!$B$12,Paramètres!$A$1:$I$89,3,0)*0.475*44/12</f>
        <v>3.8436752820445697</v>
      </c>
      <c r="CM45" s="21">
        <f>EXP(-LN(2)/2)*CM44+(1-EXP(-LN(2)/2))/(LN(2)/2)*CG45*CJ45*VLOOKUP('Données projet'!$B$12,Paramètres!$A$1:$I$89,3,0)*0.475*44/12</f>
        <v>0.84036404057972192</v>
      </c>
      <c r="CN45" s="22">
        <f t="shared" si="12"/>
        <v>6.482577196734125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7.3029999999999999</v>
      </c>
      <c r="CT45" s="12">
        <f>IF('Données projet'!$A$140&gt;35,CT44+CS45-DB44,IF(A45&lt;'Données projet'!$A$140,$CQ$205^A45,IF(A45='Données projet'!$A$140,'Données projet'!$B$140,CT44+CS45-DB44)))</f>
        <v>139.57600000000002</v>
      </c>
      <c r="CU45" s="17">
        <f>CT45*VLOOKUP('Données projet'!$B$13,Paramètres!$A$1:$I$89,3,0)*VLOOKUP('Données projet'!$B$13,Paramètres!$A$1:$I$89,5,0)</f>
        <v>67.136056000000011</v>
      </c>
      <c r="CV45" s="13">
        <f t="shared" si="41"/>
        <v>18.96051945300416</v>
      </c>
      <c r="CW45" s="20">
        <f t="shared" si="13"/>
        <v>149.95153558064891</v>
      </c>
      <c r="CX45" s="59">
        <f t="shared" si="14"/>
        <v>399.33020184128361</v>
      </c>
      <c r="CY45" s="59">
        <f ca="1">AVERAGE(OFFSET($CX$3,0,0,'Données projet'!$E$13+1,1))-AVERAGE(OFFSET($H$3,0,0,'Données projet'!$E$13+1,1))</f>
        <v>303.76035885073708</v>
      </c>
      <c r="CZ45" s="59">
        <f t="shared" si="42"/>
        <v>127.43112562890414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5.2</v>
      </c>
      <c r="DO45" s="12">
        <f>IF('Données projet'!$A$166&gt;35,DO44+DN45-DW44,IF(A45&lt;'Données projet'!$A$166,$DL$205^A45,IF(A45='Données projet'!$A$166,'Données projet'!$B$166,DO44+DN45-DW44)))</f>
        <v>250.40000000000009</v>
      </c>
      <c r="DP45" s="17">
        <f>DO45*VLOOKUP('Données projet'!$B$14,Paramètres!$A$1:$I$89,3,0)*VLOOKUP('Données projet'!$B$14,Paramètres!$A$1:$I$89,5,0)</f>
        <v>144.53088000000005</v>
      </c>
      <c r="DQ45" s="13">
        <f t="shared" si="43"/>
        <v>37.333034575761928</v>
      </c>
      <c r="DR45" s="20">
        <f t="shared" si="16"/>
        <v>316.74631788611873</v>
      </c>
      <c r="DS45" s="59">
        <f t="shared" si="17"/>
        <v>566.12498414675349</v>
      </c>
      <c r="DT45" s="59">
        <f ca="1">AVERAGE(OFFSET($DS$3,0,0,'Données projet'!$E$14+1,1))-AVERAGE(OFFSET($H$3,0,0,'Données projet'!$E$14+1,1))</f>
        <v>243.65374431792841</v>
      </c>
      <c r="DU45" s="59">
        <f t="shared" si="44"/>
        <v>271.60754570002939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8.4</v>
      </c>
      <c r="EJ45" s="12">
        <f>IF('Données projet'!$A$192&gt;35,EJ44+EI45-ER44,IF(A45&lt;'Données projet'!$A$192,$EG$205^A45,IF(A45='Données projet'!$A$192,'Données projet'!$B$192,EJ44+EI45-ER44)))</f>
        <v>132.80000000000007</v>
      </c>
      <c r="EK45" s="17">
        <f>EJ45*VLOOKUP('Données projet'!$B$15,Paramètres!$A$1:$I$89,3,0)*VLOOKUP('Données projet'!$B$15,Paramètres!$A$1:$I$89,5,0)</f>
        <v>89.082240000000041</v>
      </c>
      <c r="EL45" s="13">
        <f t="shared" si="45"/>
        <v>24.343751517442186</v>
      </c>
      <c r="EM45" s="20">
        <f t="shared" si="19"/>
        <v>197.5502685595452</v>
      </c>
      <c r="EN45" s="59">
        <f t="shared" si="20"/>
        <v>446.92893482017996</v>
      </c>
      <c r="EO45" s="59">
        <f ca="1">AVERAGE(OFFSET($EN$3,0,0,'Données projet'!$E$15+1,1))-AVERAGE(OFFSET($H$3,0,0,'Données projet'!$E$15+1,1))</f>
        <v>321.44781099085594</v>
      </c>
      <c r="EP45" s="59">
        <f t="shared" si="46"/>
        <v>201.22243186578183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1.5865859726847309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1.5865859726847309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6.4</v>
      </c>
      <c r="FE45" s="12">
        <f>IF('Données projet'!$A$218&gt;35,FE44+FD45-FM44,IF(A45&lt;'Données projet'!$A$218,$FB$205^A45,IF(A45='Données projet'!$A$218,'Données projet'!$B$218,FE44+FD45-FM44)))</f>
        <v>144.79999999999995</v>
      </c>
      <c r="FF45" s="17">
        <f>FE45*VLOOKUP('Données projet'!$B$16,Paramètres!$A$1:$I$89,3,0)*VLOOKUP('Données projet'!$B$16,Paramètres!$A$1:$I$89,5,0)</f>
        <v>126.49727999999998</v>
      </c>
      <c r="FG45" s="13">
        <f t="shared" si="47"/>
        <v>33.185701456959592</v>
      </c>
      <c r="FH45" s="20">
        <f t="shared" si="22"/>
        <v>278.11452603753787</v>
      </c>
      <c r="FI45" s="59">
        <f t="shared" si="23"/>
        <v>527.49319229817263</v>
      </c>
      <c r="FJ45" s="59">
        <f ca="1">AVERAGE(OFFSET($FI$3,0,0,'Données projet'!$E$16+1,1))-AVERAGE(OFFSET($H$3,0,0,'Données projet'!$E$16+1,1))</f>
        <v>285.8437404763045</v>
      </c>
      <c r="FK45" s="59">
        <f t="shared" si="48"/>
        <v>276.01618888357268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3.9377043785565053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3.9377043785565053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8.1999999999999993</v>
      </c>
      <c r="FZ45" s="12">
        <f>IF('Données projet'!$A$244&gt;35,FZ44+FY45-GH44,IF(A45&lt;'Données projet'!$A$244,$FW$205^A45,IF(A45='Données projet'!$A$244,'Données projet'!$B$244,FZ44+FY45-GH44)))</f>
        <v>180.39999999999998</v>
      </c>
      <c r="GA45" s="17">
        <f>FZ45*VLOOKUP('Données projet'!$B$17,Paramètres!$A$1:$I$89,3,0)*VLOOKUP('Données projet'!$B$17,Paramètres!$A$1:$I$89,5,0)</f>
        <v>143.52624</v>
      </c>
      <c r="GB45" s="13">
        <f t="shared" si="49"/>
        <v>37.103644337236275</v>
      </c>
      <c r="GC45" s="20">
        <f t="shared" si="25"/>
        <v>314.59704855401981</v>
      </c>
      <c r="GD45" s="59">
        <f t="shared" si="26"/>
        <v>563.97571481465457</v>
      </c>
      <c r="GE45" s="59">
        <f ca="1">AVERAGE(OFFSET($GD$3,0,0,'Données projet'!$E$17+1,1))-AVERAGE(OFFSET($H$3,0,0,'Données projet'!$E$17+1,1))</f>
        <v>323.01113210765487</v>
      </c>
      <c r="GF45" s="59">
        <f t="shared" si="50"/>
        <v>311.68541696405975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4.7814981739614693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4.7814981739614693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6.4</v>
      </c>
      <c r="GU45" s="12">
        <f>IF('Données projet'!$A$270&gt;35,GU44+GT45-HC44,IF(A45&lt;'Données projet'!$A$270,$GR$205^A45,IF(A45='Données projet'!$A$270,'Données projet'!$B$270,GU44+GT45-HC44)))</f>
        <v>144.79999999999995</v>
      </c>
      <c r="GV45" s="17">
        <f>GU45*VLOOKUP('Données projet'!$B$18,Paramètres!$A$1:$I$89,3,0)*VLOOKUP('Données projet'!$B$18,Paramètres!$A$1:$I$89,5,0)</f>
        <v>126.49727999999998</v>
      </c>
      <c r="GW45" s="13">
        <f t="shared" si="51"/>
        <v>33.185701456959592</v>
      </c>
      <c r="GX45" s="20">
        <f t="shared" si="28"/>
        <v>278.11452603753787</v>
      </c>
      <c r="GY45" s="59">
        <f t="shared" si="29"/>
        <v>527.49319229817263</v>
      </c>
      <c r="GZ45" s="59">
        <f ca="1">AVERAGE(OFFSET($GY$3,0,0,'Données projet'!$E$18+1,1))-AVERAGE(OFFSET($H$3,0,0,'Données projet'!$E$18+1,1))</f>
        <v>285.8437404763045</v>
      </c>
      <c r="HA45" s="59">
        <f t="shared" si="52"/>
        <v>276.01618888357268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3.9377043785565053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3.9377043785565053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5.6</v>
      </c>
      <c r="N46" s="13">
        <f>IF('Données projet'!$A$36&gt;35,N45+M46-V45,IF(A46&lt;'Données projet'!$A$36,$K$205^A46,IF(A46='Données projet'!$A$36,'Données projet'!$B$36,N45+M46-V45)))</f>
        <v>95.8</v>
      </c>
      <c r="O46" s="13">
        <f>N46*VLOOKUP('Données projet'!$B$9,Paramètres!$A$1:$I$89,3,0)*VLOOKUP('Données projet'!$B$9,Paramètres!$A$1:$I$89,5,0)</f>
        <v>86.679839999999999</v>
      </c>
      <c r="P46" s="13">
        <f t="shared" si="33"/>
        <v>23.762739053789723</v>
      </c>
      <c r="Q46" s="20">
        <f t="shared" si="53"/>
        <v>192.35415851868379</v>
      </c>
      <c r="R46" s="59">
        <f t="shared" si="0"/>
        <v>442.49533998511583</v>
      </c>
      <c r="S46" s="59">
        <f ca="1">AVERAGE(OFFSET($R$3,0,0,'Données projet'!$E$9+1,1))-AVERAGE(OFFSET($H$3,0,0,'Données projet'!$E$9+1,1))</f>
        <v>315.34103933739129</v>
      </c>
      <c r="T46" s="59">
        <f t="shared" si="34"/>
        <v>165.80901858372513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1.134811212452475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1.134811212452475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>
        <f>VLOOKUP(A46,'Données projet'!$A$61:$I$81,2,0)</f>
        <v>350.87</v>
      </c>
      <c r="AG46" s="12">
        <f>VLOOKUP(A46,'Données projet'!$A$61:$I$81,9,0)</f>
        <v>16.534285714285716</v>
      </c>
      <c r="AH46" s="12">
        <f t="array" ref="AH46">INDEX(AG:AG,MIN(IF(ISNUMBER(AG46:AG242),ROW(AG46:AG242),"")))</f>
        <v>16.534285714285716</v>
      </c>
      <c r="AI46" s="13">
        <f>IF('Données projet'!$A$62&gt;35,AI45+AH46-AQ45,IF(A46&lt;'Données projet'!$A$62,$AF$205^A46,IF(A46='Données projet'!$A$62,'Données projet'!$B$62,AI45+AH46-AQ45)))</f>
        <v>350.86999999999995</v>
      </c>
      <c r="AJ46" s="13">
        <f>AI46*VLOOKUP('Données projet'!$B$10,Paramètres!$A$1:$I$89,3,0)*VLOOKUP('Données projet'!$B$10,Paramètres!$A$1:$I$89,5,0)</f>
        <v>209.82025999999999</v>
      </c>
      <c r="AK46" s="13">
        <f t="shared" si="35"/>
        <v>51.89630602891846</v>
      </c>
      <c r="AL46" s="20">
        <f t="shared" si="4"/>
        <v>455.82301916703295</v>
      </c>
      <c r="AM46" s="59">
        <f t="shared" si="5"/>
        <v>705.964200633465</v>
      </c>
      <c r="AN46" s="59">
        <f ca="1">AVERAGE(OFFSET($AM$3,0,0,'Données projet'!$E$10+1,1))-AVERAGE(OFFSET($H$3,0,0,'Données projet'!$E$10+1,1))</f>
        <v>317.328615425664</v>
      </c>
      <c r="AO46" s="59">
        <f t="shared" si="36"/>
        <v>324.95872842255744</v>
      </c>
      <c r="AP46" s="15">
        <f>IF(ISNA(VLOOKUP(A46,'Données projet'!$A$61:$I$81,3,0)),0,VLOOKUP(A46,'Données projet'!$A$61:$I$81,3,0))</f>
        <v>6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0.315</v>
      </c>
      <c r="AS46" s="16">
        <f>IF(ISNA(VLOOKUP(A46,'Données projet'!$A$61:$I$81,6,0)),0%,VLOOKUP(A46,'Données projet'!$A$61:$I$81,6,0)*VLOOKUP('Données projet'!$B$10,Paramètres!$A$1:$I$89,7,0))</f>
        <v>7.6500000000000012E-2</v>
      </c>
      <c r="AT46" s="16">
        <f>IF(ISNA(VLOOKUP(A46,'Données projet'!$A$61:$I$81,7,0)),0%,VLOOKUP(A46,'Données projet'!$A$61:$I$81,7,0))</f>
        <v>0.13</v>
      </c>
      <c r="AU46" s="21">
        <f>EXP(-LN(2)/35)*AU45+(1-EXP(-LN(2)/35))/(LN(2)/35)*AQ46*AR46*VLOOKUP('Données projet'!$B$10,Paramètres!$A$1:$I$89,3,0)*0.475*44/12</f>
        <v>22.858557446166074</v>
      </c>
      <c r="AV46" s="21">
        <f>EXP(-LN(2)/25)*AV45+(1-EXP(-LN(2)/25))/(LN(2)/25)*Calculateur!AQ46*Calculateur!AS46*VLOOKUP('Données projet'!$B$10,Paramètres!$A$1:$I$89,3,0)*0.475*44/12</f>
        <v>19.951979365859373</v>
      </c>
      <c r="AW46" s="21">
        <f>EXP(-LN(2)/2)*AW45+(1-EXP(-LN(2)/2))/(LN(2)/2)*AQ46*AT46*VLOOKUP('Données projet'!$B$10,Paramètres!$A$1:$I$89,3,0)*0.475*44/12</f>
        <v>0.90868938689188539</v>
      </c>
      <c r="AX46" s="21">
        <f t="shared" si="6"/>
        <v>43.719226198917333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12.772000000000002</v>
      </c>
      <c r="BD46" s="12">
        <f>IF('Données projet'!$A$88&gt;35,BD45+BC46-BL45,IF(A46&lt;'Données projet'!$A$88,$BA$205^A46,IF(A46='Données projet'!$A$88,'Données projet'!$B$88,BD45+BC46-BL45)))</f>
        <v>245.40399999999994</v>
      </c>
      <c r="BE46" s="13">
        <f>BD46*VLOOKUP('Données projet'!$B$11,Paramètres!$A$1:$I$89,3,0)*VLOOKUP('Données projet'!$B$11,Paramètres!$A$1:$I$89,5,0)</f>
        <v>282.70540799999992</v>
      </c>
      <c r="BF46" s="13">
        <f t="shared" si="37"/>
        <v>67.538419006929658</v>
      </c>
      <c r="BG46" s="20">
        <f t="shared" si="7"/>
        <v>610.00799870373567</v>
      </c>
      <c r="BH46" s="59">
        <f t="shared" si="8"/>
        <v>860.14918017016771</v>
      </c>
      <c r="BI46" s="59">
        <f ca="1">AVERAGE(OFFSET($BH$3,0,0,'Données projet'!$E$11+1,1))-AVERAGE(OFFSET($H$3,0,0,'Données projet'!$E$11+1,1))</f>
        <v>418.31716673276725</v>
      </c>
      <c r="BJ46" s="59">
        <f t="shared" si="38"/>
        <v>472.37891533957929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9.4437578940436744</v>
      </c>
      <c r="BQ46" s="21">
        <f>EXP(-LN(2)/25)*BQ45+(1-EXP(-LN(2)/25))/(LN(2)/25)*Calculateur!BL46*Calculateur!BN46*VLOOKUP('Données projet'!$B$11,Paramètres!$A$1:$I$89,3,0)*0.475*44/12</f>
        <v>17.379156575932722</v>
      </c>
      <c r="BR46" s="21">
        <f>EXP(-LN(2)/2)*BR45+(1-EXP(-LN(2)/2))/(LN(2)/2)*BL46*BO46*VLOOKUP('Données projet'!$B$11,Paramètres!$A$1:$I$89,3,0)*0.475*44/12</f>
        <v>1.8755563983412795</v>
      </c>
      <c r="BS46" s="22">
        <f t="shared" si="9"/>
        <v>28.698470868317678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5.7811111111111124</v>
      </c>
      <c r="BY46" s="12">
        <f>IF('Données projet'!$A$114&gt;35,BY45+BX46-CG45,IF(A46&lt;'Données projet'!$A$114,$BV$205^A46,IF(A46='Données projet'!$A$114,'Données projet'!$B$114,BY45+BX46-CG45)))</f>
        <v>117.17777777777781</v>
      </c>
      <c r="BZ46" s="13">
        <f>BY46*VLOOKUP('Données projet'!$B$12,Paramètres!$A$1:$I$89,3,0)*VLOOKUP('Données projet'!$B$12,Paramètres!$A$1:$I$89,5,0)</f>
        <v>68.549000000000021</v>
      </c>
      <c r="CA46" s="13">
        <f t="shared" si="39"/>
        <v>19.312685032704337</v>
      </c>
      <c r="CB46" s="20">
        <f t="shared" si="10"/>
        <v>153.02576809862674</v>
      </c>
      <c r="CC46" s="59">
        <f t="shared" si="11"/>
        <v>403.16694956505876</v>
      </c>
      <c r="CD46" s="59">
        <f ca="1">AVERAGE(OFFSET($CC$3,0,0,'Données projet'!$E$12+1,1))-AVERAGE(OFFSET($H$3,0,0,'Données projet'!$E$12+1,1))</f>
        <v>184.11352167663844</v>
      </c>
      <c r="CE46" s="59">
        <f t="shared" si="40"/>
        <v>145.86653500981791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1.763269643398323</v>
      </c>
      <c r="CL46" s="21">
        <f>EXP(-LN(2)/25)*CL45+(1-EXP(-LN(2)/25))/(LN(2)/25)*Calculateur!CG46*Calculateur!CI46*VLOOKUP('Données projet'!$B$12,Paramètres!$A$1:$I$89,3,0)*0.475*44/12</f>
        <v>3.7385697793269625</v>
      </c>
      <c r="CM46" s="21">
        <f>EXP(-LN(2)/2)*CM45+(1-EXP(-LN(2)/2))/(LN(2)/2)*CG46*CJ46*VLOOKUP('Données projet'!$B$12,Paramètres!$A$1:$I$89,3,0)*0.475*44/12</f>
        <v>0.59422711175924836</v>
      </c>
      <c r="CN46" s="22">
        <f t="shared" si="12"/>
        <v>6.0960665344845335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7.3029999999999999</v>
      </c>
      <c r="CT46" s="12">
        <f>IF('Données projet'!$A$140&gt;35,CT45+CS46-DB45,IF(A46&lt;'Données projet'!$A$140,$CQ$205^A46,IF(A46='Données projet'!$A$140,'Données projet'!$B$140,CT45+CS46-DB45)))</f>
        <v>146.87900000000002</v>
      </c>
      <c r="CU46" s="17">
        <f>CT46*VLOOKUP('Données projet'!$B$13,Paramètres!$A$1:$I$89,3,0)*VLOOKUP('Données projet'!$B$13,Paramètres!$A$1:$I$89,5,0)</f>
        <v>70.648799000000011</v>
      </c>
      <c r="CV46" s="13">
        <f t="shared" si="41"/>
        <v>19.834490615160913</v>
      </c>
      <c r="CW46" s="20">
        <f t="shared" si="13"/>
        <v>157.59172941307193</v>
      </c>
      <c r="CX46" s="59">
        <f t="shared" si="14"/>
        <v>407.73291087950395</v>
      </c>
      <c r="CY46" s="59">
        <f ca="1">AVERAGE(OFFSET($CX$3,0,0,'Données projet'!$E$13+1,1))-AVERAGE(OFFSET($H$3,0,0,'Données projet'!$E$13+1,1))</f>
        <v>303.76035885073708</v>
      </c>
      <c r="CZ46" s="59">
        <f t="shared" si="42"/>
        <v>127.43112562890414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5.2</v>
      </c>
      <c r="DO46" s="12">
        <f>IF('Données projet'!$A$166&gt;35,DO45+DN46-DW45,IF(A46&lt;'Données projet'!$A$166,$DL$205^A46,IF(A46='Données projet'!$A$166,'Données projet'!$B$166,DO45+DN46-DW45)))</f>
        <v>255.60000000000008</v>
      </c>
      <c r="DP46" s="17">
        <f>DO46*VLOOKUP('Données projet'!$B$14,Paramètres!$A$1:$I$89,3,0)*VLOOKUP('Données projet'!$B$14,Paramètres!$A$1:$I$89,5,0)</f>
        <v>147.53232000000006</v>
      </c>
      <c r="DQ46" s="13">
        <f t="shared" si="43"/>
        <v>38.017256236809772</v>
      </c>
      <c r="DR46" s="20">
        <f t="shared" si="16"/>
        <v>323.1655119457771</v>
      </c>
      <c r="DS46" s="59">
        <f t="shared" si="17"/>
        <v>573.30669341220914</v>
      </c>
      <c r="DT46" s="59">
        <f ca="1">AVERAGE(OFFSET($DS$3,0,0,'Données projet'!$E$14+1,1))-AVERAGE(OFFSET($H$3,0,0,'Données projet'!$E$14+1,1))</f>
        <v>243.65374431792841</v>
      </c>
      <c r="DU46" s="59">
        <f t="shared" si="44"/>
        <v>271.60754570002939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8.4</v>
      </c>
      <c r="EJ46" s="12">
        <f>IF('Données projet'!$A$192&gt;35,EJ45+EI46-ER45,IF(A46&lt;'Données projet'!$A$192,$EG$205^A46,IF(A46='Données projet'!$A$192,'Données projet'!$B$192,EJ45+EI46-ER45)))</f>
        <v>141.20000000000007</v>
      </c>
      <c r="EK46" s="17">
        <f>EJ46*VLOOKUP('Données projet'!$B$15,Paramètres!$A$1:$I$89,3,0)*VLOOKUP('Données projet'!$B$15,Paramètres!$A$1:$I$89,5,0)</f>
        <v>94.716960000000043</v>
      </c>
      <c r="EL46" s="13">
        <f t="shared" si="45"/>
        <v>25.69943794908513</v>
      </c>
      <c r="EM46" s="20">
        <f t="shared" si="19"/>
        <v>209.72522642799001</v>
      </c>
      <c r="EN46" s="59">
        <f t="shared" si="20"/>
        <v>459.86640789442208</v>
      </c>
      <c r="EO46" s="59">
        <f ca="1">AVERAGE(OFFSET($EN$3,0,0,'Données projet'!$E$15+1,1))-AVERAGE(OFFSET($H$3,0,0,'Données projet'!$E$15+1,1))</f>
        <v>321.44781099085594</v>
      </c>
      <c r="EP46" s="59">
        <f t="shared" si="46"/>
        <v>201.22243186578183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1.555473989482272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1.555473989482272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6.4</v>
      </c>
      <c r="FE46" s="12">
        <f>IF('Données projet'!$A$218&gt;35,FE45+FD46-FM45,IF(A46&lt;'Données projet'!$A$218,$FB$205^A46,IF(A46='Données projet'!$A$218,'Données projet'!$B$218,FE45+FD46-FM45)))</f>
        <v>151.19999999999996</v>
      </c>
      <c r="FF46" s="17">
        <f>FE46*VLOOKUP('Données projet'!$B$16,Paramètres!$A$1:$I$89,3,0)*VLOOKUP('Données projet'!$B$16,Paramètres!$A$1:$I$89,5,0)</f>
        <v>132.08831999999998</v>
      </c>
      <c r="FG46" s="13">
        <f t="shared" si="47"/>
        <v>34.47846029657056</v>
      </c>
      <c r="FH46" s="20">
        <f t="shared" si="22"/>
        <v>290.10380901652701</v>
      </c>
      <c r="FI46" s="59">
        <f t="shared" si="23"/>
        <v>540.24499048295911</v>
      </c>
      <c r="FJ46" s="59">
        <f ca="1">AVERAGE(OFFSET($FI$3,0,0,'Données projet'!$E$16+1,1))-AVERAGE(OFFSET($H$3,0,0,'Données projet'!$E$16+1,1))</f>
        <v>285.8437404763045</v>
      </c>
      <c r="FK46" s="59">
        <f t="shared" si="48"/>
        <v>276.01618888357268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3.8604883974555286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3.8604883974555286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8.1999999999999993</v>
      </c>
      <c r="FZ46" s="12">
        <f>IF('Données projet'!$A$244&gt;35,FZ45+FY46-GH45,IF(A46&lt;'Données projet'!$A$244,$FW$205^A46,IF(A46='Données projet'!$A$244,'Données projet'!$B$244,FZ45+FY46-GH45)))</f>
        <v>188.59999999999997</v>
      </c>
      <c r="GA46" s="17">
        <f>FZ46*VLOOKUP('Données projet'!$B$17,Paramètres!$A$1:$I$89,3,0)*VLOOKUP('Données projet'!$B$17,Paramètres!$A$1:$I$89,5,0)</f>
        <v>150.05015999999998</v>
      </c>
      <c r="GB46" s="13">
        <f t="shared" si="49"/>
        <v>38.589984439024569</v>
      </c>
      <c r="GC46" s="20">
        <f t="shared" si="25"/>
        <v>328.54825156463437</v>
      </c>
      <c r="GD46" s="59">
        <f t="shared" si="26"/>
        <v>578.68943303106641</v>
      </c>
      <c r="GE46" s="59">
        <f ca="1">AVERAGE(OFFSET($GD$3,0,0,'Données projet'!$E$17+1,1))-AVERAGE(OFFSET($H$3,0,0,'Données projet'!$E$17+1,1))</f>
        <v>323.01113210765487</v>
      </c>
      <c r="GF46" s="59">
        <f t="shared" si="50"/>
        <v>311.68541696405975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4.6877359111959978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4.6877359111959978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6.4</v>
      </c>
      <c r="GU46" s="12">
        <f>IF('Données projet'!$A$270&gt;35,GU45+GT46-HC45,IF(A46&lt;'Données projet'!$A$270,$GR$205^A46,IF(A46='Données projet'!$A$270,'Données projet'!$B$270,GU45+GT46-HC45)))</f>
        <v>151.19999999999996</v>
      </c>
      <c r="GV46" s="17">
        <f>GU46*VLOOKUP('Données projet'!$B$18,Paramètres!$A$1:$I$89,3,0)*VLOOKUP('Données projet'!$B$18,Paramètres!$A$1:$I$89,5,0)</f>
        <v>132.08831999999998</v>
      </c>
      <c r="GW46" s="13">
        <f t="shared" si="51"/>
        <v>34.47846029657056</v>
      </c>
      <c r="GX46" s="20">
        <f t="shared" si="28"/>
        <v>290.10380901652701</v>
      </c>
      <c r="GY46" s="59">
        <f t="shared" si="29"/>
        <v>540.24499048295911</v>
      </c>
      <c r="GZ46" s="59">
        <f ca="1">AVERAGE(OFFSET($GY$3,0,0,'Données projet'!$E$18+1,1))-AVERAGE(OFFSET($H$3,0,0,'Données projet'!$E$18+1,1))</f>
        <v>285.8437404763045</v>
      </c>
      <c r="HA46" s="59">
        <f t="shared" si="52"/>
        <v>276.01618888357268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3.8604883974555286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3.8604883974555286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5.6</v>
      </c>
      <c r="N47" s="13">
        <f>IF('Données projet'!$A$36&gt;35,N46+M47-V46,IF(A47&lt;'Données projet'!$A$36,$K$205^A47,IF(A47='Données projet'!$A$36,'Données projet'!$B$36,N46+M47-V46)))</f>
        <v>101.39999999999999</v>
      </c>
      <c r="O47" s="13">
        <f>N47*VLOOKUP('Données projet'!$B$9,Paramètres!$A$1:$I$89,3,0)*VLOOKUP('Données projet'!$B$9,Paramètres!$A$1:$I$89,5,0)</f>
        <v>91.746719999999982</v>
      </c>
      <c r="P47" s="13">
        <f t="shared" si="33"/>
        <v>24.986019358738364</v>
      </c>
      <c r="Q47" s="20">
        <f t="shared" si="53"/>
        <v>203.30952104980258</v>
      </c>
      <c r="R47" s="59">
        <f t="shared" si="0"/>
        <v>454.19998978794001</v>
      </c>
      <c r="S47" s="59">
        <f ca="1">AVERAGE(OFFSET($R$3,0,0,'Données projet'!$E$9+1,1))-AVERAGE(OFFSET($H$3,0,0,'Données projet'!$E$9+1,1))</f>
        <v>315.34103933739129</v>
      </c>
      <c r="T47" s="59">
        <f t="shared" si="34"/>
        <v>165.80901858372513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1.1125582567427759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1.1125582567427759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367.35</v>
      </c>
      <c r="AG47" s="12">
        <f>VLOOKUP(A47,'Données projet'!$A$61:$I$81,9,0)</f>
        <v>16.480000000000018</v>
      </c>
      <c r="AH47" s="12">
        <f t="array" ref="AH47">INDEX(AG:AG,MIN(IF(ISNUMBER(AG47:AG243),ROW(AG47:AG243),"")))</f>
        <v>16.480000000000018</v>
      </c>
      <c r="AI47" s="13">
        <f>IF('Données projet'!$A$62&gt;35,AI46+AH47-AQ46,IF(A47&lt;'Données projet'!$A$62,$AF$205^A47,IF(A47='Données projet'!$A$62,'Données projet'!$B$62,AI46+AH47-AQ46)))</f>
        <v>367.34999999999997</v>
      </c>
      <c r="AJ47" s="13">
        <f>AI47*VLOOKUP('Données projet'!$B$10,Paramètres!$A$1:$I$89,3,0)*VLOOKUP('Données projet'!$B$10,Paramètres!$A$1:$I$89,5,0)</f>
        <v>219.67529999999999</v>
      </c>
      <c r="AK47" s="13">
        <f t="shared" si="35"/>
        <v>54.044307714561441</v>
      </c>
      <c r="AL47" s="20">
        <f t="shared" si="4"/>
        <v>476.72831676952779</v>
      </c>
      <c r="AM47" s="59">
        <f t="shared" si="5"/>
        <v>727.61878550766528</v>
      </c>
      <c r="AN47" s="59">
        <f ca="1">AVERAGE(OFFSET($AM$3,0,0,'Données projet'!$E$10+1,1))-AVERAGE(OFFSET($H$3,0,0,'Données projet'!$E$10+1,1))</f>
        <v>317.328615425664</v>
      </c>
      <c r="AO47" s="59">
        <f t="shared" si="36"/>
        <v>324.95872842255744</v>
      </c>
      <c r="AP47" s="15">
        <f>IF(ISNA(VLOOKUP(A47,'Données projet'!$A$61:$I$81,3,0)),0,VLOOKUP(A47,'Données projet'!$A$61:$I$81,3,0))</f>
        <v>7</v>
      </c>
      <c r="AQ47" s="15">
        <f>IF(ISNA(VLOOKUP(A47,'Données projet'!$A$61:$I$81,4,0)),0,VLOOKUP(A47,'Données projet'!$A$61:$I$81,4,0))</f>
        <v>78</v>
      </c>
      <c r="AR47" s="16">
        <f>IF(ISNA(VLOOKUP(A47,'Données projet'!$A$61:$I$81,5,0)),0%,VLOOKUP(A47,'Données projet'!$A$61:$I$81,5,0)*VLOOKUP('Données projet'!$B$10,Paramètres!$A$1:$I$89,7,0))</f>
        <v>0.36000000000000004</v>
      </c>
      <c r="AS47" s="16">
        <f>IF(ISNA(VLOOKUP(A47,'Données projet'!$A$61:$I$81,6,0)),0%,VLOOKUP(A47,'Données projet'!$A$61:$I$81,6,0)*VLOOKUP('Données projet'!$B$10,Paramètres!$A$1:$I$89,7,0))</f>
        <v>4.9500000000000002E-2</v>
      </c>
      <c r="AT47" s="16">
        <f>IF(ISNA(VLOOKUP(A47,'Données projet'!$A$61:$I$81,7,0)),0%,VLOOKUP(A47,'Données projet'!$A$61:$I$81,7,0))</f>
        <v>0.09</v>
      </c>
      <c r="AU47" s="21">
        <f>EXP(-LN(2)/35)*AU46+(1-EXP(-LN(2)/35))/(LN(2)/35)*AQ47*AR47*VLOOKUP('Données projet'!$B$10,Paramètres!$A$1:$I$89,3,0)*0.475*44/12</f>
        <v>44.685773162418002</v>
      </c>
      <c r="AV47" s="21">
        <f>EXP(-LN(2)/25)*AV46+(1-EXP(-LN(2)/25))/(LN(2)/25)*Calculateur!AQ47*Calculateur!AS47*VLOOKUP('Données projet'!$B$10,Paramètres!$A$1:$I$89,3,0)*0.475*44/12</f>
        <v>22.457207219778915</v>
      </c>
      <c r="AW47" s="21">
        <f>EXP(-LN(2)/2)*AW46+(1-EXP(-LN(2)/2))/(LN(2)/2)*AQ47*AT47*VLOOKUP('Données projet'!$B$10,Paramètres!$A$1:$I$89,3,0)*0.475*44/12</f>
        <v>5.3956063231877014</v>
      </c>
      <c r="AX47" s="21">
        <f t="shared" si="6"/>
        <v>72.538586705384631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12.772000000000002</v>
      </c>
      <c r="BD47" s="12">
        <f>IF('Données projet'!$A$88&gt;35,BD46+BC47-BL46,IF(A47&lt;'Données projet'!$A$88,$BA$205^A47,IF(A47='Données projet'!$A$88,'Données projet'!$B$88,BD46+BC47-BL46)))</f>
        <v>258.17599999999993</v>
      </c>
      <c r="BE47" s="13">
        <f>BD47*VLOOKUP('Données projet'!$B$11,Paramètres!$A$1:$I$89,3,0)*VLOOKUP('Données projet'!$B$11,Paramètres!$A$1:$I$89,5,0)</f>
        <v>297.41875199999987</v>
      </c>
      <c r="BF47" s="13">
        <f t="shared" si="37"/>
        <v>70.635062899684058</v>
      </c>
      <c r="BG47" s="20">
        <f t="shared" si="7"/>
        <v>641.02706095028282</v>
      </c>
      <c r="BH47" s="59">
        <f t="shared" si="8"/>
        <v>891.91752968842025</v>
      </c>
      <c r="BI47" s="59">
        <f ca="1">AVERAGE(OFFSET($BH$3,0,0,'Données projet'!$E$11+1,1))-AVERAGE(OFFSET($H$3,0,0,'Données projet'!$E$11+1,1))</f>
        <v>418.31716673276725</v>
      </c>
      <c r="BJ47" s="59">
        <f t="shared" si="38"/>
        <v>472.37891533957929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9.2585715618650291</v>
      </c>
      <c r="BQ47" s="21">
        <f>EXP(-LN(2)/25)*BQ46+(1-EXP(-LN(2)/25))/(LN(2)/25)*Calculateur!BL47*Calculateur!BN47*VLOOKUP('Données projet'!$B$11,Paramètres!$A$1:$I$89,3,0)*0.475*44/12</f>
        <v>16.903922625433719</v>
      </c>
      <c r="BR47" s="21">
        <f>EXP(-LN(2)/2)*BR46+(1-EXP(-LN(2)/2))/(LN(2)/2)*BL47*BO47*VLOOKUP('Données projet'!$B$11,Paramètres!$A$1:$I$89,3,0)*0.475*44/12</f>
        <v>1.3262186477649365</v>
      </c>
      <c r="BS47" s="22">
        <f t="shared" si="9"/>
        <v>27.488712835063684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5.7811111111111124</v>
      </c>
      <c r="BY47" s="12">
        <f>IF('Données projet'!$A$114&gt;35,BY46+BX47-CG46,IF(A47&lt;'Données projet'!$A$114,$BV$205^A47,IF(A47='Données projet'!$A$114,'Données projet'!$B$114,BY46+BX47-CG46)))</f>
        <v>122.95888888888892</v>
      </c>
      <c r="BZ47" s="13">
        <f>BY47*VLOOKUP('Données projet'!$B$12,Paramètres!$A$1:$I$89,3,0)*VLOOKUP('Données projet'!$B$12,Paramètres!$A$1:$I$89,5,0)</f>
        <v>71.930950000000024</v>
      </c>
      <c r="CA47" s="13">
        <f t="shared" si="39"/>
        <v>20.152218452274731</v>
      </c>
      <c r="CB47" s="20">
        <f t="shared" si="10"/>
        <v>160.37818505437852</v>
      </c>
      <c r="CC47" s="59">
        <f t="shared" si="11"/>
        <v>411.26865379251592</v>
      </c>
      <c r="CD47" s="59">
        <f ca="1">AVERAGE(OFFSET($CC$3,0,0,'Données projet'!$E$12+1,1))-AVERAGE(OFFSET($H$3,0,0,'Données projet'!$E$12+1,1))</f>
        <v>184.11352167663844</v>
      </c>
      <c r="CE47" s="59">
        <f t="shared" si="40"/>
        <v>145.86653500981791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1.7286930011795687</v>
      </c>
      <c r="CL47" s="21">
        <f>EXP(-LN(2)/25)*CL46+(1-EXP(-LN(2)/25))/(LN(2)/25)*Calculateur!CG47*Calculateur!CI47*VLOOKUP('Données projet'!$B$12,Paramètres!$A$1:$I$89,3,0)*0.475*44/12</f>
        <v>3.6363383921084265</v>
      </c>
      <c r="CM47" s="21">
        <f>EXP(-LN(2)/2)*CM46+(1-EXP(-LN(2)/2))/(LN(2)/2)*CG47*CJ47*VLOOKUP('Données projet'!$B$12,Paramètres!$A$1:$I$89,3,0)*0.475*44/12</f>
        <v>0.42018202028986096</v>
      </c>
      <c r="CN47" s="22">
        <f t="shared" si="12"/>
        <v>5.7852134135778561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7.3029999999999999</v>
      </c>
      <c r="CT47" s="12">
        <f>IF('Données projet'!$A$140&gt;35,CT46+CS47-DB46,IF(A47&lt;'Données projet'!$A$140,$CQ$205^A47,IF(A47='Données projet'!$A$140,'Données projet'!$B$140,CT46+CS47-DB46)))</f>
        <v>154.18200000000002</v>
      </c>
      <c r="CU47" s="17">
        <f>CT47*VLOOKUP('Données projet'!$B$13,Paramètres!$A$1:$I$89,3,0)*VLOOKUP('Données projet'!$B$13,Paramètres!$A$1:$I$89,5,0)</f>
        <v>74.161542000000011</v>
      </c>
      <c r="CV47" s="13">
        <f t="shared" si="41"/>
        <v>20.703416041619665</v>
      </c>
      <c r="CW47" s="20">
        <f t="shared" si="13"/>
        <v>165.22313525582095</v>
      </c>
      <c r="CX47" s="59">
        <f t="shared" si="14"/>
        <v>416.11360399395835</v>
      </c>
      <c r="CY47" s="59">
        <f ca="1">AVERAGE(OFFSET($CX$3,0,0,'Données projet'!$E$13+1,1))-AVERAGE(OFFSET($H$3,0,0,'Données projet'!$E$13+1,1))</f>
        <v>303.76035885073708</v>
      </c>
      <c r="CZ47" s="59">
        <f t="shared" si="42"/>
        <v>127.43112562890414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5.2</v>
      </c>
      <c r="DO47" s="12">
        <f>IF('Données projet'!$A$166&gt;35,DO46+DN47-DW46,IF(A47&lt;'Données projet'!$A$166,$DL$205^A47,IF(A47='Données projet'!$A$166,'Données projet'!$B$166,DO46+DN47-DW46)))</f>
        <v>260.80000000000007</v>
      </c>
      <c r="DP47" s="17">
        <f>DO47*VLOOKUP('Données projet'!$B$14,Paramètres!$A$1:$I$89,3,0)*VLOOKUP('Données projet'!$B$14,Paramètres!$A$1:$I$89,5,0)</f>
        <v>150.53376000000003</v>
      </c>
      <c r="DQ47" s="13">
        <f t="shared" si="43"/>
        <v>38.699859408520112</v>
      </c>
      <c r="DR47" s="20">
        <f t="shared" si="16"/>
        <v>329.58188713650594</v>
      </c>
      <c r="DS47" s="59">
        <f t="shared" si="17"/>
        <v>580.47235587464343</v>
      </c>
      <c r="DT47" s="59">
        <f ca="1">AVERAGE(OFFSET($DS$3,0,0,'Données projet'!$E$14+1,1))-AVERAGE(OFFSET($H$3,0,0,'Données projet'!$E$14+1,1))</f>
        <v>243.65374431792841</v>
      </c>
      <c r="DU47" s="59">
        <f t="shared" si="44"/>
        <v>271.60754570002939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8.4</v>
      </c>
      <c r="EJ47" s="12">
        <f>IF('Données projet'!$A$192&gt;35,EJ46+EI47-ER46,IF(A47&lt;'Données projet'!$A$192,$EG$205^A47,IF(A47='Données projet'!$A$192,'Données projet'!$B$192,EJ46+EI47-ER46)))</f>
        <v>149.60000000000008</v>
      </c>
      <c r="EK47" s="17">
        <f>EJ47*VLOOKUP('Données projet'!$B$15,Paramètres!$A$1:$I$89,3,0)*VLOOKUP('Données projet'!$B$15,Paramètres!$A$1:$I$89,5,0)</f>
        <v>100.35168000000006</v>
      </c>
      <c r="EL47" s="13">
        <f t="shared" si="45"/>
        <v>27.045763332704858</v>
      </c>
      <c r="EM47" s="20">
        <f t="shared" si="19"/>
        <v>221.8838804711277</v>
      </c>
      <c r="EN47" s="59">
        <f t="shared" si="20"/>
        <v>472.7743492092651</v>
      </c>
      <c r="EO47" s="59">
        <f ca="1">AVERAGE(OFFSET($EN$3,0,0,'Données projet'!$E$15+1,1))-AVERAGE(OFFSET($H$3,0,0,'Données projet'!$E$15+1,1))</f>
        <v>321.44781099085594</v>
      </c>
      <c r="EP47" s="59">
        <f t="shared" si="46"/>
        <v>201.22243186578183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1.5249720932939774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1.5249720932939774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6.4</v>
      </c>
      <c r="FE47" s="12">
        <f>IF('Données projet'!$A$218&gt;35,FE46+FD47-FM46,IF(A47&lt;'Données projet'!$A$218,$FB$205^A47,IF(A47='Données projet'!$A$218,'Données projet'!$B$218,FE46+FD47-FM46)))</f>
        <v>157.59999999999997</v>
      </c>
      <c r="FF47" s="17">
        <f>FE47*VLOOKUP('Données projet'!$B$16,Paramètres!$A$1:$I$89,3,0)*VLOOKUP('Données projet'!$B$16,Paramètres!$A$1:$I$89,5,0)</f>
        <v>137.67935999999997</v>
      </c>
      <c r="FG47" s="13">
        <f t="shared" si="47"/>
        <v>35.764863394856881</v>
      </c>
      <c r="FH47" s="20">
        <f t="shared" si="22"/>
        <v>302.08202241270902</v>
      </c>
      <c r="FI47" s="59">
        <f t="shared" si="23"/>
        <v>552.97249115084651</v>
      </c>
      <c r="FJ47" s="59">
        <f ca="1">AVERAGE(OFFSET($FI$3,0,0,'Données projet'!$E$16+1,1))-AVERAGE(OFFSET($H$3,0,0,'Données projet'!$E$16+1,1))</f>
        <v>285.8437404763045</v>
      </c>
      <c r="FK47" s="59">
        <f t="shared" si="48"/>
        <v>276.01618888357268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3.7847865746468443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3.7847865746468443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8.1999999999999993</v>
      </c>
      <c r="FZ47" s="12">
        <f>IF('Données projet'!$A$244&gt;35,FZ46+FY47-GH46,IF(A47&lt;'Données projet'!$A$244,$FW$205^A47,IF(A47='Données projet'!$A$244,'Données projet'!$B$244,FZ46+FY47-GH46)))</f>
        <v>196.79999999999995</v>
      </c>
      <c r="GA47" s="17">
        <f>FZ47*VLOOKUP('Données projet'!$B$17,Paramètres!$A$1:$I$89,3,0)*VLOOKUP('Données projet'!$B$17,Paramètres!$A$1:$I$89,5,0)</f>
        <v>156.57407999999998</v>
      </c>
      <c r="GB47" s="13">
        <f t="shared" si="49"/>
        <v>40.068818872547467</v>
      </c>
      <c r="GC47" s="20">
        <f t="shared" si="25"/>
        <v>342.48638220302013</v>
      </c>
      <c r="GD47" s="59">
        <f t="shared" si="26"/>
        <v>593.3768509411575</v>
      </c>
      <c r="GE47" s="59">
        <f ca="1">AVERAGE(OFFSET($GD$3,0,0,'Données projet'!$E$17+1,1))-AVERAGE(OFFSET($H$3,0,0,'Données projet'!$E$17+1,1))</f>
        <v>323.01113210765487</v>
      </c>
      <c r="GF47" s="59">
        <f t="shared" si="50"/>
        <v>311.68541696405975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4.595812269214024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4.595812269214024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6.4</v>
      </c>
      <c r="GU47" s="12">
        <f>IF('Données projet'!$A$270&gt;35,GU46+GT47-HC46,IF(A47&lt;'Données projet'!$A$270,$GR$205^A47,IF(A47='Données projet'!$A$270,'Données projet'!$B$270,GU46+GT47-HC46)))</f>
        <v>157.59999999999997</v>
      </c>
      <c r="GV47" s="17">
        <f>GU47*VLOOKUP('Données projet'!$B$18,Paramètres!$A$1:$I$89,3,0)*VLOOKUP('Données projet'!$B$18,Paramètres!$A$1:$I$89,5,0)</f>
        <v>137.67935999999997</v>
      </c>
      <c r="GW47" s="13">
        <f t="shared" si="51"/>
        <v>35.764863394856881</v>
      </c>
      <c r="GX47" s="20">
        <f t="shared" si="28"/>
        <v>302.08202241270902</v>
      </c>
      <c r="GY47" s="59">
        <f t="shared" si="29"/>
        <v>552.97249115084651</v>
      </c>
      <c r="GZ47" s="59">
        <f ca="1">AVERAGE(OFFSET($GY$3,0,0,'Données projet'!$E$18+1,1))-AVERAGE(OFFSET($H$3,0,0,'Données projet'!$E$18+1,1))</f>
        <v>285.8437404763045</v>
      </c>
      <c r="HA47" s="59">
        <f t="shared" si="52"/>
        <v>276.01618888357268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3.7847865746468443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3.7847865746468443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107</v>
      </c>
      <c r="L48" s="12">
        <f>VLOOKUP(A48,'Données projet'!$A$35:$I$55,9,0)</f>
        <v>5.6</v>
      </c>
      <c r="M48" s="12">
        <f t="array" ref="M48">INDEX(L:L,MIN(IF(ISNUMBER(L48:L244),ROW(L48:L244),"")))</f>
        <v>5.6</v>
      </c>
      <c r="N48" s="13">
        <f>IF('Données projet'!$A$36&gt;35,N47+M48-V47,IF(A48&lt;'Données projet'!$A$36,$K$205^A48,IF(A48='Données projet'!$A$36,'Données projet'!$B$36,N47+M48-V47)))</f>
        <v>106.99999999999999</v>
      </c>
      <c r="O48" s="13">
        <f>N48*VLOOKUP('Données projet'!$B$9,Paramètres!$A$1:$I$89,3,0)*VLOOKUP('Données projet'!$B$9,Paramètres!$A$1:$I$89,5,0)</f>
        <v>96.81359999999998</v>
      </c>
      <c r="P48" s="13">
        <f t="shared" si="33"/>
        <v>26.201456938925315</v>
      </c>
      <c r="Q48" s="20">
        <f t="shared" si="53"/>
        <v>214.25122416862823</v>
      </c>
      <c r="R48" s="59">
        <f t="shared" si="0"/>
        <v>465.87798171946235</v>
      </c>
      <c r="S48" s="59">
        <f ca="1">AVERAGE(OFFSET($R$3,0,0,'Données projet'!$E$9+1,1))-AVERAGE(OFFSET($H$3,0,0,'Données projet'!$E$9+1,1))</f>
        <v>315.34103933739129</v>
      </c>
      <c r="T48" s="59">
        <f t="shared" si="34"/>
        <v>165.80901858372513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14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2.2950181056008825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2.2950181056008825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14.654999999999994</v>
      </c>
      <c r="AI48" s="13">
        <f>IF('Données projet'!$A$62&gt;35,AI47+AH48-AQ47,IF(A48&lt;'Données projet'!$A$62,$AF$205^A48,IF(A48='Données projet'!$A$62,'Données projet'!$B$62,AI47+AH48-AQ47)))</f>
        <v>304.00499999999994</v>
      </c>
      <c r="AJ48" s="13">
        <f>AI48*VLOOKUP('Données projet'!$B$10,Paramètres!$A$1:$I$89,3,0)*VLOOKUP('Données projet'!$B$10,Paramètres!$A$1:$I$89,5,0)</f>
        <v>181.79498999999996</v>
      </c>
      <c r="AK48" s="13">
        <f t="shared" si="35"/>
        <v>45.721307450368478</v>
      </c>
      <c r="AL48" s="20">
        <f t="shared" si="4"/>
        <v>396.25755139272502</v>
      </c>
      <c r="AM48" s="59">
        <f t="shared" si="5"/>
        <v>647.88430894355918</v>
      </c>
      <c r="AN48" s="59">
        <f ca="1">AVERAGE(OFFSET($AM$3,0,0,'Données projet'!$E$10+1,1))-AVERAGE(OFFSET($H$3,0,0,'Données projet'!$E$10+1,1))</f>
        <v>317.328615425664</v>
      </c>
      <c r="AO48" s="59">
        <f t="shared" si="36"/>
        <v>324.95872842255744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43.809512406333347</v>
      </c>
      <c r="AV48" s="21">
        <f>EXP(-LN(2)/25)*AV47+(1-EXP(-LN(2)/25))/(LN(2)/25)*Calculateur!AQ48*Calculateur!AS48*VLOOKUP('Données projet'!$B$10,Paramètres!$A$1:$I$89,3,0)*0.475*44/12</f>
        <v>21.843113707380859</v>
      </c>
      <c r="AW48" s="21">
        <f>EXP(-LN(2)/2)*AW47+(1-EXP(-LN(2)/2))/(LN(2)/2)*AQ48*AT48*VLOOKUP('Données projet'!$B$10,Paramètres!$A$1:$I$89,3,0)*0.475*44/12</f>
        <v>3.8152698197390387</v>
      </c>
      <c r="AX48" s="21">
        <f t="shared" si="6"/>
        <v>69.467895933453249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12.772000000000002</v>
      </c>
      <c r="BD48" s="12">
        <f>IF('Données projet'!$A$88&gt;35,BD47+BC48-BL47,IF(A48&lt;'Données projet'!$A$88,$BA$205^A48,IF(A48='Données projet'!$A$88,'Données projet'!$B$88,BD47+BC48-BL47)))</f>
        <v>270.94799999999992</v>
      </c>
      <c r="BE48" s="13">
        <f>BD48*VLOOKUP('Données projet'!$B$11,Paramètres!$A$1:$I$89,3,0)*VLOOKUP('Données projet'!$B$11,Paramètres!$A$1:$I$89,5,0)</f>
        <v>312.13209599999988</v>
      </c>
      <c r="BF48" s="13">
        <f t="shared" si="37"/>
        <v>73.71391889787914</v>
      </c>
      <c r="BG48" s="20">
        <f t="shared" si="7"/>
        <v>672.01514261380589</v>
      </c>
      <c r="BH48" s="59">
        <f t="shared" si="8"/>
        <v>923.64190016463999</v>
      </c>
      <c r="BI48" s="59">
        <f ca="1">AVERAGE(OFFSET($BH$3,0,0,'Données projet'!$E$11+1,1))-AVERAGE(OFFSET($H$3,0,0,'Données projet'!$E$11+1,1))</f>
        <v>418.31716673276725</v>
      </c>
      <c r="BJ48" s="59">
        <f t="shared" si="38"/>
        <v>472.37891533957929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9.0770166207078962</v>
      </c>
      <c r="BQ48" s="21">
        <f>EXP(-LN(2)/25)*BQ47+(1-EXP(-LN(2)/25))/(LN(2)/25)*Calculateur!BL48*Calculateur!BN48*VLOOKUP('Données projet'!$B$11,Paramètres!$A$1:$I$89,3,0)*0.475*44/12</f>
        <v>16.441683972302577</v>
      </c>
      <c r="BR48" s="21">
        <f>EXP(-LN(2)/2)*BR47+(1-EXP(-LN(2)/2))/(LN(2)/2)*BL48*BO48*VLOOKUP('Données projet'!$B$11,Paramètres!$A$1:$I$89,3,0)*0.475*44/12</f>
        <v>0.93777819917063998</v>
      </c>
      <c r="BS48" s="22">
        <f t="shared" si="9"/>
        <v>26.456478792181112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128.74</v>
      </c>
      <c r="BW48" s="12">
        <f>VLOOKUP(A48,'Données projet'!$A$113:$I$133,9,0)</f>
        <v>5.7811111111111124</v>
      </c>
      <c r="BX48" s="12">
        <f t="array" ref="BX48">INDEX(BW:BW,MIN(IF(ISNUMBER(BW48:BW244),ROW(BW48:BW244),"")))</f>
        <v>5.7811111111111124</v>
      </c>
      <c r="BY48" s="12">
        <f>IF('Données projet'!$A$114&gt;35,BY47+BX48-CG47,IF(A48&lt;'Données projet'!$A$114,$BV$205^A48,IF(A48='Données projet'!$A$114,'Données projet'!$B$114,BY47+BX48-CG47)))</f>
        <v>128.74000000000004</v>
      </c>
      <c r="BZ48" s="13">
        <f>BY48*VLOOKUP('Données projet'!$B$12,Paramètres!$A$1:$I$89,3,0)*VLOOKUP('Données projet'!$B$12,Paramètres!$A$1:$I$89,5,0)</f>
        <v>75.312900000000027</v>
      </c>
      <c r="CA48" s="13">
        <f t="shared" si="39"/>
        <v>20.987168094781001</v>
      </c>
      <c r="CB48" s="20">
        <f t="shared" si="10"/>
        <v>167.72261859841026</v>
      </c>
      <c r="CC48" s="59">
        <f t="shared" si="11"/>
        <v>419.34937614924439</v>
      </c>
      <c r="CD48" s="59">
        <f ca="1">AVERAGE(OFFSET($CC$3,0,0,'Données projet'!$E$12+1,1))-AVERAGE(OFFSET($H$3,0,0,'Données projet'!$E$12+1,1))</f>
        <v>184.11352167663844</v>
      </c>
      <c r="CE48" s="59">
        <f t="shared" si="40"/>
        <v>145.86653500981791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0.18000000000000002</v>
      </c>
      <c r="CI48" s="16">
        <f>IF(ISNA(VLOOKUP(A48,'Données projet'!$A$113:$I$133,6,0)),0%,VLOOKUP(A48,'Données projet'!$A$113:$I$133,6,0)*VLOOKUP('Données projet'!$B$12,Paramètres!$A$1:$I$89,7,0))</f>
        <v>0.15300000000000002</v>
      </c>
      <c r="CJ48" s="16">
        <f>IF(ISNA(VLOOKUP(A48,'Données projet'!$A$113:$I$133,7,0)),0%,VLOOKUP(A48,'Données projet'!$A$113:$I$133,7,0))</f>
        <v>0.26</v>
      </c>
      <c r="CK48" s="21">
        <f>EXP(-LN(2)/35)*CK47+(1-EXP(-LN(2)/35))/(LN(2)/35)*CG48*CH48*VLOOKUP('Données projet'!$B$12,Paramètres!$A$1:$I$89,3,0)*0.475*44/12</f>
        <v>1.6947943858250549</v>
      </c>
      <c r="CL48" s="21">
        <f>EXP(-LN(2)/25)*CL47+(1-EXP(-LN(2)/25))/(LN(2)/25)*Calculateur!CG48*Calculateur!CI48*VLOOKUP('Données projet'!$B$12,Paramètres!$A$1:$I$89,3,0)*0.475*44/12</f>
        <v>3.5369025275494965</v>
      </c>
      <c r="CM48" s="21">
        <f>EXP(-LN(2)/2)*CM47+(1-EXP(-LN(2)/2))/(LN(2)/2)*CG48*CJ48*VLOOKUP('Données projet'!$B$12,Paramètres!$A$1:$I$89,3,0)*0.475*44/12</f>
        <v>0.29711355587962418</v>
      </c>
      <c r="CN48" s="22">
        <f t="shared" si="12"/>
        <v>5.528810469254176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7.3029999999999999</v>
      </c>
      <c r="CT48" s="12">
        <f>IF('Données projet'!$A$140&gt;35,CT47+CS48-DB47,IF(A48&lt;'Données projet'!$A$140,$CQ$205^A48,IF(A48='Données projet'!$A$140,'Données projet'!$B$140,CT47+CS48-DB47)))</f>
        <v>161.48500000000001</v>
      </c>
      <c r="CU48" s="17">
        <f>CT48*VLOOKUP('Données projet'!$B$13,Paramètres!$A$1:$I$89,3,0)*VLOOKUP('Données projet'!$B$13,Paramètres!$A$1:$I$89,5,0)</f>
        <v>77.674285000000012</v>
      </c>
      <c r="CV48" s="13">
        <f t="shared" si="41"/>
        <v>21.56756201791217</v>
      </c>
      <c r="CW48" s="20">
        <f t="shared" si="13"/>
        <v>172.84621688953038</v>
      </c>
      <c r="CX48" s="59">
        <f t="shared" si="14"/>
        <v>424.47297444036451</v>
      </c>
      <c r="CY48" s="59">
        <f ca="1">AVERAGE(OFFSET($CX$3,0,0,'Données projet'!$E$13+1,1))-AVERAGE(OFFSET($H$3,0,0,'Données projet'!$E$13+1,1))</f>
        <v>303.76035885073708</v>
      </c>
      <c r="CZ48" s="59">
        <f t="shared" si="42"/>
        <v>127.43112562890414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266</v>
      </c>
      <c r="DM48" s="12">
        <f>VLOOKUP(A48,'Données projet'!$A$165:$I$185,9,0)</f>
        <v>5.2</v>
      </c>
      <c r="DN48" s="12">
        <f t="array" ref="DN48">INDEX(DM:DM,MIN(IF(ISNUMBER(DM48:DM244),ROW(DM48:DM244),"")))</f>
        <v>5.2</v>
      </c>
      <c r="DO48" s="12">
        <f>IF('Données projet'!$A$166&gt;35,DO47+DN48-DW47,IF(A48&lt;'Données projet'!$A$166,$DL$205^A48,IF(A48='Données projet'!$A$166,'Données projet'!$B$166,DO47+DN48-DW47)))</f>
        <v>266.00000000000006</v>
      </c>
      <c r="DP48" s="17">
        <f>DO48*VLOOKUP('Données projet'!$B$14,Paramètres!$A$1:$I$89,3,0)*VLOOKUP('Données projet'!$B$14,Paramètres!$A$1:$I$89,5,0)</f>
        <v>153.53520000000003</v>
      </c>
      <c r="DQ48" s="13">
        <f t="shared" si="43"/>
        <v>39.380880080709709</v>
      </c>
      <c r="DR48" s="20">
        <f t="shared" si="16"/>
        <v>335.99550614056949</v>
      </c>
      <c r="DS48" s="59">
        <f t="shared" si="17"/>
        <v>587.62226369140365</v>
      </c>
      <c r="DT48" s="59">
        <f ca="1">AVERAGE(OFFSET($DS$3,0,0,'Données projet'!$E$14+1,1))-AVERAGE(OFFSET($H$3,0,0,'Données projet'!$E$14+1,1))</f>
        <v>243.65374431792841</v>
      </c>
      <c r="DU48" s="59">
        <f t="shared" si="44"/>
        <v>271.60754570002939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0.18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158</v>
      </c>
      <c r="EH48" s="12">
        <f>VLOOKUP(A48,'Données projet'!$A$191:$I$211,9,0)</f>
        <v>8.4</v>
      </c>
      <c r="EI48" s="12">
        <f t="array" ref="EI48">INDEX(EH:EH,MIN(IF(ISNUMBER(EH48:EH244),ROW(EH48:EH244),"")))</f>
        <v>8.4</v>
      </c>
      <c r="EJ48" s="12">
        <f>IF('Données projet'!$A$192&gt;35,EJ47+EI48-ER47,IF(A48&lt;'Données projet'!$A$192,$EG$205^A48,IF(A48='Données projet'!$A$192,'Données projet'!$B$192,EJ47+EI48-ER47)))</f>
        <v>158.00000000000009</v>
      </c>
      <c r="EK48" s="17">
        <f>EJ48*VLOOKUP('Données projet'!$B$15,Paramètres!$A$1:$I$89,3,0)*VLOOKUP('Données projet'!$B$15,Paramètres!$A$1:$I$89,5,0)</f>
        <v>105.98640000000006</v>
      </c>
      <c r="EL48" s="13">
        <f t="shared" si="45"/>
        <v>28.383313189586875</v>
      </c>
      <c r="EM48" s="20">
        <f t="shared" si="19"/>
        <v>234.02725047186391</v>
      </c>
      <c r="EN48" s="59">
        <f t="shared" si="20"/>
        <v>485.65400802269801</v>
      </c>
      <c r="EO48" s="59">
        <f ca="1">AVERAGE(OFFSET($EN$3,0,0,'Données projet'!$E$15+1,1))-AVERAGE(OFFSET($H$3,0,0,'Données projet'!$E$15+1,1))</f>
        <v>321.44781099085594</v>
      </c>
      <c r="EP48" s="59">
        <f t="shared" si="46"/>
        <v>201.22243186578183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21</v>
      </c>
      <c r="ES48" s="16">
        <f>IF(ISNA(VLOOKUP(A48,'Données projet'!$A$191:$I$211,5,0)),0%,VLOOKUP(A48,'Données projet'!$A$191:$I$211,5,0)*VLOOKUP('Données projet'!$B$15,Paramètres!$A$1:$I$89,7,0))</f>
        <v>0.10600000000000001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3.1457575757805207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3.1457575757805207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164</v>
      </c>
      <c r="FC48" s="12">
        <f>VLOOKUP(A48,'Données projet'!$A$217:$I$237,9,0)</f>
        <v>6.4</v>
      </c>
      <c r="FD48" s="12">
        <f t="array" ref="FD48">INDEX(FC:FC,MIN(IF(ISNUMBER(FC48:FC244),ROW(FC48:FC244),"")))</f>
        <v>6.4</v>
      </c>
      <c r="FE48" s="12">
        <f>IF('Données projet'!$A$218&gt;35,FE47+FD48-FM47,IF(A48&lt;'Données projet'!$A$218,$FB$205^A48,IF(A48='Données projet'!$A$218,'Données projet'!$B$218,FE47+FD48-FM47)))</f>
        <v>163.99999999999997</v>
      </c>
      <c r="FF48" s="17">
        <f>FE48*VLOOKUP('Données projet'!$B$16,Paramètres!$A$1:$I$89,3,0)*VLOOKUP('Données projet'!$B$16,Paramètres!$A$1:$I$89,5,0)</f>
        <v>143.2704</v>
      </c>
      <c r="FG48" s="13">
        <f t="shared" si="47"/>
        <v>37.045198377171303</v>
      </c>
      <c r="FH48" s="20">
        <f t="shared" si="22"/>
        <v>314.04966717357325</v>
      </c>
      <c r="FI48" s="59">
        <f t="shared" si="23"/>
        <v>565.67642472440741</v>
      </c>
      <c r="FJ48" s="59">
        <f ca="1">AVERAGE(OFFSET($FI$3,0,0,'Données projet'!$E$16+1,1))-AVERAGE(OFFSET($H$3,0,0,'Données projet'!$E$16+1,1))</f>
        <v>285.8437404763045</v>
      </c>
      <c r="FK48" s="59">
        <f t="shared" si="48"/>
        <v>276.01618888357268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18</v>
      </c>
      <c r="FN48" s="16">
        <f>IF(ISNA(VLOOKUP(A48,'Données projet'!$A$217:$I$237,5,0)),0%,VLOOKUP(A48,'Données projet'!$A$217:$I$237,5,0)*VLOOKUP('Données projet'!$B$16,Paramètres!$A$1:$I$89,7,0))</f>
        <v>0.159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6.4745140176385636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6.4745140176385636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205</v>
      </c>
      <c r="FX48" s="12">
        <f>VLOOKUP(A48,'Données projet'!$A$243:$I$263,9,0)</f>
        <v>8.1999999999999993</v>
      </c>
      <c r="FY48" s="12">
        <f t="array" ref="FY48">INDEX(FX:FX,MIN(IF(ISNUMBER(FX48:FX244),ROW(FX48:FX244),"")))</f>
        <v>8.1999999999999993</v>
      </c>
      <c r="FZ48" s="12">
        <f>IF('Données projet'!$A$244&gt;35,FZ47+FY48-GH47,IF(A48&lt;'Données projet'!$A$244,$FW$205^A48,IF(A48='Données projet'!$A$244,'Données projet'!$B$244,FZ47+FY48-GH47)))</f>
        <v>204.99999999999994</v>
      </c>
      <c r="GA48" s="17">
        <f>FZ48*VLOOKUP('Données projet'!$B$17,Paramètres!$A$1:$I$89,3,0)*VLOOKUP('Données projet'!$B$17,Paramètres!$A$1:$I$89,5,0)</f>
        <v>163.09799999999996</v>
      </c>
      <c r="GB48" s="13">
        <f t="shared" si="49"/>
        <v>41.540496136845142</v>
      </c>
      <c r="GC48" s="20">
        <f t="shared" si="25"/>
        <v>356.4120474383385</v>
      </c>
      <c r="GD48" s="59">
        <f t="shared" si="26"/>
        <v>608.0388049891726</v>
      </c>
      <c r="GE48" s="59">
        <f ca="1">AVERAGE(OFFSET($GD$3,0,0,'Données projet'!$E$17+1,1))-AVERAGE(OFFSET($H$3,0,0,'Données projet'!$E$17+1,1))</f>
        <v>323.01113210765487</v>
      </c>
      <c r="GF48" s="59">
        <f t="shared" si="50"/>
        <v>311.68541696405975</v>
      </c>
      <c r="GG48" s="15">
        <f>IF(ISNA(VLOOKUP(A48,'Données projet'!$A$243:$I$263,3,0)),0,VLOOKUP(A48,'Données projet'!$A$243:$I$263,3,0))</f>
        <v>7</v>
      </c>
      <c r="GH48" s="15">
        <f>IF(ISNA(VLOOKUP(A48,'Données projet'!$A$243:$I$263,4,0)),0,VLOOKUP(A48,'Données projet'!$A$243:$I$263,4,0))</f>
        <v>22</v>
      </c>
      <c r="GI48" s="16">
        <f>IF(ISNA(VLOOKUP(A48,'Données projet'!$A$243:$I$263,5,0)),0%,VLOOKUP(A48,'Données projet'!$A$243:$I$263,5,0)*VLOOKUP('Données projet'!$B$17,Paramètres!$A$1:$I$89,7,0))</f>
        <v>0.159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7.582224988162972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7.582224988162972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164</v>
      </c>
      <c r="GS48" s="12">
        <f>VLOOKUP(A48,'Données projet'!$A$269:$I$289,9,0)</f>
        <v>6.4</v>
      </c>
      <c r="GT48" s="12">
        <f t="array" ref="GT48">INDEX(GS:GS,MIN(IF(ISNUMBER(GS48:GS244),ROW(GS48:GS244),"")))</f>
        <v>6.4</v>
      </c>
      <c r="GU48" s="12">
        <f>IF('Données projet'!$A$270&gt;35,GU47+GT48-HC47,IF(A48&lt;'Données projet'!$A$270,$GR$205^A48,IF(A48='Données projet'!$A$270,'Données projet'!$B$270,GU47+GT48-HC47)))</f>
        <v>163.99999999999997</v>
      </c>
      <c r="GV48" s="17">
        <f>GU48*VLOOKUP('Données projet'!$B$18,Paramètres!$A$1:$I$89,3,0)*VLOOKUP('Données projet'!$B$18,Paramètres!$A$1:$I$89,5,0)</f>
        <v>143.2704</v>
      </c>
      <c r="GW48" s="13">
        <f t="shared" si="51"/>
        <v>37.045198377171303</v>
      </c>
      <c r="GX48" s="20">
        <f t="shared" si="28"/>
        <v>314.04966717357325</v>
      </c>
      <c r="GY48" s="59">
        <f t="shared" si="29"/>
        <v>565.67642472440741</v>
      </c>
      <c r="GZ48" s="59">
        <f ca="1">AVERAGE(OFFSET($GY$3,0,0,'Données projet'!$E$18+1,1))-AVERAGE(OFFSET($H$3,0,0,'Données projet'!$E$18+1,1))</f>
        <v>285.8437404763045</v>
      </c>
      <c r="HA48" s="59">
        <f t="shared" si="52"/>
        <v>276.01618888357268</v>
      </c>
      <c r="HB48" s="15">
        <f>IF(ISNA(VLOOKUP(A48,'Données projet'!$A$269:$I$289,3,0)),0,VLOOKUP(A48,'Données projet'!$A$269:$I$289,3,0))</f>
        <v>7</v>
      </c>
      <c r="HC48" s="15">
        <f>IF(ISNA(VLOOKUP(A48,'Données projet'!$A$269:$I$289,4,0)),0,VLOOKUP(A48,'Données projet'!$A$269:$I$289,4,0))</f>
        <v>18</v>
      </c>
      <c r="HD48" s="16">
        <f>IF(ISNA(VLOOKUP(A48,'Données projet'!$A$269:$I$289,5,0)),0%,VLOOKUP(A48,'Données projet'!$A$269:$I$289,5,0)*VLOOKUP('Données projet'!$B$18,Paramètres!$A$1:$I$89,7,0))</f>
        <v>0.159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6.4745140176385636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6.4745140176385636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5.6</v>
      </c>
      <c r="N49" s="13">
        <f>IF('Données projet'!$A$36&gt;35,N48+M49-V48,IF(A49&lt;'Données projet'!$A$36,$K$205^A49,IF(A49='Données projet'!$A$36,'Données projet'!$B$36,N48+M49-V48)))</f>
        <v>98.59999999999998</v>
      </c>
      <c r="O49" s="13">
        <f>N49*VLOOKUP('Données projet'!$B$9,Paramètres!$A$1:$I$89,3,0)*VLOOKUP('Données projet'!$B$9,Paramètres!$A$1:$I$89,5,0)</f>
        <v>89.213279999999969</v>
      </c>
      <c r="P49" s="13">
        <f t="shared" si="33"/>
        <v>24.375390230293544</v>
      </c>
      <c r="Q49" s="20">
        <f t="shared" si="53"/>
        <v>197.83360065109454</v>
      </c>
      <c r="R49" s="59">
        <f t="shared" si="0"/>
        <v>450.18387404982019</v>
      </c>
      <c r="S49" s="59">
        <f ca="1">AVERAGE(OFFSET($R$3,0,0,'Données projet'!$E$9+1,1))-AVERAGE(OFFSET($H$3,0,0,'Données projet'!$E$9+1,1))</f>
        <v>315.34103933739129</v>
      </c>
      <c r="T49" s="59">
        <f t="shared" si="34"/>
        <v>165.80901858372513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2.2500142003728727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2.2500142003728727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14.654999999999994</v>
      </c>
      <c r="AI49" s="13">
        <f>IF('Données projet'!$A$62&gt;35,AI48+AH49-AQ48,IF(A49&lt;'Données projet'!$A$62,$AF$205^A49,IF(A49='Données projet'!$A$62,'Données projet'!$B$62,AI48+AH49-AQ48)))</f>
        <v>318.65999999999991</v>
      </c>
      <c r="AJ49" s="13">
        <f>AI49*VLOOKUP('Données projet'!$B$10,Paramètres!$A$1:$I$89,3,0)*VLOOKUP('Données projet'!$B$10,Paramètres!$A$1:$I$89,5,0)</f>
        <v>190.55867999999995</v>
      </c>
      <c r="AK49" s="13">
        <f t="shared" si="35"/>
        <v>47.663447952423908</v>
      </c>
      <c r="AL49" s="20">
        <f t="shared" si="4"/>
        <v>414.9035395171382</v>
      </c>
      <c r="AM49" s="59">
        <f t="shared" si="5"/>
        <v>667.25381291586382</v>
      </c>
      <c r="AN49" s="59">
        <f ca="1">AVERAGE(OFFSET($AM$3,0,0,'Données projet'!$E$10+1,1))-AVERAGE(OFFSET($H$3,0,0,'Données projet'!$E$10+1,1))</f>
        <v>317.328615425664</v>
      </c>
      <c r="AO49" s="59">
        <f t="shared" si="36"/>
        <v>324.95872842255744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42.950434589209223</v>
      </c>
      <c r="AV49" s="21">
        <f>EXP(-LN(2)/25)*AV48+(1-EXP(-LN(2)/25))/(LN(2)/25)*Calculateur!AQ49*Calculateur!AS49*VLOOKUP('Données projet'!$B$10,Paramètres!$A$1:$I$89,3,0)*0.475*44/12</f>
        <v>21.245812614373101</v>
      </c>
      <c r="AW49" s="21">
        <f>EXP(-LN(2)/2)*AW48+(1-EXP(-LN(2)/2))/(LN(2)/2)*AQ49*AT49*VLOOKUP('Données projet'!$B$10,Paramètres!$A$1:$I$89,3,0)*0.475*44/12</f>
        <v>2.6978031615938511</v>
      </c>
      <c r="AX49" s="21">
        <f t="shared" si="6"/>
        <v>66.89405036517617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>
        <f>VLOOKUP(A49,'Données projet'!$A$87:$I$107,2,0)</f>
        <v>283.72000000000003</v>
      </c>
      <c r="BB49" s="12">
        <f>VLOOKUP(A49,'Données projet'!$A$87:$I$107,9,0)</f>
        <v>12.772000000000002</v>
      </c>
      <c r="BC49" s="12">
        <f t="array" ref="BC49">INDEX(BB:BB,MIN(IF(ISNUMBER(BB49:BB245),ROW(BB49:BB245),"")))</f>
        <v>12.772000000000002</v>
      </c>
      <c r="BD49" s="12">
        <f>IF('Données projet'!$A$88&gt;35,BD48+BC49-BL48,IF(A49&lt;'Données projet'!$A$88,$BA$205^A49,IF(A49='Données projet'!$A$88,'Données projet'!$B$88,BD48+BC49-BL48)))</f>
        <v>283.71999999999991</v>
      </c>
      <c r="BE49" s="13">
        <f>BD49*VLOOKUP('Données projet'!$B$11,Paramètres!$A$1:$I$89,3,0)*VLOOKUP('Données projet'!$B$11,Paramètres!$A$1:$I$89,5,0)</f>
        <v>326.84543999999988</v>
      </c>
      <c r="BF49" s="13">
        <f t="shared" si="37"/>
        <v>76.775921235107148</v>
      </c>
      <c r="BG49" s="20">
        <f t="shared" si="7"/>
        <v>702.97387081781142</v>
      </c>
      <c r="BH49" s="59">
        <f t="shared" si="8"/>
        <v>955.32414421653709</v>
      </c>
      <c r="BI49" s="59">
        <f ca="1">AVERAGE(OFFSET($BH$3,0,0,'Données projet'!$E$11+1,1))-AVERAGE(OFFSET($H$3,0,0,'Données projet'!$E$11+1,1))</f>
        <v>418.31716673276725</v>
      </c>
      <c r="BJ49" s="59">
        <f t="shared" si="38"/>
        <v>472.37891533957929</v>
      </c>
      <c r="BK49" s="15">
        <f>IF(ISNA(VLOOKUP(A49,'Données projet'!$A$87:$I$107,3,0)),0,VLOOKUP(A49,'Données projet'!$A$87:$I$107,3,0))</f>
        <v>5</v>
      </c>
      <c r="BL49" s="15">
        <f>IF(ISNA(VLOOKUP(A49,'Données projet'!$A$87:$I$107,4,0)),0,VLOOKUP(A49,'Données projet'!$A$87:$I$107,4,0))</f>
        <v>65</v>
      </c>
      <c r="BM49" s="16">
        <f>IF(ISNA(VLOOKUP(A49,'Données projet'!$A$87:$I$107,5,0)),0%,VLOOKUP(A49,'Données projet'!$A$87:$I$107,5,0)*VLOOKUP('Données projet'!$B$11,Paramètres!$A$1:$I$89,7,0))</f>
        <v>0.27</v>
      </c>
      <c r="BN49" s="16">
        <f>IF(ISNA(VLOOKUP(A49,'Données projet'!$A$87:$I$107,6,0)),0%,VLOOKUP(A49,'Données projet'!$A$87:$I$107,6,0)*VLOOKUP('Données projet'!$B$11,Paramètres!$A$1:$I$89,7,0))</f>
        <v>9.9000000000000005E-2</v>
      </c>
      <c r="BO49" s="16">
        <f>IF(ISNA(VLOOKUP(A49,'Données projet'!$A$87:$I$107,7,0)),0%,VLOOKUP(A49,'Données projet'!$A$87:$I$107,7,0))</f>
        <v>0.18</v>
      </c>
      <c r="BP49" s="21">
        <f>EXP(-LN(2)/35)*BP48+(1-EXP(-LN(2)/35))/(LN(2)/35)*BL49*BM49*VLOOKUP('Données projet'!$B$11,Paramètres!$A$1:$I$89,3,0)*0.475*44/12</f>
        <v>23.426494525618772</v>
      </c>
      <c r="BQ49" s="21">
        <f>EXP(-LN(2)/25)*BQ48+(1-EXP(-LN(2)/25))/(LN(2)/25)*Calculateur!BL49*Calculateur!BN49*VLOOKUP('Données projet'!$B$11,Paramètres!$A$1:$I$89,3,0)*0.475*44/12</f>
        <v>21.29785183146322</v>
      </c>
      <c r="BR49" s="21">
        <f>EXP(-LN(2)/2)*BR48+(1-EXP(-LN(2)/2))/(LN(2)/2)*BL49*BO49*VLOOKUP('Données projet'!$B$11,Paramètres!$A$1:$I$89,3,0)*0.475*44/12</f>
        <v>8.9293108816636888</v>
      </c>
      <c r="BS49" s="22">
        <f t="shared" si="9"/>
        <v>53.65365723874568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6.3528571428571423</v>
      </c>
      <c r="BY49" s="12">
        <f>IF('Données projet'!$A$114&gt;35,BY48+BX49-CG48,IF(A49&lt;'Données projet'!$A$114,$BV$205^A49,IF(A49='Données projet'!$A$114,'Données projet'!$B$114,BY48+BX49-CG48)))</f>
        <v>135.09285714285718</v>
      </c>
      <c r="BZ49" s="13">
        <f>BY49*VLOOKUP('Données projet'!$B$12,Paramètres!$A$1:$I$89,3,0)*VLOOKUP('Données projet'!$B$12,Paramètres!$A$1:$I$89,5,0)</f>
        <v>79.029321428571464</v>
      </c>
      <c r="CA49" s="13">
        <f t="shared" si="39"/>
        <v>21.899679810812948</v>
      </c>
      <c r="CB49" s="20">
        <f t="shared" si="10"/>
        <v>175.78467715859449</v>
      </c>
      <c r="CC49" s="59">
        <f t="shared" si="11"/>
        <v>428.13495055732017</v>
      </c>
      <c r="CD49" s="59">
        <f ca="1">AVERAGE(OFFSET($CC$3,0,0,'Données projet'!$E$12+1,1))-AVERAGE(OFFSET($H$3,0,0,'Données projet'!$E$12+1,1))</f>
        <v>184.11352167663844</v>
      </c>
      <c r="CE49" s="59">
        <f t="shared" si="40"/>
        <v>145.86653500981791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1.6615605016415294</v>
      </c>
      <c r="CL49" s="21">
        <f>EXP(-LN(2)/25)*CL48+(1-EXP(-LN(2)/25))/(LN(2)/25)*Calculateur!CG49*Calculateur!CI49*VLOOKUP('Données projet'!$B$12,Paramètres!$A$1:$I$89,3,0)*0.475*44/12</f>
        <v>3.4401857419360353</v>
      </c>
      <c r="CM49" s="21">
        <f>EXP(-LN(2)/2)*CM48+(1-EXP(-LN(2)/2))/(LN(2)/2)*CG49*CJ49*VLOOKUP('Données projet'!$B$12,Paramètres!$A$1:$I$89,3,0)*0.475*44/12</f>
        <v>0.21009101014493048</v>
      </c>
      <c r="CN49" s="22">
        <f t="shared" si="12"/>
        <v>5.3118372537224952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7.3029999999999999</v>
      </c>
      <c r="CT49" s="12">
        <f>IF('Données projet'!$A$140&gt;35,CT48+CS49-DB48,IF(A49&lt;'Données projet'!$A$140,$CQ$205^A49,IF(A49='Données projet'!$A$140,'Données projet'!$B$140,CT48+CS49-DB48)))</f>
        <v>168.78800000000001</v>
      </c>
      <c r="CU49" s="17">
        <f>CT49*VLOOKUP('Données projet'!$B$13,Paramètres!$A$1:$I$89,3,0)*VLOOKUP('Données projet'!$B$13,Paramètres!$A$1:$I$89,5,0)</f>
        <v>81.187027999999998</v>
      </c>
      <c r="CV49" s="13">
        <f t="shared" si="41"/>
        <v>22.427169383072336</v>
      </c>
      <c r="CW49" s="20">
        <f t="shared" si="13"/>
        <v>180.46139377551765</v>
      </c>
      <c r="CX49" s="59">
        <f t="shared" si="14"/>
        <v>432.81166717424333</v>
      </c>
      <c r="CY49" s="59">
        <f ca="1">AVERAGE(OFFSET($CX$3,0,0,'Données projet'!$E$13+1,1))-AVERAGE(OFFSET($H$3,0,0,'Données projet'!$E$13+1,1))</f>
        <v>303.76035885073708</v>
      </c>
      <c r="CZ49" s="59">
        <f t="shared" si="42"/>
        <v>127.43112562890414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3.8</v>
      </c>
      <c r="DO49" s="12">
        <f>IF('Données projet'!$A$166&gt;35,DO48+DN49-DW48,IF(A49&lt;'Données projet'!$A$166,$DL$205^A49,IF(A49='Données projet'!$A$166,'Données projet'!$B$166,DO48+DN49-DW48)))</f>
        <v>269.80000000000007</v>
      </c>
      <c r="DP49" s="17">
        <f>DO49*VLOOKUP('Données projet'!$B$14,Paramètres!$A$1:$I$89,3,0)*VLOOKUP('Données projet'!$B$14,Paramètres!$A$1:$I$89,5,0)</f>
        <v>155.72856000000004</v>
      </c>
      <c r="DQ49" s="13">
        <f t="shared" si="43"/>
        <v>39.87756818236489</v>
      </c>
      <c r="DR49" s="20">
        <f t="shared" si="16"/>
        <v>340.68067325095222</v>
      </c>
      <c r="DS49" s="59">
        <f t="shared" si="17"/>
        <v>593.03094664967784</v>
      </c>
      <c r="DT49" s="59">
        <f ca="1">AVERAGE(OFFSET($DS$3,0,0,'Données projet'!$E$14+1,1))-AVERAGE(OFFSET($H$3,0,0,'Données projet'!$E$14+1,1))</f>
        <v>243.65374431792841</v>
      </c>
      <c r="DU49" s="59">
        <f t="shared" si="44"/>
        <v>271.60754570002939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8.1999999999999993</v>
      </c>
      <c r="EJ49" s="12">
        <f>IF('Données projet'!$A$192&gt;35,EJ48+EI49-ER48,IF(A49&lt;'Données projet'!$A$192,$EG$205^A49,IF(A49='Données projet'!$A$192,'Données projet'!$B$192,EJ48+EI49-ER48)))</f>
        <v>145.20000000000007</v>
      </c>
      <c r="EK49" s="17">
        <f>EJ49*VLOOKUP('Données projet'!$B$15,Paramètres!$A$1:$I$89,3,0)*VLOOKUP('Données projet'!$B$15,Paramètres!$A$1:$I$89,5,0)</f>
        <v>97.400160000000042</v>
      </c>
      <c r="EL49" s="13">
        <f t="shared" si="45"/>
        <v>26.34167514323763</v>
      </c>
      <c r="EM49" s="20">
        <f t="shared" si="19"/>
        <v>215.5170295411389</v>
      </c>
      <c r="EN49" s="59">
        <f t="shared" si="20"/>
        <v>467.86730293986454</v>
      </c>
      <c r="EO49" s="59">
        <f ca="1">AVERAGE(OFFSET($EN$3,0,0,'Données projet'!$E$15+1,1))-AVERAGE(OFFSET($H$3,0,0,'Données projet'!$E$15+1,1))</f>
        <v>321.44781099085594</v>
      </c>
      <c r="EP49" s="59">
        <f t="shared" si="46"/>
        <v>201.22243186578183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3.0840711884421279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3.0840711884421279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5.6</v>
      </c>
      <c r="FE49" s="12">
        <f>IF('Données projet'!$A$218&gt;35,FE48+FD49-FM48,IF(A49&lt;'Données projet'!$A$218,$FB$205^A49,IF(A49='Données projet'!$A$218,'Données projet'!$B$218,FE48+FD49-FM48)))</f>
        <v>151.59999999999997</v>
      </c>
      <c r="FF49" s="17">
        <f>FE49*VLOOKUP('Données projet'!$B$16,Paramètres!$A$1:$I$89,3,0)*VLOOKUP('Données projet'!$B$16,Paramètres!$A$1:$I$89,5,0)</f>
        <v>132.43776</v>
      </c>
      <c r="FG49" s="13">
        <f t="shared" si="47"/>
        <v>34.559043580858436</v>
      </c>
      <c r="FH49" s="20">
        <f t="shared" si="22"/>
        <v>290.85276623666175</v>
      </c>
      <c r="FI49" s="59">
        <f t="shared" si="23"/>
        <v>543.20303963538743</v>
      </c>
      <c r="FJ49" s="59">
        <f ca="1">AVERAGE(OFFSET($FI$3,0,0,'Données projet'!$E$16+1,1))-AVERAGE(OFFSET($H$3,0,0,'Données projet'!$E$16+1,1))</f>
        <v>285.8437404763045</v>
      </c>
      <c r="FK49" s="59">
        <f t="shared" si="48"/>
        <v>276.01618888357268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6.3475527468162847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6.3475527468162847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7.2</v>
      </c>
      <c r="FZ49" s="12">
        <f>IF('Données projet'!$A$244&gt;35,FZ48+FY49-GH48,IF(A49&lt;'Données projet'!$A$244,$FW$205^A49,IF(A49='Données projet'!$A$244,'Données projet'!$B$244,FZ48+FY49-GH48)))</f>
        <v>190.19999999999993</v>
      </c>
      <c r="GA49" s="17">
        <f>FZ49*VLOOKUP('Données projet'!$B$17,Paramètres!$A$1:$I$89,3,0)*VLOOKUP('Données projet'!$B$17,Paramètres!$A$1:$I$89,5,0)</f>
        <v>151.32311999999996</v>
      </c>
      <c r="GB49" s="13">
        <f t="shared" si="49"/>
        <v>38.879115530839606</v>
      </c>
      <c r="GC49" s="20">
        <f t="shared" si="25"/>
        <v>331.26889354954557</v>
      </c>
      <c r="GD49" s="59">
        <f t="shared" si="26"/>
        <v>583.61916694827119</v>
      </c>
      <c r="GE49" s="59">
        <f ca="1">AVERAGE(OFFSET($GD$3,0,0,'Données projet'!$E$17+1,1))-AVERAGE(OFFSET($H$3,0,0,'Données projet'!$E$17+1,1))</f>
        <v>323.01113210765487</v>
      </c>
      <c r="GF49" s="59">
        <f t="shared" si="50"/>
        <v>311.68541696405975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7.4335421808456879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7.4335421808456879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5.6</v>
      </c>
      <c r="GU49" s="12">
        <f>IF('Données projet'!$A$270&gt;35,GU48+GT49-HC48,IF(A49&lt;'Données projet'!$A$270,$GR$205^A49,IF(A49='Données projet'!$A$270,'Données projet'!$B$270,GU48+GT49-HC48)))</f>
        <v>151.59999999999997</v>
      </c>
      <c r="GV49" s="17">
        <f>GU49*VLOOKUP('Données projet'!$B$18,Paramètres!$A$1:$I$89,3,0)*VLOOKUP('Données projet'!$B$18,Paramètres!$A$1:$I$89,5,0)</f>
        <v>132.43776</v>
      </c>
      <c r="GW49" s="13">
        <f t="shared" si="51"/>
        <v>34.559043580858436</v>
      </c>
      <c r="GX49" s="20">
        <f t="shared" si="28"/>
        <v>290.85276623666175</v>
      </c>
      <c r="GY49" s="59">
        <f t="shared" si="29"/>
        <v>543.20303963538743</v>
      </c>
      <c r="GZ49" s="59">
        <f ca="1">AVERAGE(OFFSET($GY$3,0,0,'Données projet'!$E$18+1,1))-AVERAGE(OFFSET($H$3,0,0,'Données projet'!$E$18+1,1))</f>
        <v>285.8437404763045</v>
      </c>
      <c r="HA49" s="59">
        <f t="shared" si="52"/>
        <v>276.01618888357268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6.3475527468162847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6.3475527468162847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5.6</v>
      </c>
      <c r="N50" s="13">
        <f>IF('Données projet'!$A$36&gt;35,N49+M50-V49,IF(A50&lt;'Données projet'!$A$36,$K$205^A50,IF(A50='Données projet'!$A$36,'Données projet'!$B$36,N49+M50-V49)))</f>
        <v>104.19999999999997</v>
      </c>
      <c r="O50" s="13">
        <f>N50*VLOOKUP('Données projet'!$B$9,Paramètres!$A$1:$I$89,3,0)*VLOOKUP('Données projet'!$B$9,Paramètres!$A$1:$I$89,5,0)</f>
        <v>94.280159999999967</v>
      </c>
      <c r="P50" s="13">
        <f t="shared" si="33"/>
        <v>25.594688689992932</v>
      </c>
      <c r="Q50" s="20">
        <f t="shared" si="53"/>
        <v>208.78202813507096</v>
      </c>
      <c r="R50" s="59">
        <f t="shared" si="0"/>
        <v>461.84326599926635</v>
      </c>
      <c r="S50" s="59">
        <f ca="1">AVERAGE(OFFSET($R$3,0,0,'Données projet'!$E$9+1,1))-AVERAGE(OFFSET($H$3,0,0,'Données projet'!$E$9+1,1))</f>
        <v>315.34103933739129</v>
      </c>
      <c r="T50" s="59">
        <f t="shared" si="34"/>
        <v>165.80901858372513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2.2058927942767124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2.2058927942767124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14.654999999999994</v>
      </c>
      <c r="AI50" s="13">
        <f>IF('Données projet'!$A$62&gt;35,AI49+AH50-AQ49,IF(A50&lt;'Données projet'!$A$62,$AF$205^A50,IF(A50='Données projet'!$A$62,'Données projet'!$B$62,AI49+AH50-AQ49)))</f>
        <v>333.31499999999988</v>
      </c>
      <c r="AJ50" s="13">
        <f>AI50*VLOOKUP('Données projet'!$B$10,Paramètres!$A$1:$I$89,3,0)*VLOOKUP('Données projet'!$B$10,Paramètres!$A$1:$I$89,5,0)</f>
        <v>199.32236999999995</v>
      </c>
      <c r="AK50" s="13">
        <f t="shared" si="35"/>
        <v>49.595215758020977</v>
      </c>
      <c r="AL50" s="20">
        <f t="shared" si="4"/>
        <v>433.53146186188638</v>
      </c>
      <c r="AM50" s="59">
        <f t="shared" si="5"/>
        <v>686.59269972608172</v>
      </c>
      <c r="AN50" s="59">
        <f ca="1">AVERAGE(OFFSET($AM$3,0,0,'Données projet'!$E$10+1,1))-AVERAGE(OFFSET($H$3,0,0,'Données projet'!$E$10+1,1))</f>
        <v>317.328615425664</v>
      </c>
      <c r="AO50" s="59">
        <f t="shared" si="36"/>
        <v>324.95872842255744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42.108202764093171</v>
      </c>
      <c r="AV50" s="21">
        <f>EXP(-LN(2)/25)*AV49+(1-EXP(-LN(2)/25))/(LN(2)/25)*Calculateur!AQ50*Calculateur!AS50*VLOOKUP('Données projet'!$B$10,Paramètres!$A$1:$I$89,3,0)*0.475*44/12</f>
        <v>20.664844751164342</v>
      </c>
      <c r="AW50" s="21">
        <f>EXP(-LN(2)/2)*AW49+(1-EXP(-LN(2)/2))/(LN(2)/2)*AQ50*AT50*VLOOKUP('Données projet'!$B$10,Paramètres!$A$1:$I$89,3,0)*0.475*44/12</f>
        <v>1.9076349098695196</v>
      </c>
      <c r="AX50" s="21">
        <f t="shared" si="6"/>
        <v>64.680682425127031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12.43249999999999</v>
      </c>
      <c r="BD50" s="12">
        <f>IF('Données projet'!$A$88&gt;35,BD49+BC50-BL49,IF(A50&lt;'Données projet'!$A$88,$BA$205^A50,IF(A50='Données projet'!$A$88,'Données projet'!$B$88,BD49+BC50-BL49)))</f>
        <v>231.15249999999992</v>
      </c>
      <c r="BE50" s="13">
        <f>BD50*VLOOKUP('Données projet'!$B$11,Paramètres!$A$1:$I$89,3,0)*VLOOKUP('Données projet'!$B$11,Paramètres!$A$1:$I$89,5,0)</f>
        <v>266.28767999999985</v>
      </c>
      <c r="BF50" s="13">
        <f t="shared" si="37"/>
        <v>64.060787596984213</v>
      </c>
      <c r="BG50" s="20">
        <f t="shared" si="7"/>
        <v>575.35691439808045</v>
      </c>
      <c r="BH50" s="59">
        <f t="shared" si="8"/>
        <v>828.41815226227584</v>
      </c>
      <c r="BI50" s="59">
        <f ca="1">AVERAGE(OFFSET($BH$3,0,0,'Données projet'!$E$11+1,1))-AVERAGE(OFFSET($H$3,0,0,'Données projet'!$E$11+1,1))</f>
        <v>418.31716673276725</v>
      </c>
      <c r="BJ50" s="59">
        <f t="shared" si="38"/>
        <v>472.37891533957929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22.967115256722153</v>
      </c>
      <c r="BQ50" s="21">
        <f>EXP(-LN(2)/25)*BQ49+(1-EXP(-LN(2)/25))/(LN(2)/25)*Calculateur!BL50*Calculateur!BN50*VLOOKUP('Données projet'!$B$11,Paramètres!$A$1:$I$89,3,0)*0.475*44/12</f>
        <v>20.715460953126506</v>
      </c>
      <c r="BR50" s="21">
        <f>EXP(-LN(2)/2)*BR49+(1-EXP(-LN(2)/2))/(LN(2)/2)*BL50*BO50*VLOOKUP('Données projet'!$B$11,Paramètres!$A$1:$I$89,3,0)*0.475*44/12</f>
        <v>6.3139762757472244</v>
      </c>
      <c r="BS50" s="22">
        <f t="shared" si="9"/>
        <v>49.996552485595885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6.3528571428571423</v>
      </c>
      <c r="BY50" s="12">
        <f>IF('Données projet'!$A$114&gt;35,BY49+BX50-CG49,IF(A50&lt;'Données projet'!$A$114,$BV$205^A50,IF(A50='Données projet'!$A$114,'Données projet'!$B$114,BY49+BX50-CG49)))</f>
        <v>141.44571428571433</v>
      </c>
      <c r="BZ50" s="13">
        <f>BY50*VLOOKUP('Données projet'!$B$12,Paramètres!$A$1:$I$89,3,0)*VLOOKUP('Données projet'!$B$12,Paramètres!$A$1:$I$89,5,0)</f>
        <v>82.745742857142886</v>
      </c>
      <c r="CA50" s="13">
        <f t="shared" si="39"/>
        <v>22.807208317908152</v>
      </c>
      <c r="CB50" s="20">
        <f t="shared" si="10"/>
        <v>183.83805662988053</v>
      </c>
      <c r="CC50" s="59">
        <f t="shared" si="11"/>
        <v>436.89929449407589</v>
      </c>
      <c r="CD50" s="59">
        <f ca="1">AVERAGE(OFFSET($CC$3,0,0,'Données projet'!$E$12+1,1))-AVERAGE(OFFSET($H$3,0,0,'Données projet'!$E$12+1,1))</f>
        <v>184.11352167663844</v>
      </c>
      <c r="CE50" s="59">
        <f t="shared" si="40"/>
        <v>145.86653500981791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1.6289783136561748</v>
      </c>
      <c r="CL50" s="21">
        <f>EXP(-LN(2)/25)*CL49+(1-EXP(-LN(2)/25))/(LN(2)/25)*Calculateur!CG50*Calculateur!CI50*VLOOKUP('Données projet'!$B$12,Paramètres!$A$1:$I$89,3,0)*0.475*44/12</f>
        <v>3.3461136819112891</v>
      </c>
      <c r="CM50" s="21">
        <f>EXP(-LN(2)/2)*CM49+(1-EXP(-LN(2)/2))/(LN(2)/2)*CG50*CJ50*VLOOKUP('Données projet'!$B$12,Paramètres!$A$1:$I$89,3,0)*0.475*44/12</f>
        <v>0.14855677793981209</v>
      </c>
      <c r="CN50" s="22">
        <f t="shared" si="12"/>
        <v>5.1236487735072762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7.3029999999999999</v>
      </c>
      <c r="CT50" s="12">
        <f>IF('Données projet'!$A$140&gt;35,CT49+CS50-DB49,IF(A50&lt;'Données projet'!$A$140,$CQ$205^A50,IF(A50='Données projet'!$A$140,'Données projet'!$B$140,CT49+CS50-DB49)))</f>
        <v>176.09100000000001</v>
      </c>
      <c r="CU50" s="17">
        <f>CT50*VLOOKUP('Données projet'!$B$13,Paramètres!$A$1:$I$89,3,0)*VLOOKUP('Données projet'!$B$13,Paramètres!$A$1:$I$89,5,0)</f>
        <v>84.699771000000013</v>
      </c>
      <c r="CV50" s="13">
        <f t="shared" si="41"/>
        <v>23.282456956614677</v>
      </c>
      <c r="CW50" s="20">
        <f t="shared" si="13"/>
        <v>188.06904702443725</v>
      </c>
      <c r="CX50" s="59">
        <f t="shared" si="14"/>
        <v>441.13028488863267</v>
      </c>
      <c r="CY50" s="59">
        <f ca="1">AVERAGE(OFFSET($CX$3,0,0,'Données projet'!$E$13+1,1))-AVERAGE(OFFSET($H$3,0,0,'Données projet'!$E$13+1,1))</f>
        <v>303.76035885073708</v>
      </c>
      <c r="CZ50" s="59">
        <f t="shared" si="42"/>
        <v>127.43112562890414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3.8</v>
      </c>
      <c r="DO50" s="12">
        <f>IF('Données projet'!$A$166&gt;35,DO49+DN50-DW49,IF(A50&lt;'Données projet'!$A$166,$DL$205^A50,IF(A50='Données projet'!$A$166,'Données projet'!$B$166,DO49+DN50-DW49)))</f>
        <v>273.60000000000008</v>
      </c>
      <c r="DP50" s="17">
        <f>DO50*VLOOKUP('Données projet'!$B$14,Paramètres!$A$1:$I$89,3,0)*VLOOKUP('Données projet'!$B$14,Paramètres!$A$1:$I$89,5,0)</f>
        <v>157.92192000000006</v>
      </c>
      <c r="DQ50" s="13">
        <f t="shared" si="43"/>
        <v>40.37344263403557</v>
      </c>
      <c r="DR50" s="20">
        <f t="shared" si="16"/>
        <v>345.36442325427873</v>
      </c>
      <c r="DS50" s="59">
        <f t="shared" si="17"/>
        <v>598.42566111847418</v>
      </c>
      <c r="DT50" s="59">
        <f ca="1">AVERAGE(OFFSET($DS$3,0,0,'Données projet'!$E$14+1,1))-AVERAGE(OFFSET($H$3,0,0,'Données projet'!$E$14+1,1))</f>
        <v>243.65374431792841</v>
      </c>
      <c r="DU50" s="59">
        <f t="shared" si="44"/>
        <v>271.60754570002939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8.1999999999999993</v>
      </c>
      <c r="EJ50" s="12">
        <f>IF('Données projet'!$A$192&gt;35,EJ49+EI50-ER49,IF(A50&lt;'Données projet'!$A$192,$EG$205^A50,IF(A50='Données projet'!$A$192,'Données projet'!$B$192,EJ49+EI50-ER49)))</f>
        <v>153.40000000000006</v>
      </c>
      <c r="EK50" s="17">
        <f>EJ50*VLOOKUP('Données projet'!$B$15,Paramètres!$A$1:$I$89,3,0)*VLOOKUP('Données projet'!$B$15,Paramètres!$A$1:$I$89,5,0)</f>
        <v>102.90072000000005</v>
      </c>
      <c r="EL50" s="13">
        <f t="shared" si="45"/>
        <v>27.65189983724564</v>
      </c>
      <c r="EM50" s="20">
        <f t="shared" si="19"/>
        <v>227.37914621653621</v>
      </c>
      <c r="EN50" s="59">
        <f t="shared" si="20"/>
        <v>480.44038408073163</v>
      </c>
      <c r="EO50" s="59">
        <f ca="1">AVERAGE(OFFSET($EN$3,0,0,'Données projet'!$E$15+1,1))-AVERAGE(OFFSET($H$3,0,0,'Données projet'!$E$15+1,1))</f>
        <v>321.44781099085594</v>
      </c>
      <c r="EP50" s="59">
        <f t="shared" si="46"/>
        <v>201.22243186578183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3.0235944335344596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3.0235944335344596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5.6</v>
      </c>
      <c r="FE50" s="12">
        <f>IF('Données projet'!$A$218&gt;35,FE49+FD50-FM49,IF(A50&lt;'Données projet'!$A$218,$FB$205^A50,IF(A50='Données projet'!$A$218,'Données projet'!$B$218,FE49+FD50-FM49)))</f>
        <v>157.19999999999996</v>
      </c>
      <c r="FF50" s="17">
        <f>FE50*VLOOKUP('Données projet'!$B$16,Paramètres!$A$1:$I$89,3,0)*VLOOKUP('Données projet'!$B$16,Paramètres!$A$1:$I$89,5,0)</f>
        <v>137.32991999999999</v>
      </c>
      <c r="FG50" s="13">
        <f t="shared" si="47"/>
        <v>35.684643836992151</v>
      </c>
      <c r="FH50" s="20">
        <f t="shared" si="22"/>
        <v>301.33369868276128</v>
      </c>
      <c r="FI50" s="59">
        <f t="shared" si="23"/>
        <v>554.39493654695661</v>
      </c>
      <c r="FJ50" s="59">
        <f ca="1">AVERAGE(OFFSET($FI$3,0,0,'Données projet'!$E$16+1,1))-AVERAGE(OFFSET($H$3,0,0,'Données projet'!$E$16+1,1))</f>
        <v>285.8437404763045</v>
      </c>
      <c r="FK50" s="59">
        <f t="shared" si="48"/>
        <v>276.01618888357268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6.2230811090761016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6.2230811090761016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7.2</v>
      </c>
      <c r="FZ50" s="12">
        <f>IF('Données projet'!$A$244&gt;35,FZ49+FY50-GH49,IF(A50&lt;'Données projet'!$A$244,$FW$205^A50,IF(A50='Données projet'!$A$244,'Données projet'!$B$244,FZ49+FY50-GH49)))</f>
        <v>197.39999999999992</v>
      </c>
      <c r="GA50" s="17">
        <f>FZ50*VLOOKUP('Données projet'!$B$17,Paramètres!$A$1:$I$89,3,0)*VLOOKUP('Données projet'!$B$17,Paramètres!$A$1:$I$89,5,0)</f>
        <v>157.05143999999996</v>
      </c>
      <c r="GB50" s="13">
        <f t="shared" si="49"/>
        <v>40.176741230099708</v>
      </c>
      <c r="GC50" s="20">
        <f t="shared" si="25"/>
        <v>343.50574897575689</v>
      </c>
      <c r="GD50" s="59">
        <f t="shared" si="26"/>
        <v>596.56698683995228</v>
      </c>
      <c r="GE50" s="59">
        <f ca="1">AVERAGE(OFFSET($GD$3,0,0,'Données projet'!$E$17+1,1))-AVERAGE(OFFSET($H$3,0,0,'Données projet'!$E$17+1,1))</f>
        <v>323.01113210765487</v>
      </c>
      <c r="GF50" s="59">
        <f t="shared" si="50"/>
        <v>311.68541696405975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7.2877749526923372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7.2877749526923372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5.6</v>
      </c>
      <c r="GU50" s="12">
        <f>IF('Données projet'!$A$270&gt;35,GU49+GT50-HC49,IF(A50&lt;'Données projet'!$A$270,$GR$205^A50,IF(A50='Données projet'!$A$270,'Données projet'!$B$270,GU49+GT50-HC49)))</f>
        <v>157.19999999999996</v>
      </c>
      <c r="GV50" s="17">
        <f>GU50*VLOOKUP('Données projet'!$B$18,Paramètres!$A$1:$I$89,3,0)*VLOOKUP('Données projet'!$B$18,Paramètres!$A$1:$I$89,5,0)</f>
        <v>137.32991999999999</v>
      </c>
      <c r="GW50" s="13">
        <f t="shared" si="51"/>
        <v>35.684643836992151</v>
      </c>
      <c r="GX50" s="20">
        <f t="shared" si="28"/>
        <v>301.33369868276128</v>
      </c>
      <c r="GY50" s="59">
        <f t="shared" si="29"/>
        <v>554.39493654695661</v>
      </c>
      <c r="GZ50" s="59">
        <f ca="1">AVERAGE(OFFSET($GY$3,0,0,'Données projet'!$E$18+1,1))-AVERAGE(OFFSET($H$3,0,0,'Données projet'!$E$18+1,1))</f>
        <v>285.8437404763045</v>
      </c>
      <c r="HA50" s="59">
        <f t="shared" si="52"/>
        <v>276.01618888357268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6.2230811090761016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6.2230811090761016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5.6</v>
      </c>
      <c r="N51" s="13">
        <f>IF('Données projet'!$A$36&gt;35,N50+M51-V50,IF(A51&lt;'Données projet'!$A$36,$K$205^A51,IF(A51='Données projet'!$A$36,'Données projet'!$B$36,N50+M51-V50)))</f>
        <v>109.79999999999997</v>
      </c>
      <c r="O51" s="13">
        <f>N51*VLOOKUP('Données projet'!$B$9,Paramètres!$A$1:$I$89,3,0)*VLOOKUP('Données projet'!$B$9,Paramètres!$A$1:$I$89,5,0)</f>
        <v>99.347039999999964</v>
      </c>
      <c r="P51" s="13">
        <f t="shared" si="33"/>
        <v>26.806379572460035</v>
      </c>
      <c r="Q51" s="20">
        <f t="shared" si="53"/>
        <v>219.71720575536781</v>
      </c>
      <c r="R51" s="59">
        <f t="shared" si="0"/>
        <v>473.47707444103548</v>
      </c>
      <c r="S51" s="59">
        <f ca="1">AVERAGE(OFFSET($R$3,0,0,'Données projet'!$E$9+1,1))-AVERAGE(OFFSET($H$3,0,0,'Données projet'!$E$9+1,1))</f>
        <v>315.34103933739129</v>
      </c>
      <c r="T51" s="59">
        <f t="shared" si="34"/>
        <v>165.80901858372513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2.1626365820426972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2.1626365820426972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14.654999999999994</v>
      </c>
      <c r="AI51" s="13">
        <f>IF('Données projet'!$A$62&gt;35,AI50+AH51-AQ50,IF(A51&lt;'Données projet'!$A$62,$AF$205^A51,IF(A51='Données projet'!$A$62,'Données projet'!$B$62,AI50+AH51-AQ50)))</f>
        <v>347.96999999999986</v>
      </c>
      <c r="AJ51" s="13">
        <f>AI51*VLOOKUP('Données projet'!$B$10,Paramètres!$A$1:$I$89,3,0)*VLOOKUP('Données projet'!$B$10,Paramètres!$A$1:$I$89,5,0)</f>
        <v>208.08605999999995</v>
      </c>
      <c r="AK51" s="13">
        <f t="shared" si="35"/>
        <v>51.517119046991489</v>
      </c>
      <c r="AL51" s="20">
        <f t="shared" si="4"/>
        <v>452.14220350684337</v>
      </c>
      <c r="AM51" s="59">
        <f t="shared" si="5"/>
        <v>705.90207219251101</v>
      </c>
      <c r="AN51" s="59">
        <f ca="1">AVERAGE(OFFSET($AM$3,0,0,'Données projet'!$E$10+1,1))-AVERAGE(OFFSET($H$3,0,0,'Données projet'!$E$10+1,1))</f>
        <v>317.328615425664</v>
      </c>
      <c r="AO51" s="59">
        <f t="shared" si="36"/>
        <v>324.95872842255744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41.282486591356957</v>
      </c>
      <c r="AV51" s="21">
        <f>EXP(-LN(2)/25)*AV50+(1-EXP(-LN(2)/25))/(LN(2)/25)*Calculateur!AQ51*Calculateur!AS51*VLOOKUP('Données projet'!$B$10,Paramètres!$A$1:$I$89,3,0)*0.475*44/12</f>
        <v>20.099763484726797</v>
      </c>
      <c r="AW51" s="21">
        <f>EXP(-LN(2)/2)*AW50+(1-EXP(-LN(2)/2))/(LN(2)/2)*AQ51*AT51*VLOOKUP('Données projet'!$B$10,Paramètres!$A$1:$I$89,3,0)*0.475*44/12</f>
        <v>1.3489015807969258</v>
      </c>
      <c r="AX51" s="21">
        <f t="shared" si="6"/>
        <v>62.731151656880677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12.43249999999999</v>
      </c>
      <c r="BD51" s="12">
        <f>IF('Données projet'!$A$88&gt;35,BD50+BC51-BL50,IF(A51&lt;'Données projet'!$A$88,$BA$205^A51,IF(A51='Données projet'!$A$88,'Données projet'!$B$88,BD50+BC51-BL50)))</f>
        <v>243.58499999999992</v>
      </c>
      <c r="BE51" s="13">
        <f>BD51*VLOOKUP('Données projet'!$B$11,Paramètres!$A$1:$I$89,3,0)*VLOOKUP('Données projet'!$B$11,Paramètres!$A$1:$I$89,5,0)</f>
        <v>280.60991999999987</v>
      </c>
      <c r="BF51" s="13">
        <f t="shared" si="37"/>
        <v>67.09588618281532</v>
      </c>
      <c r="BG51" s="20">
        <f t="shared" si="7"/>
        <v>605.58761243506979</v>
      </c>
      <c r="BH51" s="59">
        <f t="shared" si="8"/>
        <v>859.34748112073748</v>
      </c>
      <c r="BI51" s="59">
        <f ca="1">AVERAGE(OFFSET($BH$3,0,0,'Données projet'!$E$11+1,1))-AVERAGE(OFFSET($H$3,0,0,'Données projet'!$E$11+1,1))</f>
        <v>418.31716673276725</v>
      </c>
      <c r="BJ51" s="59">
        <f t="shared" si="38"/>
        <v>472.37891533957929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22.516744135094907</v>
      </c>
      <c r="BQ51" s="21">
        <f>EXP(-LN(2)/25)*BQ50+(1-EXP(-LN(2)/25))/(LN(2)/25)*Calculateur!BL51*Calculateur!BN51*VLOOKUP('Données projet'!$B$11,Paramètres!$A$1:$I$89,3,0)*0.475*44/12</f>
        <v>20.148995583984515</v>
      </c>
      <c r="BR51" s="21">
        <f>EXP(-LN(2)/2)*BR50+(1-EXP(-LN(2)/2))/(LN(2)/2)*BL51*BO51*VLOOKUP('Données projet'!$B$11,Paramètres!$A$1:$I$89,3,0)*0.475*44/12</f>
        <v>4.4646554408318453</v>
      </c>
      <c r="BS51" s="22">
        <f t="shared" si="9"/>
        <v>47.130395159911274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6.3528571428571423</v>
      </c>
      <c r="BY51" s="12">
        <f>IF('Données projet'!$A$114&gt;35,BY50+BX51-CG50,IF(A51&lt;'Données projet'!$A$114,$BV$205^A51,IF(A51='Données projet'!$A$114,'Données projet'!$B$114,BY50+BX51-CG50)))</f>
        <v>147.79857142857148</v>
      </c>
      <c r="BZ51" s="13">
        <f>BY51*VLOOKUP('Données projet'!$B$12,Paramètres!$A$1:$I$89,3,0)*VLOOKUP('Données projet'!$B$12,Paramètres!$A$1:$I$89,5,0)</f>
        <v>86.462164285714323</v>
      </c>
      <c r="CA51" s="13">
        <f t="shared" si="39"/>
        <v>23.710003001951272</v>
      </c>
      <c r="CB51" s="20">
        <f t="shared" si="10"/>
        <v>191.88319135935092</v>
      </c>
      <c r="CC51" s="59">
        <f t="shared" si="11"/>
        <v>445.64306004501861</v>
      </c>
      <c r="CD51" s="59">
        <f ca="1">AVERAGE(OFFSET($CC$3,0,0,'Données projet'!$E$12+1,1))-AVERAGE(OFFSET($H$3,0,0,'Données projet'!$E$12+1,1))</f>
        <v>184.11352167663844</v>
      </c>
      <c r="CE51" s="59">
        <f t="shared" si="40"/>
        <v>145.86653500981791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1.5970350425040409</v>
      </c>
      <c r="CL51" s="21">
        <f>EXP(-LN(2)/25)*CL50+(1-EXP(-LN(2)/25))/(LN(2)/25)*Calculateur!CG51*Calculateur!CI51*VLOOKUP('Données projet'!$B$12,Paramètres!$A$1:$I$89,3,0)*0.475*44/12</f>
        <v>3.254614027314954</v>
      </c>
      <c r="CM51" s="21">
        <f>EXP(-LN(2)/2)*CM50+(1-EXP(-LN(2)/2))/(LN(2)/2)*CG51*CJ51*VLOOKUP('Données projet'!$B$12,Paramètres!$A$1:$I$89,3,0)*0.475*44/12</f>
        <v>0.10504550507246524</v>
      </c>
      <c r="CN51" s="22">
        <f t="shared" si="12"/>
        <v>4.9566945748914604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7.3029999999999999</v>
      </c>
      <c r="CT51" s="12">
        <f>IF('Données projet'!$A$140&gt;35,CT50+CS51-DB50,IF(A51&lt;'Données projet'!$A$140,$CQ$205^A51,IF(A51='Données projet'!$A$140,'Données projet'!$B$140,CT50+CS51-DB50)))</f>
        <v>183.39400000000001</v>
      </c>
      <c r="CU51" s="17">
        <f>CT51*VLOOKUP('Données projet'!$B$13,Paramètres!$A$1:$I$89,3,0)*VLOOKUP('Données projet'!$B$13,Paramètres!$A$1:$I$89,5,0)</f>
        <v>88.212513999999999</v>
      </c>
      <c r="CV51" s="13">
        <f t="shared" si="41"/>
        <v>24.133624380989062</v>
      </c>
      <c r="CW51" s="20">
        <f t="shared" si="13"/>
        <v>195.66952434688926</v>
      </c>
      <c r="CX51" s="59">
        <f t="shared" si="14"/>
        <v>449.42939303255696</v>
      </c>
      <c r="CY51" s="59">
        <f ca="1">AVERAGE(OFFSET($CX$3,0,0,'Données projet'!$E$13+1,1))-AVERAGE(OFFSET($H$3,0,0,'Données projet'!$E$13+1,1))</f>
        <v>303.76035885073708</v>
      </c>
      <c r="CZ51" s="59">
        <f t="shared" si="42"/>
        <v>127.43112562890414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3.8</v>
      </c>
      <c r="DO51" s="12">
        <f>IF('Données projet'!$A$166&gt;35,DO50+DN51-DW50,IF(A51&lt;'Données projet'!$A$166,$DL$205^A51,IF(A51='Données projet'!$A$166,'Données projet'!$B$166,DO50+DN51-DW50)))</f>
        <v>277.40000000000009</v>
      </c>
      <c r="DP51" s="17">
        <f>DO51*VLOOKUP('Données projet'!$B$14,Paramètres!$A$1:$I$89,3,0)*VLOOKUP('Données projet'!$B$14,Paramètres!$A$1:$I$89,5,0)</f>
        <v>160.11528000000007</v>
      </c>
      <c r="DQ51" s="13">
        <f t="shared" si="43"/>
        <v>40.868516042440064</v>
      </c>
      <c r="DR51" s="20">
        <f t="shared" si="16"/>
        <v>350.04677810724985</v>
      </c>
      <c r="DS51" s="59">
        <f t="shared" si="17"/>
        <v>603.80664679291749</v>
      </c>
      <c r="DT51" s="59">
        <f ca="1">AVERAGE(OFFSET($DS$3,0,0,'Données projet'!$E$14+1,1))-AVERAGE(OFFSET($H$3,0,0,'Données projet'!$E$14+1,1))</f>
        <v>243.65374431792841</v>
      </c>
      <c r="DU51" s="59">
        <f t="shared" si="44"/>
        <v>271.60754570002939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8.1999999999999993</v>
      </c>
      <c r="EJ51" s="12">
        <f>IF('Données projet'!$A$192&gt;35,EJ50+EI51-ER50,IF(A51&lt;'Données projet'!$A$192,$EG$205^A51,IF(A51='Données projet'!$A$192,'Données projet'!$B$192,EJ50+EI51-ER50)))</f>
        <v>161.60000000000005</v>
      </c>
      <c r="EK51" s="17">
        <f>EJ51*VLOOKUP('Données projet'!$B$15,Paramètres!$A$1:$I$89,3,0)*VLOOKUP('Données projet'!$B$15,Paramètres!$A$1:$I$89,5,0)</f>
        <v>108.40128000000004</v>
      </c>
      <c r="EL51" s="13">
        <f t="shared" si="45"/>
        <v>28.953993320457318</v>
      </c>
      <c r="EM51" s="20">
        <f t="shared" si="19"/>
        <v>239.22710103312988</v>
      </c>
      <c r="EN51" s="59">
        <f t="shared" si="20"/>
        <v>492.98696971879758</v>
      </c>
      <c r="EO51" s="59">
        <f ca="1">AVERAGE(OFFSET($EN$3,0,0,'Données projet'!$E$15+1,1))-AVERAGE(OFFSET($H$3,0,0,'Données projet'!$E$15+1,1))</f>
        <v>321.44781099085594</v>
      </c>
      <c r="EP51" s="59">
        <f t="shared" si="46"/>
        <v>201.22243186578183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2.9643035909033526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2.9643035909033526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5.6</v>
      </c>
      <c r="FE51" s="12">
        <f>IF('Données projet'!$A$218&gt;35,FE50+FD51-FM50,IF(A51&lt;'Données projet'!$A$218,$FB$205^A51,IF(A51='Données projet'!$A$218,'Données projet'!$B$218,FE50+FD51-FM50)))</f>
        <v>162.79999999999995</v>
      </c>
      <c r="FF51" s="17">
        <f>FE51*VLOOKUP('Données projet'!$B$16,Paramètres!$A$1:$I$89,3,0)*VLOOKUP('Données projet'!$B$16,Paramètres!$A$1:$I$89,5,0)</f>
        <v>142.22207999999998</v>
      </c>
      <c r="FG51" s="13">
        <f t="shared" si="47"/>
        <v>36.805585341198615</v>
      </c>
      <c r="FH51" s="20">
        <f t="shared" si="22"/>
        <v>311.8065171359209</v>
      </c>
      <c r="FI51" s="59">
        <f t="shared" si="23"/>
        <v>565.5663858215886</v>
      </c>
      <c r="FJ51" s="59">
        <f ca="1">AVERAGE(OFFSET($FI$3,0,0,'Données projet'!$E$16+1,1))-AVERAGE(OFFSET($H$3,0,0,'Données projet'!$E$16+1,1))</f>
        <v>285.8437404763045</v>
      </c>
      <c r="FK51" s="59">
        <f t="shared" si="48"/>
        <v>276.01618888357268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6.1010502842318006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6.1010502842318006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7.2</v>
      </c>
      <c r="FZ51" s="12">
        <f>IF('Données projet'!$A$244&gt;35,FZ50+FY51-GH50,IF(A51&lt;'Données projet'!$A$244,$FW$205^A51,IF(A51='Données projet'!$A$244,'Données projet'!$B$244,FZ50+FY51-GH50)))</f>
        <v>204.59999999999991</v>
      </c>
      <c r="GA51" s="17">
        <f>FZ51*VLOOKUP('Données projet'!$B$17,Paramètres!$A$1:$I$89,3,0)*VLOOKUP('Données projet'!$B$17,Paramètres!$A$1:$I$89,5,0)</f>
        <v>162.77975999999995</v>
      </c>
      <c r="GB51" s="13">
        <f t="shared" si="49"/>
        <v>41.468868129640057</v>
      </c>
      <c r="GC51" s="20">
        <f t="shared" si="25"/>
        <v>355.73302732578964</v>
      </c>
      <c r="GD51" s="59">
        <f t="shared" si="26"/>
        <v>609.49289601145733</v>
      </c>
      <c r="GE51" s="59">
        <f ca="1">AVERAGE(OFFSET($GD$3,0,0,'Données projet'!$E$17+1,1))-AVERAGE(OFFSET($H$3,0,0,'Données projet'!$E$17+1,1))</f>
        <v>323.01113210765487</v>
      </c>
      <c r="GF51" s="59">
        <f t="shared" si="50"/>
        <v>311.68541696405975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7.1448661309738437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7.1448661309738437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5.6</v>
      </c>
      <c r="GU51" s="12">
        <f>IF('Données projet'!$A$270&gt;35,GU50+GT51-HC50,IF(A51&lt;'Données projet'!$A$270,$GR$205^A51,IF(A51='Données projet'!$A$270,'Données projet'!$B$270,GU50+GT51-HC50)))</f>
        <v>162.79999999999995</v>
      </c>
      <c r="GV51" s="17">
        <f>GU51*VLOOKUP('Données projet'!$B$18,Paramètres!$A$1:$I$89,3,0)*VLOOKUP('Données projet'!$B$18,Paramètres!$A$1:$I$89,5,0)</f>
        <v>142.22207999999998</v>
      </c>
      <c r="GW51" s="13">
        <f t="shared" si="51"/>
        <v>36.805585341198615</v>
      </c>
      <c r="GX51" s="20">
        <f t="shared" si="28"/>
        <v>311.8065171359209</v>
      </c>
      <c r="GY51" s="59">
        <f t="shared" si="29"/>
        <v>565.5663858215886</v>
      </c>
      <c r="GZ51" s="59">
        <f ca="1">AVERAGE(OFFSET($GY$3,0,0,'Données projet'!$E$18+1,1))-AVERAGE(OFFSET($H$3,0,0,'Données projet'!$E$18+1,1))</f>
        <v>285.8437404763045</v>
      </c>
      <c r="HA51" s="59">
        <f t="shared" si="52"/>
        <v>276.01618888357268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6.1010502842318006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6.1010502842318006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5.6</v>
      </c>
      <c r="N52" s="13">
        <f>IF('Données projet'!$A$36&gt;35,N51+M52-V51,IF(A52&lt;'Données projet'!$A$36,$K$205^A52,IF(A52='Données projet'!$A$36,'Données projet'!$B$36,N51+M52-V51)))</f>
        <v>115.39999999999996</v>
      </c>
      <c r="O52" s="13">
        <f>N52*VLOOKUP('Données projet'!$B$9,Paramètres!$A$1:$I$89,3,0)*VLOOKUP('Données projet'!$B$9,Paramètres!$A$1:$I$89,5,0)</f>
        <v>104.41391999999996</v>
      </c>
      <c r="P52" s="13">
        <f t="shared" si="33"/>
        <v>28.010895142032854</v>
      </c>
      <c r="Q52" s="20">
        <f t="shared" si="53"/>
        <v>230.63988637237381</v>
      </c>
      <c r="R52" s="59">
        <f t="shared" si="0"/>
        <v>485.08626619666575</v>
      </c>
      <c r="S52" s="59">
        <f ca="1">AVERAGE(OFFSET($R$3,0,0,'Données projet'!$E$9+1,1))-AVERAGE(OFFSET($H$3,0,0,'Données projet'!$E$9+1,1))</f>
        <v>315.34103933739129</v>
      </c>
      <c r="T52" s="59">
        <f t="shared" si="34"/>
        <v>165.80901858372513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2.1202285977469066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2.1202285977469066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14.654999999999994</v>
      </c>
      <c r="AI52" s="13">
        <f>IF('Données projet'!$A$62&gt;35,AI51+AH52-AQ51,IF(A52&lt;'Données projet'!$A$62,$AF$205^A52,IF(A52='Données projet'!$A$62,'Données projet'!$B$62,AI51+AH52-AQ51)))</f>
        <v>362.62499999999983</v>
      </c>
      <c r="AJ52" s="13">
        <f>AI52*VLOOKUP('Données projet'!$B$10,Paramètres!$A$1:$I$89,3,0)*VLOOKUP('Données projet'!$B$10,Paramètres!$A$1:$I$89,5,0)</f>
        <v>216.84974999999991</v>
      </c>
      <c r="AK52" s="13">
        <f t="shared" si="35"/>
        <v>53.429620773043496</v>
      </c>
      <c r="AL52" s="20">
        <f t="shared" si="4"/>
        <v>470.73657076305057</v>
      </c>
      <c r="AM52" s="59">
        <f t="shared" si="5"/>
        <v>725.18295058734248</v>
      </c>
      <c r="AN52" s="59">
        <f ca="1">AVERAGE(OFFSET($AM$3,0,0,'Données projet'!$E$10+1,1))-AVERAGE(OFFSET($H$3,0,0,'Données projet'!$E$10+1,1))</f>
        <v>317.328615425664</v>
      </c>
      <c r="AO52" s="59">
        <f t="shared" si="36"/>
        <v>324.95872842255744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40.472962209130969</v>
      </c>
      <c r="AV52" s="21">
        <f>EXP(-LN(2)/25)*AV51+(1-EXP(-LN(2)/25))/(LN(2)/25)*Calculateur!AQ52*Calculateur!AS52*VLOOKUP('Données projet'!$B$10,Paramètres!$A$1:$I$89,3,0)*0.475*44/12</f>
        <v>19.55013439523632</v>
      </c>
      <c r="AW52" s="21">
        <f>EXP(-LN(2)/2)*AW51+(1-EXP(-LN(2)/2))/(LN(2)/2)*AQ52*AT52*VLOOKUP('Données projet'!$B$10,Paramètres!$A$1:$I$89,3,0)*0.475*44/12</f>
        <v>0.95381745493475989</v>
      </c>
      <c r="AX52" s="21">
        <f t="shared" si="6"/>
        <v>60.976914059302047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12.43249999999999</v>
      </c>
      <c r="BD52" s="12">
        <f>IF('Données projet'!$A$88&gt;35,BD51+BC52-BL51,IF(A52&lt;'Données projet'!$A$88,$BA$205^A52,IF(A52='Données projet'!$A$88,'Données projet'!$B$88,BD51+BC52-BL51)))</f>
        <v>256.01749999999993</v>
      </c>
      <c r="BE52" s="13">
        <f>BD52*VLOOKUP('Données projet'!$B$11,Paramètres!$A$1:$I$89,3,0)*VLOOKUP('Données projet'!$B$11,Paramètres!$A$1:$I$89,5,0)</f>
        <v>294.9321599999999</v>
      </c>
      <c r="BF52" s="13">
        <f t="shared" si="37"/>
        <v>70.112998404332998</v>
      </c>
      <c r="BG52" s="20">
        <f t="shared" si="7"/>
        <v>635.78698422087973</v>
      </c>
      <c r="BH52" s="59">
        <f t="shared" si="8"/>
        <v>890.2333640451717</v>
      </c>
      <c r="BI52" s="59">
        <f ca="1">AVERAGE(OFFSET($BH$3,0,0,'Données projet'!$E$11+1,1))-AVERAGE(OFFSET($H$3,0,0,'Données projet'!$E$11+1,1))</f>
        <v>418.31716673276725</v>
      </c>
      <c r="BJ52" s="59">
        <f t="shared" si="38"/>
        <v>472.37891533957929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22.075204516463511</v>
      </c>
      <c r="BQ52" s="21">
        <f>EXP(-LN(2)/25)*BQ51+(1-EXP(-LN(2)/25))/(LN(2)/25)*Calculateur!BL52*Calculateur!BN52*VLOOKUP('Données projet'!$B$11,Paramètres!$A$1:$I$89,3,0)*0.475*44/12</f>
        <v>19.598020240150831</v>
      </c>
      <c r="BR52" s="21">
        <f>EXP(-LN(2)/2)*BR51+(1-EXP(-LN(2)/2))/(LN(2)/2)*BL52*BO52*VLOOKUP('Données projet'!$B$11,Paramètres!$A$1:$I$89,3,0)*0.475*44/12</f>
        <v>3.1569881378736127</v>
      </c>
      <c r="BS52" s="22">
        <f t="shared" si="9"/>
        <v>44.830212894487957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6.3528571428571423</v>
      </c>
      <c r="BY52" s="12">
        <f>IF('Données projet'!$A$114&gt;35,BY51+BX52-CG51,IF(A52&lt;'Données projet'!$A$114,$BV$205^A52,IF(A52='Données projet'!$A$114,'Données projet'!$B$114,BY51+BX52-CG51)))</f>
        <v>154.15142857142862</v>
      </c>
      <c r="BZ52" s="13">
        <f>BY52*VLOOKUP('Données projet'!$B$12,Paramètres!$A$1:$I$89,3,0)*VLOOKUP('Données projet'!$B$12,Paramètres!$A$1:$I$89,5,0)</f>
        <v>90.178585714285759</v>
      </c>
      <c r="CA52" s="13">
        <f t="shared" si="39"/>
        <v>24.608290597505711</v>
      </c>
      <c r="CB52" s="20">
        <f t="shared" si="10"/>
        <v>199.9204762430368</v>
      </c>
      <c r="CC52" s="59">
        <f t="shared" si="11"/>
        <v>454.36685606732874</v>
      </c>
      <c r="CD52" s="59">
        <f ca="1">AVERAGE(OFFSET($CC$3,0,0,'Données projet'!$E$12+1,1))-AVERAGE(OFFSET($H$3,0,0,'Données projet'!$E$12+1,1))</f>
        <v>184.11352167663844</v>
      </c>
      <c r="CE52" s="59">
        <f t="shared" si="40"/>
        <v>145.86653500981791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1.5657181594157288</v>
      </c>
      <c r="CL52" s="21">
        <f>EXP(-LN(2)/25)*CL51+(1-EXP(-LN(2)/25))/(LN(2)/25)*Calculateur!CG52*Calculateur!CI52*VLOOKUP('Données projet'!$B$12,Paramètres!$A$1:$I$89,3,0)*0.475*44/12</f>
        <v>3.1656164355853136</v>
      </c>
      <c r="CM52" s="21">
        <f>EXP(-LN(2)/2)*CM51+(1-EXP(-LN(2)/2))/(LN(2)/2)*CG52*CJ52*VLOOKUP('Données projet'!$B$12,Paramètres!$A$1:$I$89,3,0)*0.475*44/12</f>
        <v>7.4278388969906045E-2</v>
      </c>
      <c r="CN52" s="22">
        <f t="shared" si="12"/>
        <v>4.8056129839709483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7.3029999999999999</v>
      </c>
      <c r="CT52" s="12">
        <f>IF('Données projet'!$A$140&gt;35,CT51+CS52-DB51,IF(A52&lt;'Données projet'!$A$140,$CQ$205^A52,IF(A52='Données projet'!$A$140,'Données projet'!$B$140,CT51+CS52-DB51)))</f>
        <v>190.697</v>
      </c>
      <c r="CU52" s="17">
        <f>CT52*VLOOKUP('Données projet'!$B$13,Paramètres!$A$1:$I$89,3,0)*VLOOKUP('Données projet'!$B$13,Paramètres!$A$1:$I$89,5,0)</f>
        <v>91.725256999999999</v>
      </c>
      <c r="CV52" s="13">
        <f t="shared" si="41"/>
        <v>24.980854498529947</v>
      </c>
      <c r="CW52" s="20">
        <f t="shared" si="13"/>
        <v>203.26314419327298</v>
      </c>
      <c r="CX52" s="59">
        <f t="shared" si="14"/>
        <v>457.70952401756495</v>
      </c>
      <c r="CY52" s="59">
        <f ca="1">AVERAGE(OFFSET($CX$3,0,0,'Données projet'!$E$13+1,1))-AVERAGE(OFFSET($H$3,0,0,'Données projet'!$E$13+1,1))</f>
        <v>303.76035885073708</v>
      </c>
      <c r="CZ52" s="59">
        <f t="shared" si="42"/>
        <v>127.43112562890414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3.8</v>
      </c>
      <c r="DO52" s="12">
        <f>IF('Données projet'!$A$166&gt;35,DO51+DN52-DW51,IF(A52&lt;'Données projet'!$A$166,$DL$205^A52,IF(A52='Données projet'!$A$166,'Données projet'!$B$166,DO51+DN52-DW51)))</f>
        <v>281.2000000000001</v>
      </c>
      <c r="DP52" s="17">
        <f>DO52*VLOOKUP('Données projet'!$B$14,Paramètres!$A$1:$I$89,3,0)*VLOOKUP('Données projet'!$B$14,Paramètres!$A$1:$I$89,5,0)</f>
        <v>162.30864000000005</v>
      </c>
      <c r="DQ52" s="13">
        <f t="shared" si="43"/>
        <v>41.3628006490624</v>
      </c>
      <c r="DR52" s="20">
        <f t="shared" si="16"/>
        <v>354.72775913045047</v>
      </c>
      <c r="DS52" s="59">
        <f t="shared" si="17"/>
        <v>609.17413895474238</v>
      </c>
      <c r="DT52" s="59">
        <f ca="1">AVERAGE(OFFSET($DS$3,0,0,'Données projet'!$E$14+1,1))-AVERAGE(OFFSET($H$3,0,0,'Données projet'!$E$14+1,1))</f>
        <v>243.65374431792841</v>
      </c>
      <c r="DU52" s="59">
        <f t="shared" si="44"/>
        <v>271.60754570002939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8.1999999999999993</v>
      </c>
      <c r="EJ52" s="12">
        <f>IF('Données projet'!$A$192&gt;35,EJ51+EI52-ER51,IF(A52&lt;'Données projet'!$A$192,$EG$205^A52,IF(A52='Données projet'!$A$192,'Données projet'!$B$192,EJ51+EI52-ER51)))</f>
        <v>169.80000000000004</v>
      </c>
      <c r="EK52" s="17">
        <f>EJ52*VLOOKUP('Données projet'!$B$15,Paramètres!$A$1:$I$89,3,0)*VLOOKUP('Données projet'!$B$15,Paramètres!$A$1:$I$89,5,0)</f>
        <v>113.90184000000002</v>
      </c>
      <c r="EL52" s="13">
        <f t="shared" si="45"/>
        <v>30.248415264444404</v>
      </c>
      <c r="EM52" s="20">
        <f t="shared" si="19"/>
        <v>251.06169458557397</v>
      </c>
      <c r="EN52" s="59">
        <f t="shared" si="20"/>
        <v>505.50807440986591</v>
      </c>
      <c r="EO52" s="59">
        <f ca="1">AVERAGE(OFFSET($EN$3,0,0,'Données projet'!$E$15+1,1))-AVERAGE(OFFSET($H$3,0,0,'Données projet'!$E$15+1,1))</f>
        <v>321.44781099085594</v>
      </c>
      <c r="EP52" s="59">
        <f t="shared" si="46"/>
        <v>201.22243186578183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2.9061754055323985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2.9061754055323985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5.6</v>
      </c>
      <c r="FE52" s="12">
        <f>IF('Données projet'!$A$218&gt;35,FE51+FD52-FM51,IF(A52&lt;'Données projet'!$A$218,$FB$205^A52,IF(A52='Données projet'!$A$218,'Données projet'!$B$218,FE51+FD52-FM51)))</f>
        <v>168.39999999999995</v>
      </c>
      <c r="FF52" s="17">
        <f>FE52*VLOOKUP('Données projet'!$B$16,Paramètres!$A$1:$I$89,3,0)*VLOOKUP('Données projet'!$B$16,Paramètres!$A$1:$I$89,5,0)</f>
        <v>147.11423999999997</v>
      </c>
      <c r="FG52" s="13">
        <f t="shared" si="47"/>
        <v>37.922046712608186</v>
      </c>
      <c r="FH52" s="20">
        <f t="shared" si="22"/>
        <v>322.27153269112586</v>
      </c>
      <c r="FI52" s="59">
        <f t="shared" si="23"/>
        <v>576.71791251541777</v>
      </c>
      <c r="FJ52" s="59">
        <f ca="1">AVERAGE(OFFSET($FI$3,0,0,'Données projet'!$E$16+1,1))-AVERAGE(OFFSET($H$3,0,0,'Données projet'!$E$16+1,1))</f>
        <v>285.8437404763045</v>
      </c>
      <c r="FK52" s="59">
        <f t="shared" si="48"/>
        <v>276.01618888357268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5.9814124094312433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5.9814124094312433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7.2</v>
      </c>
      <c r="FZ52" s="12">
        <f>IF('Données projet'!$A$244&gt;35,FZ51+FY52-GH51,IF(A52&lt;'Données projet'!$A$244,$FW$205^A52,IF(A52='Données projet'!$A$244,'Données projet'!$B$244,FZ51+FY52-GH51)))</f>
        <v>211.7999999999999</v>
      </c>
      <c r="GA52" s="17">
        <f>FZ52*VLOOKUP('Données projet'!$B$17,Paramètres!$A$1:$I$89,3,0)*VLOOKUP('Données projet'!$B$17,Paramètres!$A$1:$I$89,5,0)</f>
        <v>168.50807999999992</v>
      </c>
      <c r="GB52" s="13">
        <f t="shared" si="49"/>
        <v>42.755711908378117</v>
      </c>
      <c r="GC52" s="20">
        <f t="shared" si="25"/>
        <v>367.95110424042508</v>
      </c>
      <c r="GD52" s="59">
        <f t="shared" si="26"/>
        <v>622.39748406471699</v>
      </c>
      <c r="GE52" s="59">
        <f ca="1">AVERAGE(OFFSET($GD$3,0,0,'Données projet'!$E$17+1,1))-AVERAGE(OFFSET($H$3,0,0,'Données projet'!$E$17+1,1))</f>
        <v>323.01113210765487</v>
      </c>
      <c r="GF52" s="59">
        <f t="shared" si="50"/>
        <v>311.68541696405975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7.0047596640834762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7.0047596640834762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5.6</v>
      </c>
      <c r="GU52" s="12">
        <f>IF('Données projet'!$A$270&gt;35,GU51+GT52-HC51,IF(A52&lt;'Données projet'!$A$270,$GR$205^A52,IF(A52='Données projet'!$A$270,'Données projet'!$B$270,GU51+GT52-HC51)))</f>
        <v>168.39999999999995</v>
      </c>
      <c r="GV52" s="17">
        <f>GU52*VLOOKUP('Données projet'!$B$18,Paramètres!$A$1:$I$89,3,0)*VLOOKUP('Données projet'!$B$18,Paramètres!$A$1:$I$89,5,0)</f>
        <v>147.11423999999997</v>
      </c>
      <c r="GW52" s="13">
        <f t="shared" si="51"/>
        <v>37.922046712608186</v>
      </c>
      <c r="GX52" s="20">
        <f t="shared" si="28"/>
        <v>322.27153269112586</v>
      </c>
      <c r="GY52" s="59">
        <f t="shared" si="29"/>
        <v>576.71791251541777</v>
      </c>
      <c r="GZ52" s="59">
        <f ca="1">AVERAGE(OFFSET($GY$3,0,0,'Données projet'!$E$18+1,1))-AVERAGE(OFFSET($H$3,0,0,'Données projet'!$E$18+1,1))</f>
        <v>285.8437404763045</v>
      </c>
      <c r="HA52" s="59">
        <f t="shared" si="52"/>
        <v>276.01618888357268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5.9814124094312433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5.9814124094312433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121</v>
      </c>
      <c r="L53" s="12">
        <f>VLOOKUP(A53,'Données projet'!$A$35:$I$55,9,0)</f>
        <v>5.6</v>
      </c>
      <c r="M53" s="12">
        <f t="array" ref="M53">INDEX(L:L,MIN(IF(ISNUMBER(L53:L249),ROW(L53:L249),"")))</f>
        <v>5.6</v>
      </c>
      <c r="N53" s="13">
        <f>IF('Données projet'!$A$36&gt;35,N52+M53-V52,IF(A53&lt;'Données projet'!$A$36,$K$205^A53,IF(A53='Données projet'!$A$36,'Données projet'!$B$36,N52+M53-V52)))</f>
        <v>120.99999999999996</v>
      </c>
      <c r="O53" s="13">
        <f>N53*VLOOKUP('Données projet'!$B$9,Paramètres!$A$1:$I$89,3,0)*VLOOKUP('Données projet'!$B$9,Paramètres!$A$1:$I$89,5,0)</f>
        <v>109.48079999999995</v>
      </c>
      <c r="P53" s="13">
        <f t="shared" si="33"/>
        <v>29.208623339903898</v>
      </c>
      <c r="Q53" s="20">
        <f t="shared" si="53"/>
        <v>241.55074565033252</v>
      </c>
      <c r="R53" s="59">
        <f t="shared" si="0"/>
        <v>496.67172717980259</v>
      </c>
      <c r="S53" s="59">
        <f ca="1">AVERAGE(OFFSET($R$3,0,0,'Données projet'!$E$9+1,1))-AVERAGE(OFFSET($H$3,0,0,'Données projet'!$E$9+1,1))</f>
        <v>315.34103933739129</v>
      </c>
      <c r="T53" s="59">
        <f t="shared" si="34"/>
        <v>165.80901858372513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14</v>
      </c>
      <c r="W53" s="16">
        <f>IF(ISNA(VLOOKUP(A53,'Données projet'!$A$35:$I$55,5,0)),0%,VLOOKUP(A53,'Données projet'!$A$35:$I$55,5,0)*VLOOKUP('Données projet'!$B$9,Paramètres!$A$1:$I$89,7,0))</f>
        <v>8.6000000000000007E-2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3.282928645836142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3.282928645836142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14.654999999999994</v>
      </c>
      <c r="AI53" s="13">
        <f>IF('Données projet'!$A$62&gt;35,AI52+AH53-AQ52,IF(A53&lt;'Données projet'!$A$62,$AF$205^A53,IF(A53='Données projet'!$A$62,'Données projet'!$B$62,AI52+AH53-AQ52)))</f>
        <v>377.2799999999998</v>
      </c>
      <c r="AJ53" s="13">
        <f>AI53*VLOOKUP('Données projet'!$B$10,Paramètres!$A$1:$I$89,3,0)*VLOOKUP('Données projet'!$B$10,Paramètres!$A$1:$I$89,5,0)</f>
        <v>225.61343999999988</v>
      </c>
      <c r="AK53" s="13">
        <f t="shared" si="35"/>
        <v>55.333144352799167</v>
      </c>
      <c r="AL53" s="20">
        <f t="shared" si="4"/>
        <v>489.31530108112497</v>
      </c>
      <c r="AM53" s="59">
        <f t="shared" si="5"/>
        <v>744.43628261059507</v>
      </c>
      <c r="AN53" s="59">
        <f ca="1">AVERAGE(OFFSET($AM$3,0,0,'Données projet'!$E$10+1,1))-AVERAGE(OFFSET($H$3,0,0,'Données projet'!$E$10+1,1))</f>
        <v>317.328615425664</v>
      </c>
      <c r="AO53" s="59">
        <f t="shared" si="36"/>
        <v>324.95872842255744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39.679312106279312</v>
      </c>
      <c r="AV53" s="21">
        <f>EXP(-LN(2)/25)*AV52+(1-EXP(-LN(2)/25))/(LN(2)/25)*Calculateur!AQ53*Calculateur!AS53*VLOOKUP('Données projet'!$B$10,Paramètres!$A$1:$I$89,3,0)*0.475*44/12</f>
        <v>19.015534942101699</v>
      </c>
      <c r="AW53" s="21">
        <f>EXP(-LN(2)/2)*AW52+(1-EXP(-LN(2)/2))/(LN(2)/2)*AQ53*AT53*VLOOKUP('Données projet'!$B$10,Paramètres!$A$1:$I$89,3,0)*0.475*44/12</f>
        <v>0.67445079039846301</v>
      </c>
      <c r="AX53" s="21">
        <f t="shared" si="6"/>
        <v>59.369297838779467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268.45</v>
      </c>
      <c r="BB53" s="12">
        <f>VLOOKUP(A53,'Données projet'!$A$87:$I$107,9,0)</f>
        <v>12.43249999999999</v>
      </c>
      <c r="BC53" s="12">
        <f t="array" ref="BC53">INDEX(BB:BB,MIN(IF(ISNUMBER(BB53:BB249),ROW(BB53:BB249),"")))</f>
        <v>12.43249999999999</v>
      </c>
      <c r="BD53" s="12">
        <f>IF('Données projet'!$A$88&gt;35,BD52+BC53-BL52,IF(A53&lt;'Données projet'!$A$88,$BA$205^A53,IF(A53='Données projet'!$A$88,'Données projet'!$B$88,BD52+BC53-BL52)))</f>
        <v>268.44999999999993</v>
      </c>
      <c r="BE53" s="13">
        <f>BD53*VLOOKUP('Données projet'!$B$11,Paramètres!$A$1:$I$89,3,0)*VLOOKUP('Données projet'!$B$11,Paramètres!$A$1:$I$89,5,0)</f>
        <v>309.25439999999992</v>
      </c>
      <c r="BF53" s="13">
        <f t="shared" si="37"/>
        <v>73.113097400070046</v>
      </c>
      <c r="BG53" s="20">
        <f t="shared" si="7"/>
        <v>665.95672463845517</v>
      </c>
      <c r="BH53" s="59">
        <f t="shared" si="8"/>
        <v>921.07770616792527</v>
      </c>
      <c r="BI53" s="59">
        <f ca="1">AVERAGE(OFFSET($BH$3,0,0,'Données projet'!$E$11+1,1))-AVERAGE(OFFSET($H$3,0,0,'Données projet'!$E$11+1,1))</f>
        <v>418.31716673276725</v>
      </c>
      <c r="BJ53" s="59">
        <f t="shared" si="38"/>
        <v>472.37891533957929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0.315</v>
      </c>
      <c r="BN53" s="16">
        <f>IF(ISNA(VLOOKUP(A53,'Données projet'!$A$87:$I$107,6,0)),0%,VLOOKUP(A53,'Données projet'!$A$87:$I$107,6,0)*VLOOKUP('Données projet'!$B$11,Paramètres!$A$1:$I$89,7,0))</f>
        <v>7.6500000000000012E-2</v>
      </c>
      <c r="BO53" s="16">
        <f>IF(ISNA(VLOOKUP(A53,'Données projet'!$A$87:$I$107,7,0)),0%,VLOOKUP(A53,'Données projet'!$A$87:$I$107,7,0))</f>
        <v>0.13</v>
      </c>
      <c r="BP53" s="21">
        <f>EXP(-LN(2)/35)*BP52+(1-EXP(-LN(2)/35))/(LN(2)/35)*BL53*BM53*VLOOKUP('Données projet'!$B$11,Paramètres!$A$1:$I$89,3,0)*0.475*44/12</f>
        <v>21.642323220440904</v>
      </c>
      <c r="BQ53" s="21">
        <f>EXP(-LN(2)/25)*BQ52+(1-EXP(-LN(2)/25))/(LN(2)/25)*Calculateur!BL53*Calculateur!BN53*VLOOKUP('Données projet'!$B$11,Paramètres!$A$1:$I$89,3,0)*0.475*44/12</f>
        <v>19.062111346068814</v>
      </c>
      <c r="BR53" s="21">
        <f>EXP(-LN(2)/2)*BR52+(1-EXP(-LN(2)/2))/(LN(2)/2)*BL53*BO53*VLOOKUP('Données projet'!$B$11,Paramètres!$A$1:$I$89,3,0)*0.475*44/12</f>
        <v>2.2323277204159231</v>
      </c>
      <c r="BS53" s="22">
        <f t="shared" si="9"/>
        <v>42.936762286925642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6.3528571428571423</v>
      </c>
      <c r="BY53" s="12">
        <f>IF('Données projet'!$A$114&gt;35,BY52+BX53-CG52,IF(A53&lt;'Données projet'!$A$114,$BV$205^A53,IF(A53='Données projet'!$A$114,'Données projet'!$B$114,BY52+BX53-CG52)))</f>
        <v>160.50428571428577</v>
      </c>
      <c r="BZ53" s="13">
        <f>BY53*VLOOKUP('Données projet'!$B$12,Paramètres!$A$1:$I$89,3,0)*VLOOKUP('Données projet'!$B$12,Paramètres!$A$1:$I$89,5,0)</f>
        <v>93.895007142857182</v>
      </c>
      <c r="CA53" s="13">
        <f t="shared" si="39"/>
        <v>25.502278093418294</v>
      </c>
      <c r="CB53" s="20">
        <f t="shared" si="10"/>
        <v>207.9502717865131</v>
      </c>
      <c r="CC53" s="59">
        <f t="shared" si="11"/>
        <v>463.0712533159832</v>
      </c>
      <c r="CD53" s="59">
        <f ca="1">AVERAGE(OFFSET($CC$3,0,0,'Données projet'!$E$12+1,1))-AVERAGE(OFFSET($H$3,0,0,'Données projet'!$E$12+1,1))</f>
        <v>184.11352167663844</v>
      </c>
      <c r="CE53" s="59">
        <f t="shared" si="40"/>
        <v>145.86653500981791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1.5350153813033658</v>
      </c>
      <c r="CL53" s="21">
        <f>EXP(-LN(2)/25)*CL52+(1-EXP(-LN(2)/25))/(LN(2)/25)*Calculateur!CG53*Calculateur!CI53*VLOOKUP('Données projet'!$B$12,Paramètres!$A$1:$I$89,3,0)*0.475*44/12</f>
        <v>3.0790524876816998</v>
      </c>
      <c r="CM53" s="21">
        <f>EXP(-LN(2)/2)*CM52+(1-EXP(-LN(2)/2))/(LN(2)/2)*CG53*CJ53*VLOOKUP('Données projet'!$B$12,Paramètres!$A$1:$I$89,3,0)*0.475*44/12</f>
        <v>5.252275253623262E-2</v>
      </c>
      <c r="CN53" s="22">
        <f t="shared" si="12"/>
        <v>4.6665906215212978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198</v>
      </c>
      <c r="CR53" s="12">
        <f>VLOOKUP(A53,'Données projet'!$A$139:$I$159,9,0)</f>
        <v>7.3029999999999999</v>
      </c>
      <c r="CS53" s="12">
        <f t="array" ref="CS53">INDEX(CR:CR,MIN(IF(ISNUMBER(CR53:CR249),ROW(CR53:CR249),"")))</f>
        <v>7.3029999999999999</v>
      </c>
      <c r="CT53" s="12">
        <f>IF('Données projet'!$A$140&gt;35,CT52+CS53-DB52,IF(A53&lt;'Données projet'!$A$140,$CQ$205^A53,IF(A53='Données projet'!$A$140,'Données projet'!$B$140,CT52+CS53-DB52)))</f>
        <v>198</v>
      </c>
      <c r="CU53" s="17">
        <f>CT53*VLOOKUP('Données projet'!$B$13,Paramètres!$A$1:$I$89,3,0)*VLOOKUP('Données projet'!$B$13,Paramètres!$A$1:$I$89,5,0)</f>
        <v>95.238000000000014</v>
      </c>
      <c r="CV53" s="13">
        <f t="shared" si="41"/>
        <v>25.824315354051141</v>
      </c>
      <c r="CW53" s="20">
        <f t="shared" si="13"/>
        <v>210.85019924163907</v>
      </c>
      <c r="CX53" s="59">
        <f t="shared" si="14"/>
        <v>465.97118077110918</v>
      </c>
      <c r="CY53" s="59">
        <f ca="1">AVERAGE(OFFSET($CX$3,0,0,'Données projet'!$E$13+1,1))-AVERAGE(OFFSET($H$3,0,0,'Données projet'!$E$13+1,1))</f>
        <v>303.76035885073708</v>
      </c>
      <c r="CZ53" s="59">
        <f t="shared" si="42"/>
        <v>127.43112562890414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0.30800000000000005</v>
      </c>
      <c r="DE53" s="16">
        <f>IF(ISNA(VLOOKUP(A53,'Données projet'!$A$139:$I$159,7,0)),0%,VLOOKUP(A53,'Données projet'!$A$139:$I$159,7,0))</f>
        <v>0.44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285</v>
      </c>
      <c r="DM53" s="12">
        <f>VLOOKUP(A53,'Données projet'!$A$165:$I$185,9,0)</f>
        <v>3.8</v>
      </c>
      <c r="DN53" s="12">
        <f t="array" ref="DN53">INDEX(DM:DM,MIN(IF(ISNUMBER(DM53:DM249),ROW(DM53:DM249),"")))</f>
        <v>3.8</v>
      </c>
      <c r="DO53" s="12">
        <f>IF('Données projet'!$A$166&gt;35,DO52+DN53-DW52,IF(A53&lt;'Données projet'!$A$166,$DL$205^A53,IF(A53='Données projet'!$A$166,'Données projet'!$B$166,DO52+DN53-DW52)))</f>
        <v>285.00000000000011</v>
      </c>
      <c r="DP53" s="17">
        <f>DO53*VLOOKUP('Données projet'!$B$14,Paramètres!$A$1:$I$89,3,0)*VLOOKUP('Données projet'!$B$14,Paramètres!$A$1:$I$89,5,0)</f>
        <v>164.50200000000007</v>
      </c>
      <c r="DQ53" s="13">
        <f t="shared" si="43"/>
        <v>41.856308345523921</v>
      </c>
      <c r="DR53" s="20">
        <f t="shared" si="16"/>
        <v>359.40738703512096</v>
      </c>
      <c r="DS53" s="59">
        <f t="shared" si="17"/>
        <v>614.52836856459112</v>
      </c>
      <c r="DT53" s="59">
        <f ca="1">AVERAGE(OFFSET($DS$3,0,0,'Données projet'!$E$14+1,1))-AVERAGE(OFFSET($H$3,0,0,'Données projet'!$E$14+1,1))</f>
        <v>243.65374431792841</v>
      </c>
      <c r="DU53" s="59">
        <f t="shared" si="44"/>
        <v>271.60754570002939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0.24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178</v>
      </c>
      <c r="EH53" s="12">
        <f>VLOOKUP(A53,'Données projet'!$A$191:$I$211,9,0)</f>
        <v>8.1999999999999993</v>
      </c>
      <c r="EI53" s="12">
        <f t="array" ref="EI53">INDEX(EH:EH,MIN(IF(ISNUMBER(EH53:EH249),ROW(EH53:EH249),"")))</f>
        <v>8.1999999999999993</v>
      </c>
      <c r="EJ53" s="12">
        <f>IF('Données projet'!$A$192&gt;35,EJ52+EI53-ER52,IF(A53&lt;'Données projet'!$A$192,$EG$205^A53,IF(A53='Données projet'!$A$192,'Données projet'!$B$192,EJ52+EI53-ER52)))</f>
        <v>178.00000000000003</v>
      </c>
      <c r="EK53" s="17">
        <f>EJ53*VLOOKUP('Données projet'!$B$15,Paramètres!$A$1:$I$89,3,0)*VLOOKUP('Données projet'!$B$15,Paramètres!$A$1:$I$89,5,0)</f>
        <v>119.40240000000001</v>
      </c>
      <c r="EL53" s="13">
        <f t="shared" si="45"/>
        <v>31.5355784353121</v>
      </c>
      <c r="EM53" s="20">
        <f t="shared" si="19"/>
        <v>262.88364577483526</v>
      </c>
      <c r="EN53" s="59">
        <f t="shared" si="20"/>
        <v>518.00462730430536</v>
      </c>
      <c r="EO53" s="59">
        <f ca="1">AVERAGE(OFFSET($EN$3,0,0,'Données projet'!$E$15+1,1))-AVERAGE(OFFSET($H$3,0,0,'Données projet'!$E$15+1,1))</f>
        <v>321.44781099085594</v>
      </c>
      <c r="EP53" s="59">
        <f t="shared" si="46"/>
        <v>201.22243186578183</v>
      </c>
      <c r="EQ53" s="15">
        <f>IF(ISNA(VLOOKUP(A53,'Données projet'!$A$191:$I$211,3,0)),0,VLOOKUP(A53,'Données projet'!$A$191:$I$211,3,0))</f>
        <v>7</v>
      </c>
      <c r="ER53" s="15">
        <f>IF(ISNA(VLOOKUP(A53,'Données projet'!$A$191:$I$211,4,0)),0,VLOOKUP(A53,'Données projet'!$A$191:$I$211,4,0))</f>
        <v>21</v>
      </c>
      <c r="ES53" s="16">
        <f>IF(ISNA(VLOOKUP(A53,'Données projet'!$A$191:$I$211,5,0)),0%,VLOOKUP(A53,'Données projet'!$A$191:$I$211,5,0)*VLOOKUP('Données projet'!$B$15,Paramètres!$A$1:$I$89,7,0))</f>
        <v>0.159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5.3252209610642343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5.3252209610642343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174</v>
      </c>
      <c r="FC53" s="12">
        <f>VLOOKUP(A53,'Données projet'!$A$217:$I$237,9,0)</f>
        <v>5.6</v>
      </c>
      <c r="FD53" s="12">
        <f t="array" ref="FD53">INDEX(FC:FC,MIN(IF(ISNUMBER(FC53:FC249),ROW(FC53:FC249),"")))</f>
        <v>5.6</v>
      </c>
      <c r="FE53" s="12">
        <f>IF('Données projet'!$A$218&gt;35,FE52+FD53-FM52,IF(A53&lt;'Données projet'!$A$218,$FB$205^A53,IF(A53='Données projet'!$A$218,'Données projet'!$B$218,FE52+FD53-FM52)))</f>
        <v>173.99999999999994</v>
      </c>
      <c r="FF53" s="17">
        <f>FE53*VLOOKUP('Données projet'!$B$16,Paramètres!$A$1:$I$89,3,0)*VLOOKUP('Données projet'!$B$16,Paramètres!$A$1:$I$89,5,0)</f>
        <v>152.00639999999999</v>
      </c>
      <c r="FG53" s="13">
        <f t="shared" si="47"/>
        <v>39.03419401656145</v>
      </c>
      <c r="FH53" s="20">
        <f t="shared" si="22"/>
        <v>332.72903457884451</v>
      </c>
      <c r="FI53" s="59">
        <f t="shared" si="23"/>
        <v>587.85001610831455</v>
      </c>
      <c r="FJ53" s="59">
        <f ca="1">AVERAGE(OFFSET($FI$3,0,0,'Données projet'!$E$16+1,1))-AVERAGE(OFFSET($H$3,0,0,'Données projet'!$E$16+1,1))</f>
        <v>285.8437404763045</v>
      </c>
      <c r="FK53" s="59">
        <f t="shared" si="48"/>
        <v>276.01618888357268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13</v>
      </c>
      <c r="FN53" s="16">
        <f>IF(ISNA(VLOOKUP(A53,'Données projet'!$A$217:$I$237,5,0)),0%,VLOOKUP(A53,'Données projet'!$A$217:$I$237,5,0)*VLOOKUP('Données projet'!$B$16,Paramètres!$A$1:$I$89,7,0))</f>
        <v>0.159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7.8603029153821167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7.8603029153821167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219</v>
      </c>
      <c r="FX53" s="12">
        <f>VLOOKUP(A53,'Données projet'!$A$243:$I$263,9,0)</f>
        <v>7.2</v>
      </c>
      <c r="FY53" s="12">
        <f t="array" ref="FY53">INDEX(FX:FX,MIN(IF(ISNUMBER(FX53:FX249),ROW(FX53:FX249),"")))</f>
        <v>7.2</v>
      </c>
      <c r="FZ53" s="12">
        <f>IF('Données projet'!$A$244&gt;35,FZ52+FY53-GH52,IF(A53&lt;'Données projet'!$A$244,$FW$205^A53,IF(A53='Données projet'!$A$244,'Données projet'!$B$244,FZ52+FY53-GH52)))</f>
        <v>218.99999999999989</v>
      </c>
      <c r="GA53" s="17">
        <f>FZ53*VLOOKUP('Données projet'!$B$17,Paramètres!$A$1:$I$89,3,0)*VLOOKUP('Données projet'!$B$17,Paramètres!$A$1:$I$89,5,0)</f>
        <v>174.23639999999992</v>
      </c>
      <c r="GB53" s="13">
        <f t="shared" si="49"/>
        <v>44.03747274965864</v>
      </c>
      <c r="GC53" s="20">
        <f t="shared" si="25"/>
        <v>380.160328372322</v>
      </c>
      <c r="GD53" s="59">
        <f t="shared" si="26"/>
        <v>635.28130990179216</v>
      </c>
      <c r="GE53" s="59">
        <f ca="1">AVERAGE(OFFSET($GD$3,0,0,'Données projet'!$E$17+1,1))-AVERAGE(OFFSET($H$3,0,0,'Données projet'!$E$17+1,1))</f>
        <v>323.01113210765487</v>
      </c>
      <c r="GF53" s="59">
        <f t="shared" si="50"/>
        <v>311.68541696405975</v>
      </c>
      <c r="GG53" s="15">
        <f>IF(ISNA(VLOOKUP(A53,'Données projet'!$A$243:$I$263,3,0)),0,VLOOKUP(A53,'Données projet'!$A$243:$I$263,3,0))</f>
        <v>8</v>
      </c>
      <c r="GH53" s="15">
        <f>IF(ISNA(VLOOKUP(A53,'Données projet'!$A$243:$I$263,4,0)),0,VLOOKUP(A53,'Données projet'!$A$243:$I$263,4,0))</f>
        <v>17</v>
      </c>
      <c r="GI53" s="16">
        <f>IF(ISNA(VLOOKUP(A53,'Données projet'!$A$243:$I$263,5,0)),0%,VLOOKUP(A53,'Données projet'!$A$243:$I$263,5,0)*VLOOKUP('Données projet'!$B$17,Paramètres!$A$1:$I$89,7,0))</f>
        <v>0.159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9.2447221679365121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9.2447221679365121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174</v>
      </c>
      <c r="GS53" s="12">
        <f>VLOOKUP(A53,'Données projet'!$A$269:$I$289,9,0)</f>
        <v>5.6</v>
      </c>
      <c r="GT53" s="12">
        <f t="array" ref="GT53">INDEX(GS:GS,MIN(IF(ISNUMBER(GS53:GS249),ROW(GS53:GS249),"")))</f>
        <v>5.6</v>
      </c>
      <c r="GU53" s="12">
        <f>IF('Données projet'!$A$270&gt;35,GU52+GT53-HC52,IF(A53&lt;'Données projet'!$A$270,$GR$205^A53,IF(A53='Données projet'!$A$270,'Données projet'!$B$270,GU52+GT53-HC52)))</f>
        <v>173.99999999999994</v>
      </c>
      <c r="GV53" s="17">
        <f>GU53*VLOOKUP('Données projet'!$B$18,Paramètres!$A$1:$I$89,3,0)*VLOOKUP('Données projet'!$B$18,Paramètres!$A$1:$I$89,5,0)</f>
        <v>152.00639999999999</v>
      </c>
      <c r="GW53" s="13">
        <f t="shared" si="51"/>
        <v>39.03419401656145</v>
      </c>
      <c r="GX53" s="20">
        <f t="shared" si="28"/>
        <v>332.72903457884451</v>
      </c>
      <c r="GY53" s="59">
        <f t="shared" si="29"/>
        <v>587.85001610831455</v>
      </c>
      <c r="GZ53" s="59">
        <f ca="1">AVERAGE(OFFSET($GY$3,0,0,'Données projet'!$E$18+1,1))-AVERAGE(OFFSET($H$3,0,0,'Données projet'!$E$18+1,1))</f>
        <v>285.8437404763045</v>
      </c>
      <c r="HA53" s="59">
        <f t="shared" si="52"/>
        <v>276.01618888357268</v>
      </c>
      <c r="HB53" s="15">
        <f>IF(ISNA(VLOOKUP(A53,'Données projet'!$A$269:$I$289,3,0)),0,VLOOKUP(A53,'Données projet'!$A$269:$I$289,3,0))</f>
        <v>8</v>
      </c>
      <c r="HC53" s="15">
        <f>IF(ISNA(VLOOKUP(A53,'Données projet'!$A$269:$I$289,4,0)),0,VLOOKUP(A53,'Données projet'!$A$269:$I$289,4,0))</f>
        <v>13</v>
      </c>
      <c r="HD53" s="16">
        <f>IF(ISNA(VLOOKUP(A53,'Données projet'!$A$269:$I$289,5,0)),0%,VLOOKUP(A53,'Données projet'!$A$269:$I$289,5,0)*VLOOKUP('Données projet'!$B$18,Paramètres!$A$1:$I$89,7,0))</f>
        <v>0.159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7.8603029153821167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7.8603029153821167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5.6</v>
      </c>
      <c r="N54" s="13">
        <f>IF('Données projet'!$A$36&gt;35,N53+M54-V53,IF(A54&lt;'Données projet'!$A$36,$K$205^A54,IF(A54='Données projet'!$A$36,'Données projet'!$B$36,N53+M54-V53)))</f>
        <v>112.59999999999995</v>
      </c>
      <c r="O54" s="13">
        <f>N54*VLOOKUP('Données projet'!$B$9,Paramètres!$A$1:$I$89,3,0)*VLOOKUP('Données projet'!$B$9,Paramètres!$A$1:$I$89,5,0)</f>
        <v>101.88047999999995</v>
      </c>
      <c r="P54" s="13">
        <f t="shared" si="33"/>
        <v>27.409509067425631</v>
      </c>
      <c r="Q54" s="20">
        <f t="shared" si="53"/>
        <v>225.18006429243289</v>
      </c>
      <c r="R54" s="59">
        <f t="shared" si="0"/>
        <v>480.96394469567974</v>
      </c>
      <c r="S54" s="59">
        <f ca="1">AVERAGE(OFFSET($R$3,0,0,'Données projet'!$E$9+1,1))-AVERAGE(OFFSET($H$3,0,0,'Données projet'!$E$9+1,1))</f>
        <v>315.34103933739129</v>
      </c>
      <c r="T54" s="59">
        <f t="shared" si="34"/>
        <v>165.80901858372513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3.2185524174800495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3.2185524174800495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14.654999999999994</v>
      </c>
      <c r="AI54" s="13">
        <f>IF('Données projet'!$A$62&gt;35,AI53+AH54-AQ53,IF(A54&lt;'Données projet'!$A$62,$AF$205^A54,IF(A54='Données projet'!$A$62,'Données projet'!$B$62,AI53+AH54-AQ53)))</f>
        <v>391.93499999999977</v>
      </c>
      <c r="AJ54" s="13">
        <f>AI54*VLOOKUP('Données projet'!$B$10,Paramètres!$A$1:$I$89,3,0)*VLOOKUP('Données projet'!$B$10,Paramètres!$A$1:$I$89,5,0)</f>
        <v>234.37712999999988</v>
      </c>
      <c r="AK54" s="13">
        <f t="shared" si="35"/>
        <v>57.228078446029841</v>
      </c>
      <c r="AL54" s="20">
        <f t="shared" si="4"/>
        <v>507.87907137683516</v>
      </c>
      <c r="AM54" s="59">
        <f t="shared" si="5"/>
        <v>763.66295178008204</v>
      </c>
      <c r="AN54" s="59">
        <f ca="1">AVERAGE(OFFSET($AM$3,0,0,'Données projet'!$E$10+1,1))-AVERAGE(OFFSET($H$3,0,0,'Données projet'!$E$10+1,1))</f>
        <v>317.328615425664</v>
      </c>
      <c r="AO54" s="59">
        <f t="shared" si="36"/>
        <v>324.95872842255744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38.90122499786581</v>
      </c>
      <c r="AV54" s="21">
        <f>EXP(-LN(2)/25)*AV53+(1-EXP(-LN(2)/25))/(LN(2)/25)*Calculateur!AQ54*Calculateur!AS54*VLOOKUP('Données projet'!$B$10,Paramètres!$A$1:$I$89,3,0)*0.475*44/12</f>
        <v>18.495554139126405</v>
      </c>
      <c r="AW54" s="21">
        <f>EXP(-LN(2)/2)*AW53+(1-EXP(-LN(2)/2))/(LN(2)/2)*AQ54*AT54*VLOOKUP('Données projet'!$B$10,Paramètres!$A$1:$I$89,3,0)*0.475*44/12</f>
        <v>0.47690872746738006</v>
      </c>
      <c r="AX54" s="21">
        <f t="shared" si="6"/>
        <v>57.873687864459598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11.592500000000001</v>
      </c>
      <c r="BD54" s="12">
        <f>IF('Données projet'!$A$88&gt;35,BD53+BC54-BL53,IF(A54&lt;'Données projet'!$A$88,$BA$205^A54,IF(A54='Données projet'!$A$88,'Données projet'!$B$88,BD53+BC54-BL53)))</f>
        <v>280.0424999999999</v>
      </c>
      <c r="BE54" s="13">
        <f>BD54*VLOOKUP('Données projet'!$B$11,Paramètres!$A$1:$I$89,3,0)*VLOOKUP('Données projet'!$B$11,Paramètres!$A$1:$I$89,5,0)</f>
        <v>322.60895999999985</v>
      </c>
      <c r="BF54" s="13">
        <f t="shared" si="37"/>
        <v>75.895941725130541</v>
      </c>
      <c r="BG54" s="20">
        <f t="shared" si="7"/>
        <v>694.06270383793526</v>
      </c>
      <c r="BH54" s="59">
        <f t="shared" si="8"/>
        <v>949.84658424118209</v>
      </c>
      <c r="BI54" s="59">
        <f ca="1">AVERAGE(OFFSET($BH$3,0,0,'Données projet'!$E$11+1,1))-AVERAGE(OFFSET($H$3,0,0,'Données projet'!$E$11+1,1))</f>
        <v>418.31716673276725</v>
      </c>
      <c r="BJ54" s="59">
        <f t="shared" si="38"/>
        <v>472.37891533957929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21.217930462601778</v>
      </c>
      <c r="BQ54" s="21">
        <f>EXP(-LN(2)/25)*BQ53+(1-EXP(-LN(2)/25))/(LN(2)/25)*Calculateur!BL54*Calculateur!BN54*VLOOKUP('Données projet'!$B$11,Paramètres!$A$1:$I$89,3,0)*0.475*44/12</f>
        <v>18.540856908877693</v>
      </c>
      <c r="BR54" s="21">
        <f>EXP(-LN(2)/2)*BR53+(1-EXP(-LN(2)/2))/(LN(2)/2)*BL54*BO54*VLOOKUP('Données projet'!$B$11,Paramètres!$A$1:$I$89,3,0)*0.475*44/12</f>
        <v>1.5784940689368068</v>
      </c>
      <c r="BS54" s="22">
        <f t="shared" si="9"/>
        <v>41.337281440416277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6.3528571428571423</v>
      </c>
      <c r="BY54" s="12">
        <f>IF('Données projet'!$A$114&gt;35,BY53+BX54-CG53,IF(A54&lt;'Données projet'!$A$114,$BV$205^A54,IF(A54='Données projet'!$A$114,'Données projet'!$B$114,BY53+BX54-CG53)))</f>
        <v>166.85714285714292</v>
      </c>
      <c r="BZ54" s="13">
        <f>BY54*VLOOKUP('Données projet'!$B$12,Paramètres!$A$1:$I$89,3,0)*VLOOKUP('Données projet'!$B$12,Paramètres!$A$1:$I$89,5,0)</f>
        <v>97.611428571428618</v>
      </c>
      <c r="CA54" s="13">
        <f t="shared" si="39"/>
        <v>26.392155165455506</v>
      </c>
      <c r="CB54" s="20">
        <f t="shared" si="10"/>
        <v>215.97290834173984</v>
      </c>
      <c r="CC54" s="59">
        <f t="shared" si="11"/>
        <v>471.75678874498669</v>
      </c>
      <c r="CD54" s="59">
        <f ca="1">AVERAGE(OFFSET($CC$3,0,0,'Données projet'!$E$12+1,1))-AVERAGE(OFFSET($H$3,0,0,'Données projet'!$E$12+1,1))</f>
        <v>184.11352167663844</v>
      </c>
      <c r="CE54" s="59">
        <f t="shared" si="40"/>
        <v>145.86653500981791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1.5049146659429407</v>
      </c>
      <c r="CL54" s="21">
        <f>EXP(-LN(2)/25)*CL53+(1-EXP(-LN(2)/25))/(LN(2)/25)*Calculateur!CG54*Calculateur!CI54*VLOOKUP('Données projet'!$B$12,Paramètres!$A$1:$I$89,3,0)*0.475*44/12</f>
        <v>2.9948556354857105</v>
      </c>
      <c r="CM54" s="21">
        <f>EXP(-LN(2)/2)*CM53+(1-EXP(-LN(2)/2))/(LN(2)/2)*CG54*CJ54*VLOOKUP('Données projet'!$B$12,Paramètres!$A$1:$I$89,3,0)*0.475*44/12</f>
        <v>3.7139194484953023E-2</v>
      </c>
      <c r="CN54" s="22">
        <f t="shared" si="12"/>
        <v>4.536909495913604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8.043000000000001</v>
      </c>
      <c r="CT54" s="12">
        <f>IF('Données projet'!$A$140&gt;35,CT53+CS54-DB53,IF(A54&lt;'Données projet'!$A$140,$CQ$205^A54,IF(A54='Données projet'!$A$140,'Données projet'!$B$140,CT53+CS54-DB53)))</f>
        <v>206.04300000000001</v>
      </c>
      <c r="CU54" s="17">
        <f>CT54*VLOOKUP('Données projet'!$B$13,Paramètres!$A$1:$I$89,3,0)*VLOOKUP('Données projet'!$B$13,Paramètres!$A$1:$I$89,5,0)</f>
        <v>99.106683000000004</v>
      </c>
      <c r="CV54" s="13">
        <f t="shared" si="41"/>
        <v>26.749066074474964</v>
      </c>
      <c r="CW54" s="20">
        <f t="shared" si="13"/>
        <v>219.19876297137725</v>
      </c>
      <c r="CX54" s="59">
        <f t="shared" si="14"/>
        <v>474.9826433746241</v>
      </c>
      <c r="CY54" s="59">
        <f ca="1">AVERAGE(OFFSET($CX$3,0,0,'Données projet'!$E$13+1,1))-AVERAGE(OFFSET($H$3,0,0,'Données projet'!$E$13+1,1))</f>
        <v>303.76035885073708</v>
      </c>
      <c r="CZ54" s="59">
        <f t="shared" si="42"/>
        <v>127.43112562890414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3</v>
      </c>
      <c r="DO54" s="12">
        <f>IF('Données projet'!$A$166&gt;35,DO53+DN54-DW53,IF(A54&lt;'Données projet'!$A$166,$DL$205^A54,IF(A54='Données projet'!$A$166,'Données projet'!$B$166,DO53+DN54-DW53)))</f>
        <v>288.00000000000011</v>
      </c>
      <c r="DP54" s="17">
        <f>DO54*VLOOKUP('Données projet'!$B$14,Paramètres!$A$1:$I$89,3,0)*VLOOKUP('Données projet'!$B$14,Paramètres!$A$1:$I$89,5,0)</f>
        <v>166.23360000000008</v>
      </c>
      <c r="DQ54" s="13">
        <f t="shared" si="43"/>
        <v>42.24537849929154</v>
      </c>
      <c r="DR54" s="20">
        <f t="shared" si="16"/>
        <v>363.10088755293287</v>
      </c>
      <c r="DS54" s="59">
        <f t="shared" si="17"/>
        <v>618.88476795617976</v>
      </c>
      <c r="DT54" s="59">
        <f ca="1">AVERAGE(OFFSET($DS$3,0,0,'Données projet'!$E$14+1,1))-AVERAGE(OFFSET($H$3,0,0,'Données projet'!$E$14+1,1))</f>
        <v>243.65374431792841</v>
      </c>
      <c r="DU54" s="59">
        <f t="shared" si="44"/>
        <v>271.60754570002939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8</v>
      </c>
      <c r="EJ54" s="12">
        <f>IF('Données projet'!$A$192&gt;35,EJ53+EI54-ER53,IF(A54&lt;'Données projet'!$A$192,$EG$205^A54,IF(A54='Données projet'!$A$192,'Données projet'!$B$192,EJ53+EI54-ER53)))</f>
        <v>165.00000000000003</v>
      </c>
      <c r="EK54" s="17">
        <f>EJ54*VLOOKUP('Données projet'!$B$15,Paramètres!$A$1:$I$89,3,0)*VLOOKUP('Données projet'!$B$15,Paramètres!$A$1:$I$89,5,0)</f>
        <v>110.68200000000003</v>
      </c>
      <c r="EL54" s="13">
        <f t="shared" si="45"/>
        <v>29.49161124389969</v>
      </c>
      <c r="EM54" s="20">
        <f t="shared" si="19"/>
        <v>244.13570624979198</v>
      </c>
      <c r="EN54" s="59">
        <f t="shared" si="20"/>
        <v>499.91958665303878</v>
      </c>
      <c r="EO54" s="59">
        <f ca="1">AVERAGE(OFFSET($EN$3,0,0,'Données projet'!$E$15+1,1))-AVERAGE(OFFSET($H$3,0,0,'Données projet'!$E$15+1,1))</f>
        <v>321.44781099085594</v>
      </c>
      <c r="EP54" s="59">
        <f t="shared" si="46"/>
        <v>201.22243186578183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5.2207966260818308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5.2207966260818308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4.8</v>
      </c>
      <c r="FE54" s="12">
        <f>IF('Données projet'!$A$218&gt;35,FE53+FD54-FM53,IF(A54&lt;'Données projet'!$A$218,$FB$205^A54,IF(A54='Données projet'!$A$218,'Données projet'!$B$218,FE53+FD54-FM53)))</f>
        <v>165.79999999999995</v>
      </c>
      <c r="FF54" s="17">
        <f>FE54*VLOOKUP('Données projet'!$B$16,Paramètres!$A$1:$I$89,3,0)*VLOOKUP('Données projet'!$B$16,Paramètres!$A$1:$I$89,5,0)</f>
        <v>144.84287999999998</v>
      </c>
      <c r="FG54" s="13">
        <f t="shared" si="47"/>
        <v>37.40423595784457</v>
      </c>
      <c r="FH54" s="20">
        <f t="shared" si="22"/>
        <v>317.41372695991259</v>
      </c>
      <c r="FI54" s="59">
        <f t="shared" si="23"/>
        <v>573.19760736315948</v>
      </c>
      <c r="FJ54" s="59">
        <f ca="1">AVERAGE(OFFSET($FI$3,0,0,'Données projet'!$E$16+1,1))-AVERAGE(OFFSET($H$3,0,0,'Données projet'!$E$16+1,1))</f>
        <v>285.8437404763045</v>
      </c>
      <c r="FK54" s="59">
        <f t="shared" si="48"/>
        <v>276.01618888357268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7.7061671695228524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7.7061671695228524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6</v>
      </c>
      <c r="FZ54" s="12">
        <f>IF('Données projet'!$A$244&gt;35,FZ53+FY54-GH53,IF(A54&lt;'Données projet'!$A$244,$FW$205^A54,IF(A54='Données projet'!$A$244,'Données projet'!$B$244,FZ53+FY54-GH53)))</f>
        <v>207.99999999999989</v>
      </c>
      <c r="GA54" s="17">
        <f>FZ54*VLOOKUP('Données projet'!$B$17,Paramètres!$A$1:$I$89,3,0)*VLOOKUP('Données projet'!$B$17,Paramètres!$A$1:$I$89,5,0)</f>
        <v>165.48479999999992</v>
      </c>
      <c r="GB54" s="13">
        <f t="shared" si="49"/>
        <v>42.077190125964002</v>
      </c>
      <c r="GC54" s="20">
        <f t="shared" si="25"/>
        <v>361.5037994693871</v>
      </c>
      <c r="GD54" s="59">
        <f t="shared" si="26"/>
        <v>617.28767987263393</v>
      </c>
      <c r="GE54" s="59">
        <f ca="1">AVERAGE(OFFSET($GD$3,0,0,'Données projet'!$E$17+1,1))-AVERAGE(OFFSET($H$3,0,0,'Données projet'!$E$17+1,1))</f>
        <v>323.01113210765487</v>
      </c>
      <c r="GF54" s="59">
        <f t="shared" si="50"/>
        <v>311.68541696405975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9.0634388049470225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9.0634388049470225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4.8</v>
      </c>
      <c r="GU54" s="12">
        <f>IF('Données projet'!$A$270&gt;35,GU53+GT54-HC53,IF(A54&lt;'Données projet'!$A$270,$GR$205^A54,IF(A54='Données projet'!$A$270,'Données projet'!$B$270,GU53+GT54-HC53)))</f>
        <v>165.79999999999995</v>
      </c>
      <c r="GV54" s="17">
        <f>GU54*VLOOKUP('Données projet'!$B$18,Paramètres!$A$1:$I$89,3,0)*VLOOKUP('Données projet'!$B$18,Paramètres!$A$1:$I$89,5,0)</f>
        <v>144.84287999999998</v>
      </c>
      <c r="GW54" s="13">
        <f t="shared" si="51"/>
        <v>37.40423595784457</v>
      </c>
      <c r="GX54" s="20">
        <f t="shared" si="28"/>
        <v>317.41372695991259</v>
      </c>
      <c r="GY54" s="59">
        <f t="shared" si="29"/>
        <v>573.19760736315948</v>
      </c>
      <c r="GZ54" s="59">
        <f ca="1">AVERAGE(OFFSET($GY$3,0,0,'Données projet'!$E$18+1,1))-AVERAGE(OFFSET($H$3,0,0,'Données projet'!$E$18+1,1))</f>
        <v>285.8437404763045</v>
      </c>
      <c r="HA54" s="59">
        <f t="shared" si="52"/>
        <v>276.01618888357268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7.7061671695228524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7.7061671695228524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5.6</v>
      </c>
      <c r="N55" s="13">
        <f>IF('Données projet'!$A$36&gt;35,N54+M55-V54,IF(A55&lt;'Données projet'!$A$36,$K$205^A55,IF(A55='Données projet'!$A$36,'Données projet'!$B$36,N54+M55-V54)))</f>
        <v>118.19999999999995</v>
      </c>
      <c r="O55" s="13">
        <f>N55*VLOOKUP('Données projet'!$B$9,Paramètres!$A$1:$I$89,3,0)*VLOOKUP('Données projet'!$B$9,Paramètres!$A$1:$I$89,5,0)</f>
        <v>106.94735999999996</v>
      </c>
      <c r="P55" s="13">
        <f t="shared" si="33"/>
        <v>28.61058496425451</v>
      </c>
      <c r="Q55" s="20">
        <f t="shared" si="53"/>
        <v>236.09675414607651</v>
      </c>
      <c r="R55" s="59">
        <f t="shared" si="0"/>
        <v>492.53203360965983</v>
      </c>
      <c r="S55" s="59">
        <f ca="1">AVERAGE(OFFSET($R$3,0,0,'Données projet'!$E$9+1,1))-AVERAGE(OFFSET($H$3,0,0,'Données projet'!$E$9+1,1))</f>
        <v>315.34103933739129</v>
      </c>
      <c r="T55" s="59">
        <f t="shared" si="34"/>
        <v>165.80901858372513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3.1554385676963981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3.1554385676963981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406.59</v>
      </c>
      <c r="AG55" s="12">
        <f>VLOOKUP(A55,'Données projet'!$A$61:$I$81,9,0)</f>
        <v>14.654999999999994</v>
      </c>
      <c r="AH55" s="12">
        <f t="array" ref="AH55">INDEX(AG:AG,MIN(IF(ISNUMBER(AG55:AG251),ROW(AG55:AG251),"")))</f>
        <v>14.654999999999994</v>
      </c>
      <c r="AI55" s="13">
        <f>IF('Données projet'!$A$62&gt;35,AI54+AH55-AQ54,IF(A55&lt;'Données projet'!$A$62,$AF$205^A55,IF(A55='Données projet'!$A$62,'Données projet'!$B$62,AI54+AH55-AQ54)))</f>
        <v>406.58999999999975</v>
      </c>
      <c r="AJ55" s="13">
        <f>AI55*VLOOKUP('Données projet'!$B$10,Paramètres!$A$1:$I$89,3,0)*VLOOKUP('Données projet'!$B$10,Paramètres!$A$1:$I$89,5,0)</f>
        <v>243.14081999999988</v>
      </c>
      <c r="AK55" s="13">
        <f t="shared" si="35"/>
        <v>59.114781000830845</v>
      </c>
      <c r="AL55" s="20">
        <f t="shared" si="4"/>
        <v>526.42850507644687</v>
      </c>
      <c r="AM55" s="59">
        <f t="shared" si="5"/>
        <v>782.86378454003022</v>
      </c>
      <c r="AN55" s="59">
        <f ca="1">AVERAGE(OFFSET($AM$3,0,0,'Données projet'!$E$10+1,1))-AVERAGE(OFFSET($H$3,0,0,'Données projet'!$E$10+1,1))</f>
        <v>317.328615425664</v>
      </c>
      <c r="AO55" s="59">
        <f t="shared" si="36"/>
        <v>324.95872842255744</v>
      </c>
      <c r="AP55" s="15">
        <f>IF(ISNA(VLOOKUP(A55,'Données projet'!$A$61:$I$81,3,0)),0,VLOOKUP(A55,'Données projet'!$A$61:$I$81,3,0))</f>
        <v>8</v>
      </c>
      <c r="AQ55" s="15">
        <f>IF(ISNA(VLOOKUP(A55,'Données projet'!$A$61:$I$81,4,0)),0,VLOOKUP(A55,'Données projet'!$A$61:$I$81,4,0))</f>
        <v>75.37</v>
      </c>
      <c r="AR55" s="16">
        <f>IF(ISNA(VLOOKUP(A55,'Données projet'!$A$61:$I$81,5,0)),0%,VLOOKUP(A55,'Données projet'!$A$61:$I$81,5,0)*VLOOKUP('Données projet'!$B$10,Paramètres!$A$1:$I$89,7,0))</f>
        <v>0.36000000000000004</v>
      </c>
      <c r="AS55" s="16">
        <f>IF(ISNA(VLOOKUP(A55,'Données projet'!$A$61:$I$81,6,0)),0%,VLOOKUP(A55,'Données projet'!$A$61:$I$81,6,0)*VLOOKUP('Données projet'!$B$10,Paramètres!$A$1:$I$89,7,0))</f>
        <v>4.9500000000000002E-2</v>
      </c>
      <c r="AT55" s="16">
        <f>IF(ISNA(VLOOKUP(A55,'Données projet'!$A$61:$I$81,7,0)),0%,VLOOKUP(A55,'Données projet'!$A$61:$I$81,7,0))</f>
        <v>0.09</v>
      </c>
      <c r="AU55" s="21">
        <f>EXP(-LN(2)/35)*AU54+(1-EXP(-LN(2)/35))/(LN(2)/35)*AQ55*AR55*VLOOKUP('Données projet'!$B$10,Paramètres!$A$1:$I$89,3,0)*0.475*44/12</f>
        <v>59.66277103509664</v>
      </c>
      <c r="AV55" s="21">
        <f>EXP(-LN(2)/25)*AV54+(1-EXP(-LN(2)/25))/(LN(2)/25)*Calculateur!AQ55*Calculateur!AS55*VLOOKUP('Données projet'!$B$10,Paramètres!$A$1:$I$89,3,0)*0.475*44/12</f>
        <v>20.937740767479905</v>
      </c>
      <c r="AW55" s="21">
        <f>EXP(-LN(2)/2)*AW54+(1-EXP(-LN(2)/2))/(LN(2)/2)*AQ55*AT55*VLOOKUP('Données projet'!$B$10,Paramètres!$A$1:$I$89,3,0)*0.475*44/12</f>
        <v>4.930027658798374</v>
      </c>
      <c r="AX55" s="21">
        <f t="shared" si="6"/>
        <v>85.530539461374929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11.592500000000001</v>
      </c>
      <c r="BD55" s="12">
        <f>IF('Données projet'!$A$88&gt;35,BD54+BC55-BL54,IF(A55&lt;'Données projet'!$A$88,$BA$205^A55,IF(A55='Données projet'!$A$88,'Données projet'!$B$88,BD54+BC55-BL54)))</f>
        <v>291.63499999999988</v>
      </c>
      <c r="BE55" s="13">
        <f>BD55*VLOOKUP('Données projet'!$B$11,Paramètres!$A$1:$I$89,3,0)*VLOOKUP('Données projet'!$B$11,Paramètres!$A$1:$I$89,5,0)</f>
        <v>335.96351999999979</v>
      </c>
      <c r="BF55" s="13">
        <f t="shared" si="37"/>
        <v>78.665405308974044</v>
      </c>
      <c r="BG55" s="20">
        <f t="shared" si="7"/>
        <v>722.14537824646277</v>
      </c>
      <c r="BH55" s="59">
        <f t="shared" si="8"/>
        <v>978.58065771004613</v>
      </c>
      <c r="BI55" s="59">
        <f ca="1">AVERAGE(OFFSET($BH$3,0,0,'Données projet'!$E$11+1,1))-AVERAGE(OFFSET($H$3,0,0,'Données projet'!$E$11+1,1))</f>
        <v>418.31716673276725</v>
      </c>
      <c r="BJ55" s="59">
        <f t="shared" si="38"/>
        <v>472.37891533957929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20.801859787889857</v>
      </c>
      <c r="BQ55" s="21">
        <f>EXP(-LN(2)/25)*BQ54+(1-EXP(-LN(2)/25))/(LN(2)/25)*Calculateur!BL55*Calculateur!BN55*VLOOKUP('Données projet'!$B$11,Paramètres!$A$1:$I$89,3,0)*0.475*44/12</f>
        <v>18.033856201683143</v>
      </c>
      <c r="BR55" s="21">
        <f>EXP(-LN(2)/2)*BR54+(1-EXP(-LN(2)/2))/(LN(2)/2)*BL55*BO55*VLOOKUP('Données projet'!$B$11,Paramètres!$A$1:$I$89,3,0)*0.475*44/12</f>
        <v>1.1161638602079618</v>
      </c>
      <c r="BS55" s="22">
        <f t="shared" si="9"/>
        <v>39.951879849780966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173.21</v>
      </c>
      <c r="BW55" s="12">
        <f>VLOOKUP(A55,'Données projet'!$A$113:$I$133,9,0)</f>
        <v>6.3528571428571423</v>
      </c>
      <c r="BX55" s="12">
        <f t="array" ref="BX55">INDEX(BW:BW,MIN(IF(ISNUMBER(BW55:BW251),ROW(BW55:BW251),"")))</f>
        <v>6.3528571428571423</v>
      </c>
      <c r="BY55" s="12">
        <f>IF('Données projet'!$A$114&gt;35,BY54+BX55-CG54,IF(A55&lt;'Données projet'!$A$114,$BV$205^A55,IF(A55='Données projet'!$A$114,'Données projet'!$B$114,BY54+BX55-CG54)))</f>
        <v>173.21000000000006</v>
      </c>
      <c r="BZ55" s="13">
        <f>BY55*VLOOKUP('Données projet'!$B$12,Paramètres!$A$1:$I$89,3,0)*VLOOKUP('Données projet'!$B$12,Paramètres!$A$1:$I$89,5,0)</f>
        <v>101.32785000000004</v>
      </c>
      <c r="CA55" s="13">
        <f t="shared" si="39"/>
        <v>27.27809622804341</v>
      </c>
      <c r="CB55" s="20">
        <f t="shared" si="10"/>
        <v>223.98868968050897</v>
      </c>
      <c r="CC55" s="59">
        <f t="shared" si="11"/>
        <v>480.42396914409233</v>
      </c>
      <c r="CD55" s="59">
        <f ca="1">AVERAGE(OFFSET($CC$3,0,0,'Données projet'!$E$12+1,1))-AVERAGE(OFFSET($H$3,0,0,'Données projet'!$E$12+1,1))</f>
        <v>184.11352167663844</v>
      </c>
      <c r="CE55" s="59">
        <f t="shared" si="40"/>
        <v>145.86653500981791</v>
      </c>
      <c r="CF55" s="15">
        <f>IF(ISNA(VLOOKUP(A55,'Données projet'!$A$113:$I$133,3,0)),0,VLOOKUP(A55,'Données projet'!$A$113:$I$133,3,0))</f>
        <v>9</v>
      </c>
      <c r="CG55" s="15">
        <f>IF(ISNA(VLOOKUP(A55,'Données projet'!$A$113:$I$133,4,0)),0,VLOOKUP(A55,'Données projet'!$A$113:$I$133,4,0))</f>
        <v>70</v>
      </c>
      <c r="CH55" s="16">
        <f>IF(ISNA(VLOOKUP(A55,'Données projet'!$A$113:$I$133,5,0)),0%,VLOOKUP(A55,'Données projet'!$A$113:$I$133,5,0)*VLOOKUP('Données projet'!$B$12,Paramètres!$A$1:$I$89,7,0))</f>
        <v>0.18000000000000002</v>
      </c>
      <c r="CI55" s="16">
        <f>IF(ISNA(VLOOKUP(A55,'Données projet'!$A$113:$I$133,6,0)),0%,VLOOKUP(A55,'Données projet'!$A$113:$I$133,6,0)*VLOOKUP('Données projet'!$B$12,Paramètres!$A$1:$I$89,7,0))</f>
        <v>0.15300000000000002</v>
      </c>
      <c r="CJ55" s="16">
        <f>IF(ISNA(VLOOKUP(A55,'Données projet'!$A$113:$I$133,7,0)),0%,VLOOKUP(A55,'Données projet'!$A$113:$I$133,7,0))</f>
        <v>0.26</v>
      </c>
      <c r="CK55" s="21">
        <f>EXP(-LN(2)/35)*CK54+(1-EXP(-LN(2)/35))/(LN(2)/35)*CG55*CH55*VLOOKUP('Données projet'!$B$12,Paramètres!$A$1:$I$89,3,0)*0.475*44/12</f>
        <v>11.253510808295962</v>
      </c>
      <c r="CL55" s="21">
        <f>EXP(-LN(2)/25)*CL54+(1-EXP(-LN(2)/25))/(LN(2)/25)*Calculateur!CG55*Calculateur!CI55*VLOOKUP('Données projet'!$B$12,Paramètres!$A$1:$I$89,3,0)*0.475*44/12</f>
        <v>11.191626649805695</v>
      </c>
      <c r="CM55" s="21">
        <f>EXP(-LN(2)/2)*CM54+(1-EXP(-LN(2)/2))/(LN(2)/2)*CG55*CJ55*VLOOKUP('Données projet'!$B$12,Paramètres!$A$1:$I$89,3,0)*0.475*44/12</f>
        <v>12.0811386480324</v>
      </c>
      <c r="CN55" s="22">
        <f t="shared" si="12"/>
        <v>34.526276106134056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8.043000000000001</v>
      </c>
      <c r="CT55" s="12">
        <f>IF('Données projet'!$A$140&gt;35,CT54+CS55-DB54,IF(A55&lt;'Données projet'!$A$140,$CQ$205^A55,IF(A55='Données projet'!$A$140,'Données projet'!$B$140,CT54+CS55-DB54)))</f>
        <v>214.08600000000001</v>
      </c>
      <c r="CU55" s="17">
        <f>CT55*VLOOKUP('Données projet'!$B$13,Paramètres!$A$1:$I$89,3,0)*VLOOKUP('Données projet'!$B$13,Paramètres!$A$1:$I$89,5,0)</f>
        <v>102.97536600000001</v>
      </c>
      <c r="CV55" s="13">
        <f t="shared" si="41"/>
        <v>27.669623377588465</v>
      </c>
      <c r="CW55" s="20">
        <f t="shared" si="13"/>
        <v>227.54002316596657</v>
      </c>
      <c r="CX55" s="59">
        <f t="shared" si="14"/>
        <v>483.9753026295499</v>
      </c>
      <c r="CY55" s="59">
        <f ca="1">AVERAGE(OFFSET($CX$3,0,0,'Données projet'!$E$13+1,1))-AVERAGE(OFFSET($H$3,0,0,'Données projet'!$E$13+1,1))</f>
        <v>303.76035885073708</v>
      </c>
      <c r="CZ55" s="59">
        <f t="shared" si="42"/>
        <v>127.43112562890414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3</v>
      </c>
      <c r="DO55" s="12">
        <f>IF('Données projet'!$A$166&gt;35,DO54+DN55-DW54,IF(A55&lt;'Données projet'!$A$166,$DL$205^A55,IF(A55='Données projet'!$A$166,'Données projet'!$B$166,DO54+DN55-DW54)))</f>
        <v>291.00000000000011</v>
      </c>
      <c r="DP55" s="17">
        <f>DO55*VLOOKUP('Données projet'!$B$14,Paramètres!$A$1:$I$89,3,0)*VLOOKUP('Données projet'!$B$14,Paramètres!$A$1:$I$89,5,0)</f>
        <v>167.96520000000007</v>
      </c>
      <c r="DQ55" s="13">
        <f t="shared" si="43"/>
        <v>42.633977182361853</v>
      </c>
      <c r="DR55" s="20">
        <f t="shared" si="16"/>
        <v>366.793566925947</v>
      </c>
      <c r="DS55" s="59">
        <f t="shared" si="17"/>
        <v>623.22884638953042</v>
      </c>
      <c r="DT55" s="59">
        <f ca="1">AVERAGE(OFFSET($DS$3,0,0,'Données projet'!$E$14+1,1))-AVERAGE(OFFSET($H$3,0,0,'Données projet'!$E$14+1,1))</f>
        <v>243.65374431792841</v>
      </c>
      <c r="DU55" s="59">
        <f t="shared" si="44"/>
        <v>271.60754570002939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8</v>
      </c>
      <c r="EJ55" s="12">
        <f>IF('Données projet'!$A$192&gt;35,EJ54+EI55-ER54,IF(A55&lt;'Données projet'!$A$192,$EG$205^A55,IF(A55='Données projet'!$A$192,'Données projet'!$B$192,EJ54+EI55-ER54)))</f>
        <v>173.00000000000003</v>
      </c>
      <c r="EK55" s="17">
        <f>EJ55*VLOOKUP('Données projet'!$B$15,Paramètres!$A$1:$I$89,3,0)*VLOOKUP('Données projet'!$B$15,Paramètres!$A$1:$I$89,5,0)</f>
        <v>116.04840000000003</v>
      </c>
      <c r="EL55" s="13">
        <f t="shared" si="45"/>
        <v>30.751565097980826</v>
      </c>
      <c r="EM55" s="20">
        <f t="shared" si="19"/>
        <v>255.67660587898328</v>
      </c>
      <c r="EN55" s="59">
        <f t="shared" si="20"/>
        <v>512.11188534256667</v>
      </c>
      <c r="EO55" s="59">
        <f ca="1">AVERAGE(OFFSET($EN$3,0,0,'Données projet'!$E$15+1,1))-AVERAGE(OFFSET($H$3,0,0,'Données projet'!$E$15+1,1))</f>
        <v>321.44781099085594</v>
      </c>
      <c r="EP55" s="59">
        <f t="shared" si="46"/>
        <v>201.22243186578183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5.1184199886158774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5.1184199886158774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4.8</v>
      </c>
      <c r="FE55" s="12">
        <f>IF('Données projet'!$A$218&gt;35,FE54+FD55-FM54,IF(A55&lt;'Données projet'!$A$218,$FB$205^A55,IF(A55='Données projet'!$A$218,'Données projet'!$B$218,FE54+FD55-FM54)))</f>
        <v>170.59999999999997</v>
      </c>
      <c r="FF55" s="17">
        <f>FE55*VLOOKUP('Données projet'!$B$16,Paramètres!$A$1:$I$89,3,0)*VLOOKUP('Données projet'!$B$16,Paramètres!$A$1:$I$89,5,0)</f>
        <v>149.03616</v>
      </c>
      <c r="FG55" s="13">
        <f t="shared" si="47"/>
        <v>38.35946741279561</v>
      </c>
      <c r="FH55" s="20">
        <f t="shared" si="22"/>
        <v>326.38071774395229</v>
      </c>
      <c r="FI55" s="59">
        <f t="shared" si="23"/>
        <v>582.8159972075357</v>
      </c>
      <c r="FJ55" s="59">
        <f ca="1">AVERAGE(OFFSET($FI$3,0,0,'Données projet'!$E$16+1,1))-AVERAGE(OFFSET($H$3,0,0,'Données projet'!$E$16+1,1))</f>
        <v>285.8437404763045</v>
      </c>
      <c r="FK55" s="59">
        <f t="shared" si="48"/>
        <v>276.01618888357268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7.5550539316263672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7.5550539316263672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6</v>
      </c>
      <c r="FZ55" s="12">
        <f>IF('Données projet'!$A$244&gt;35,FZ54+FY55-GH54,IF(A55&lt;'Données projet'!$A$244,$FW$205^A55,IF(A55='Données projet'!$A$244,'Données projet'!$B$244,FZ54+FY55-GH54)))</f>
        <v>213.99999999999989</v>
      </c>
      <c r="GA55" s="17">
        <f>FZ55*VLOOKUP('Données projet'!$B$17,Paramètres!$A$1:$I$89,3,0)*VLOOKUP('Données projet'!$B$17,Paramètres!$A$1:$I$89,5,0)</f>
        <v>170.25839999999991</v>
      </c>
      <c r="GB55" s="13">
        <f t="shared" si="49"/>
        <v>43.147891472685018</v>
      </c>
      <c r="GC55" s="20">
        <f t="shared" si="25"/>
        <v>371.68262431492622</v>
      </c>
      <c r="GD55" s="59">
        <f t="shared" si="26"/>
        <v>628.11790377850957</v>
      </c>
      <c r="GE55" s="59">
        <f ca="1">AVERAGE(OFFSET($GD$3,0,0,'Données projet'!$E$17+1,1))-AVERAGE(OFFSET($H$3,0,0,'Données projet'!$E$17+1,1))</f>
        <v>323.01113210765487</v>
      </c>
      <c r="GF55" s="59">
        <f t="shared" si="50"/>
        <v>311.68541696405975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8.885710298133823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8.885710298133823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4.8</v>
      </c>
      <c r="GU55" s="12">
        <f>IF('Données projet'!$A$270&gt;35,GU54+GT55-HC54,IF(A55&lt;'Données projet'!$A$270,$GR$205^A55,IF(A55='Données projet'!$A$270,'Données projet'!$B$270,GU54+GT55-HC54)))</f>
        <v>170.59999999999997</v>
      </c>
      <c r="GV55" s="17">
        <f>GU55*VLOOKUP('Données projet'!$B$18,Paramètres!$A$1:$I$89,3,0)*VLOOKUP('Données projet'!$B$18,Paramètres!$A$1:$I$89,5,0)</f>
        <v>149.03616</v>
      </c>
      <c r="GW55" s="13">
        <f t="shared" si="51"/>
        <v>38.35946741279561</v>
      </c>
      <c r="GX55" s="20">
        <f t="shared" si="28"/>
        <v>326.38071774395229</v>
      </c>
      <c r="GY55" s="59">
        <f t="shared" si="29"/>
        <v>582.8159972075357</v>
      </c>
      <c r="GZ55" s="59">
        <f ca="1">AVERAGE(OFFSET($GY$3,0,0,'Données projet'!$E$18+1,1))-AVERAGE(OFFSET($H$3,0,0,'Données projet'!$E$18+1,1))</f>
        <v>285.8437404763045</v>
      </c>
      <c r="HA55" s="59">
        <f t="shared" si="52"/>
        <v>276.01618888357268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7.5550539316263672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7.5550539316263672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5.6</v>
      </c>
      <c r="N56" s="13">
        <f>IF('Données projet'!$A$36&gt;35,N55+M56-V55,IF(A56&lt;'Données projet'!$A$36,$K$205^A56,IF(A56='Données projet'!$A$36,'Données projet'!$B$36,N55+M56-V55)))</f>
        <v>123.79999999999994</v>
      </c>
      <c r="O56" s="13">
        <f>N56*VLOOKUP('Données projet'!$B$9,Paramètres!$A$1:$I$89,3,0)*VLOOKUP('Données projet'!$B$9,Paramètres!$A$1:$I$89,5,0)</f>
        <v>112.01423999999994</v>
      </c>
      <c r="P56" s="13">
        <f t="shared" si="33"/>
        <v>29.805052882814007</v>
      </c>
      <c r="Q56" s="20">
        <f t="shared" si="53"/>
        <v>247.00193510423426</v>
      </c>
      <c r="R56" s="59">
        <f t="shared" si="0"/>
        <v>504.07731331076752</v>
      </c>
      <c r="S56" s="59">
        <f ca="1">AVERAGE(OFFSET($R$3,0,0,'Données projet'!$E$9+1,1))-AVERAGE(OFFSET($H$3,0,0,'Données projet'!$E$9+1,1))</f>
        <v>315.34103933739129</v>
      </c>
      <c r="T56" s="59">
        <f t="shared" si="34"/>
        <v>165.80901858372513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3.0935623420113569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3.0935623420113569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13.14</v>
      </c>
      <c r="AI56" s="13">
        <f>IF('Données projet'!$A$62&gt;35,AI55+AH56-AQ55,IF(A56&lt;'Données projet'!$A$62,$AF$205^A56,IF(A56='Données projet'!$A$62,'Données projet'!$B$62,AI55+AH56-AQ55)))</f>
        <v>344.35999999999973</v>
      </c>
      <c r="AJ56" s="13">
        <f>AI56*VLOOKUP('Données projet'!$B$10,Paramètres!$A$1:$I$89,3,0)*VLOOKUP('Données projet'!$B$10,Paramètres!$A$1:$I$89,5,0)</f>
        <v>205.92727999999985</v>
      </c>
      <c r="AK56" s="13">
        <f t="shared" si="35"/>
        <v>51.04458202864167</v>
      </c>
      <c r="AL56" s="20">
        <f t="shared" si="4"/>
        <v>447.55932636655058</v>
      </c>
      <c r="AM56" s="59">
        <f t="shared" si="5"/>
        <v>704.63470457308381</v>
      </c>
      <c r="AN56" s="59">
        <f ca="1">AVERAGE(OFFSET($AM$3,0,0,'Données projet'!$E$10+1,1))-AVERAGE(OFFSET($H$3,0,0,'Données projet'!$E$10+1,1))</f>
        <v>317.328615425664</v>
      </c>
      <c r="AO56" s="59">
        <f t="shared" si="36"/>
        <v>324.95872842255744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58.492820485795441</v>
      </c>
      <c r="AV56" s="21">
        <f>EXP(-LN(2)/25)*AV55+(1-EXP(-LN(2)/25))/(LN(2)/25)*Calculateur!AQ56*Calculateur!AS56*VLOOKUP('Données projet'!$B$10,Paramètres!$A$1:$I$89,3,0)*0.475*44/12</f>
        <v>20.365197145125233</v>
      </c>
      <c r="AW56" s="21">
        <f>EXP(-LN(2)/2)*AW55+(1-EXP(-LN(2)/2))/(LN(2)/2)*AQ56*AT56*VLOOKUP('Données projet'!$B$10,Paramètres!$A$1:$I$89,3,0)*0.475*44/12</f>
        <v>3.4860559889735692</v>
      </c>
      <c r="AX56" s="21">
        <f t="shared" si="6"/>
        <v>82.344073619894246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11.592500000000001</v>
      </c>
      <c r="BD56" s="12">
        <f>IF('Données projet'!$A$88&gt;35,BD55+BC56-BL55,IF(A56&lt;'Données projet'!$A$88,$BA$205^A56,IF(A56='Données projet'!$A$88,'Données projet'!$B$88,BD55+BC56-BL55)))</f>
        <v>303.22749999999985</v>
      </c>
      <c r="BE56" s="13">
        <f>BD56*VLOOKUP('Données projet'!$B$11,Paramètres!$A$1:$I$89,3,0)*VLOOKUP('Données projet'!$B$11,Paramètres!$A$1:$I$89,5,0)</f>
        <v>349.31807999999984</v>
      </c>
      <c r="BF56" s="13">
        <f t="shared" si="37"/>
        <v>81.422080894319933</v>
      </c>
      <c r="BG56" s="20">
        <f t="shared" si="7"/>
        <v>750.20578022427355</v>
      </c>
      <c r="BH56" s="59">
        <f t="shared" si="8"/>
        <v>1007.2811584308067</v>
      </c>
      <c r="BI56" s="59">
        <f ca="1">AVERAGE(OFFSET($BH$3,0,0,'Données projet'!$E$11+1,1))-AVERAGE(OFFSET($H$3,0,0,'Données projet'!$E$11+1,1))</f>
        <v>418.31716673276725</v>
      </c>
      <c r="BJ56" s="59">
        <f t="shared" si="38"/>
        <v>472.37891533957929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20.393948005330984</v>
      </c>
      <c r="BQ56" s="21">
        <f>EXP(-LN(2)/25)*BQ55+(1-EXP(-LN(2)/25))/(LN(2)/25)*Calculateur!BL56*Calculateur!BN56*VLOOKUP('Données projet'!$B$11,Paramètres!$A$1:$I$89,3,0)*0.475*44/12</f>
        <v>17.540719455488837</v>
      </c>
      <c r="BR56" s="21">
        <f>EXP(-LN(2)/2)*BR55+(1-EXP(-LN(2)/2))/(LN(2)/2)*BL56*BO56*VLOOKUP('Données projet'!$B$11,Paramètres!$A$1:$I$89,3,0)*0.475*44/12</f>
        <v>0.7892470344684035</v>
      </c>
      <c r="BS56" s="22">
        <f t="shared" si="9"/>
        <v>38.723914495288227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4.7750000000000012</v>
      </c>
      <c r="BY56" s="12">
        <f>IF('Données projet'!$A$114&gt;35,BY55+BX56-CG55,IF(A56&lt;'Données projet'!$A$114,$BV$205^A56,IF(A56='Données projet'!$A$114,'Données projet'!$B$114,BY55+BX56-CG55)))</f>
        <v>107.98500000000007</v>
      </c>
      <c r="BZ56" s="13">
        <f>BY56*VLOOKUP('Données projet'!$B$12,Paramètres!$A$1:$I$89,3,0)*VLOOKUP('Données projet'!$B$12,Paramètres!$A$1:$I$89,5,0)</f>
        <v>63.171225000000042</v>
      </c>
      <c r="CA56" s="13">
        <f t="shared" si="39"/>
        <v>17.967635024231697</v>
      </c>
      <c r="CB56" s="20">
        <f t="shared" si="10"/>
        <v>141.31684787553695</v>
      </c>
      <c r="CC56" s="59">
        <f t="shared" si="11"/>
        <v>398.39222608207018</v>
      </c>
      <c r="CD56" s="59">
        <f ca="1">AVERAGE(OFFSET($CC$3,0,0,'Données projet'!$E$12+1,1))-AVERAGE(OFFSET($H$3,0,0,'Données projet'!$E$12+1,1))</f>
        <v>184.11352167663844</v>
      </c>
      <c r="CE56" s="59">
        <f t="shared" si="40"/>
        <v>145.86653500981791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11.032836325309111</v>
      </c>
      <c r="CL56" s="21">
        <f>EXP(-LN(2)/25)*CL55+(1-EXP(-LN(2)/25))/(LN(2)/25)*Calculateur!CG56*Calculateur!CI56*VLOOKUP('Données projet'!$B$12,Paramètres!$A$1:$I$89,3,0)*0.475*44/12</f>
        <v>10.885591030524692</v>
      </c>
      <c r="CM56" s="21">
        <f>EXP(-LN(2)/2)*CM55+(1-EXP(-LN(2)/2))/(LN(2)/2)*CG56*CJ56*VLOOKUP('Données projet'!$B$12,Paramètres!$A$1:$I$89,3,0)*0.475*44/12</f>
        <v>8.5426550624785893</v>
      </c>
      <c r="CN56" s="22">
        <f t="shared" si="12"/>
        <v>30.461082418312394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8.043000000000001</v>
      </c>
      <c r="CT56" s="12">
        <f>IF('Données projet'!$A$140&gt;35,CT55+CS56-DB55,IF(A56&lt;'Données projet'!$A$140,$CQ$205^A56,IF(A56='Données projet'!$A$140,'Données projet'!$B$140,CT55+CS56-DB55)))</f>
        <v>222.12900000000002</v>
      </c>
      <c r="CU56" s="17">
        <f>CT56*VLOOKUP('Données projet'!$B$13,Paramètres!$A$1:$I$89,3,0)*VLOOKUP('Données projet'!$B$13,Paramètres!$A$1:$I$89,5,0)</f>
        <v>106.84404900000001</v>
      </c>
      <c r="CV56" s="13">
        <f t="shared" si="41"/>
        <v>28.586162843962725</v>
      </c>
      <c r="CW56" s="20">
        <f t="shared" si="13"/>
        <v>235.87428562823507</v>
      </c>
      <c r="CX56" s="59">
        <f t="shared" si="14"/>
        <v>492.94966383476833</v>
      </c>
      <c r="CY56" s="59">
        <f ca="1">AVERAGE(OFFSET($CX$3,0,0,'Données projet'!$E$13+1,1))-AVERAGE(OFFSET($H$3,0,0,'Données projet'!$E$13+1,1))</f>
        <v>303.76035885073708</v>
      </c>
      <c r="CZ56" s="59">
        <f t="shared" si="42"/>
        <v>127.43112562890414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3</v>
      </c>
      <c r="DO56" s="12">
        <f>IF('Données projet'!$A$166&gt;35,DO55+DN56-DW55,IF(A56&lt;'Données projet'!$A$166,$DL$205^A56,IF(A56='Données projet'!$A$166,'Données projet'!$B$166,DO55+DN56-DW55)))</f>
        <v>294.00000000000011</v>
      </c>
      <c r="DP56" s="17">
        <f>DO56*VLOOKUP('Données projet'!$B$14,Paramètres!$A$1:$I$89,3,0)*VLOOKUP('Données projet'!$B$14,Paramètres!$A$1:$I$89,5,0)</f>
        <v>169.69680000000008</v>
      </c>
      <c r="DQ56" s="13">
        <f t="shared" si="43"/>
        <v>43.022109817960782</v>
      </c>
      <c r="DR56" s="20">
        <f t="shared" si="16"/>
        <v>370.48543459961519</v>
      </c>
      <c r="DS56" s="59">
        <f t="shared" si="17"/>
        <v>627.56081280614842</v>
      </c>
      <c r="DT56" s="59">
        <f ca="1">AVERAGE(OFFSET($DS$3,0,0,'Données projet'!$E$14+1,1))-AVERAGE(OFFSET($H$3,0,0,'Données projet'!$E$14+1,1))</f>
        <v>243.65374431792841</v>
      </c>
      <c r="DU56" s="59">
        <f t="shared" si="44"/>
        <v>271.60754570002939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8</v>
      </c>
      <c r="EJ56" s="12">
        <f>IF('Données projet'!$A$192&gt;35,EJ55+EI56-ER55,IF(A56&lt;'Données projet'!$A$192,$EG$205^A56,IF(A56='Données projet'!$A$192,'Données projet'!$B$192,EJ55+EI56-ER55)))</f>
        <v>181.00000000000003</v>
      </c>
      <c r="EK56" s="17">
        <f>EJ56*VLOOKUP('Données projet'!$B$15,Paramètres!$A$1:$I$89,3,0)*VLOOKUP('Données projet'!$B$15,Paramètres!$A$1:$I$89,5,0)</f>
        <v>121.41480000000003</v>
      </c>
      <c r="EL56" s="13">
        <f t="shared" si="45"/>
        <v>32.004752723504502</v>
      </c>
      <c r="EM56" s="20">
        <f t="shared" si="19"/>
        <v>267.20572099343707</v>
      </c>
      <c r="EN56" s="59">
        <f t="shared" si="20"/>
        <v>524.2810991999703</v>
      </c>
      <c r="EO56" s="59">
        <f ca="1">AVERAGE(OFFSET($EN$3,0,0,'Données projet'!$E$15+1,1))-AVERAGE(OFFSET($H$3,0,0,'Données projet'!$E$15+1,1))</f>
        <v>321.44781099085594</v>
      </c>
      <c r="EP56" s="59">
        <f t="shared" si="46"/>
        <v>201.22243186578183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5.0180508945670486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5.0180508945670486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4.8</v>
      </c>
      <c r="FE56" s="12">
        <f>IF('Données projet'!$A$218&gt;35,FE55+FD56-FM55,IF(A56&lt;'Données projet'!$A$218,$FB$205^A56,IF(A56='Données projet'!$A$218,'Données projet'!$B$218,FE55+FD56-FM55)))</f>
        <v>175.39999999999998</v>
      </c>
      <c r="FF56" s="17">
        <f>FE56*VLOOKUP('Données projet'!$B$16,Paramètres!$A$1:$I$89,3,0)*VLOOKUP('Données projet'!$B$16,Paramètres!$A$1:$I$89,5,0)</f>
        <v>153.22943999999998</v>
      </c>
      <c r="FG56" s="13">
        <f t="shared" si="47"/>
        <v>39.311575138468363</v>
      </c>
      <c r="FH56" s="20">
        <f t="shared" si="22"/>
        <v>335.34226803283235</v>
      </c>
      <c r="FI56" s="59">
        <f t="shared" si="23"/>
        <v>592.41764623936558</v>
      </c>
      <c r="FJ56" s="59">
        <f ca="1">AVERAGE(OFFSET($FI$3,0,0,'Données projet'!$E$16+1,1))-AVERAGE(OFFSET($H$3,0,0,'Données projet'!$E$16+1,1))</f>
        <v>285.8437404763045</v>
      </c>
      <c r="FK56" s="59">
        <f t="shared" si="48"/>
        <v>276.01618888357268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7.4069039321550578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7.4069039321550578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6</v>
      </c>
      <c r="FZ56" s="12">
        <f>IF('Données projet'!$A$244&gt;35,FZ55+FY56-GH55,IF(A56&lt;'Données projet'!$A$244,$FW$205^A56,IF(A56='Données projet'!$A$244,'Données projet'!$B$244,FZ55+FY56-GH55)))</f>
        <v>219.99999999999989</v>
      </c>
      <c r="GA56" s="17">
        <f>FZ56*VLOOKUP('Données projet'!$B$17,Paramètres!$A$1:$I$89,3,0)*VLOOKUP('Données projet'!$B$17,Paramètres!$A$1:$I$89,5,0)</f>
        <v>175.03199999999993</v>
      </c>
      <c r="GB56" s="13">
        <f t="shared" si="49"/>
        <v>44.215103743191008</v>
      </c>
      <c r="GC56" s="20">
        <f t="shared" si="25"/>
        <v>381.85537235272426</v>
      </c>
      <c r="GD56" s="59">
        <f t="shared" si="26"/>
        <v>638.93075055925749</v>
      </c>
      <c r="GE56" s="59">
        <f ca="1">AVERAGE(OFFSET($GD$3,0,0,'Données projet'!$E$17+1,1))-AVERAGE(OFFSET($H$3,0,0,'Données projet'!$E$17+1,1))</f>
        <v>323.01113210765487</v>
      </c>
      <c r="GF56" s="59">
        <f t="shared" si="50"/>
        <v>311.68541696405975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8.7114669389355441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8.7114669389355441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4.8</v>
      </c>
      <c r="GU56" s="12">
        <f>IF('Données projet'!$A$270&gt;35,GU55+GT56-HC55,IF(A56&lt;'Données projet'!$A$270,$GR$205^A56,IF(A56='Données projet'!$A$270,'Données projet'!$B$270,GU55+GT56-HC55)))</f>
        <v>175.39999999999998</v>
      </c>
      <c r="GV56" s="17">
        <f>GU56*VLOOKUP('Données projet'!$B$18,Paramètres!$A$1:$I$89,3,0)*VLOOKUP('Données projet'!$B$18,Paramètres!$A$1:$I$89,5,0)</f>
        <v>153.22943999999998</v>
      </c>
      <c r="GW56" s="13">
        <f t="shared" si="51"/>
        <v>39.311575138468363</v>
      </c>
      <c r="GX56" s="20">
        <f t="shared" si="28"/>
        <v>335.34226803283235</v>
      </c>
      <c r="GY56" s="59">
        <f t="shared" si="29"/>
        <v>592.41764623936558</v>
      </c>
      <c r="GZ56" s="59">
        <f ca="1">AVERAGE(OFFSET($GY$3,0,0,'Données projet'!$E$18+1,1))-AVERAGE(OFFSET($H$3,0,0,'Données projet'!$E$18+1,1))</f>
        <v>285.8437404763045</v>
      </c>
      <c r="HA56" s="59">
        <f t="shared" si="52"/>
        <v>276.01618888357268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7.4069039321550578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7.4069039321550578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5.6</v>
      </c>
      <c r="N57" s="13">
        <f>IF('Données projet'!$A$36&gt;35,N56+M57-V56,IF(A57&lt;'Données projet'!$A$36,$K$205^A57,IF(A57='Données projet'!$A$36,'Données projet'!$B$36,N56+M57-V56)))</f>
        <v>129.39999999999995</v>
      </c>
      <c r="O57" s="13">
        <f>N57*VLOOKUP('Données projet'!$B$9,Paramètres!$A$1:$I$89,3,0)*VLOOKUP('Données projet'!$B$9,Paramètres!$A$1:$I$89,5,0)</f>
        <v>117.08111999999994</v>
      </c>
      <c r="P57" s="13">
        <f t="shared" si="33"/>
        <v>30.993245877902066</v>
      </c>
      <c r="Q57" s="20">
        <f t="shared" si="53"/>
        <v>257.896187237346</v>
      </c>
      <c r="R57" s="59">
        <f t="shared" si="0"/>
        <v>515.60055990468527</v>
      </c>
      <c r="S57" s="59">
        <f ca="1">AVERAGE(OFFSET($R$3,0,0,'Données projet'!$E$9+1,1))-AVERAGE(OFFSET($H$3,0,0,'Données projet'!$E$9+1,1))</f>
        <v>315.34103933739129</v>
      </c>
      <c r="T57" s="59">
        <f t="shared" si="34"/>
        <v>165.80901858372513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3.0328994713712283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3.0328994713712283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13.14</v>
      </c>
      <c r="AI57" s="13">
        <f>IF('Données projet'!$A$62&gt;35,AI56+AH57-AQ56,IF(A57&lt;'Données projet'!$A$62,$AF$205^A57,IF(A57='Données projet'!$A$62,'Données projet'!$B$62,AI56+AH57-AQ56)))</f>
        <v>357.49999999999972</v>
      </c>
      <c r="AJ57" s="13">
        <f>AI57*VLOOKUP('Données projet'!$B$10,Paramètres!$A$1:$I$89,3,0)*VLOOKUP('Données projet'!$B$10,Paramètres!$A$1:$I$89,5,0)</f>
        <v>213.78499999999985</v>
      </c>
      <c r="AK57" s="13">
        <f t="shared" si="35"/>
        <v>52.761841557402377</v>
      </c>
      <c r="AL57" s="20">
        <f t="shared" si="4"/>
        <v>464.23574904580886</v>
      </c>
      <c r="AM57" s="59">
        <f t="shared" si="5"/>
        <v>721.94012171314819</v>
      </c>
      <c r="AN57" s="59">
        <f ca="1">AVERAGE(OFFSET($AM$3,0,0,'Données projet'!$E$10+1,1))-AVERAGE(OFFSET($H$3,0,0,'Données projet'!$E$10+1,1))</f>
        <v>317.328615425664</v>
      </c>
      <c r="AO57" s="59">
        <f t="shared" si="36"/>
        <v>324.95872842255744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57.345811953166667</v>
      </c>
      <c r="AV57" s="21">
        <f>EXP(-LN(2)/25)*AV56+(1-EXP(-LN(2)/25))/(LN(2)/25)*Calculateur!AQ57*Calculateur!AS57*VLOOKUP('Données projet'!$B$10,Paramètres!$A$1:$I$89,3,0)*0.475*44/12</f>
        <v>19.80830975823261</v>
      </c>
      <c r="AW57" s="21">
        <f>EXP(-LN(2)/2)*AW56+(1-EXP(-LN(2)/2))/(LN(2)/2)*AQ57*AT57*VLOOKUP('Données projet'!$B$10,Paramètres!$A$1:$I$89,3,0)*0.475*44/12</f>
        <v>2.4650138293991875</v>
      </c>
      <c r="AX57" s="21">
        <f t="shared" si="6"/>
        <v>79.619135540798467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314.82</v>
      </c>
      <c r="BB57" s="12">
        <f>VLOOKUP(A57,'Données projet'!$A$87:$I$107,9,0)</f>
        <v>11.592500000000001</v>
      </c>
      <c r="BC57" s="12">
        <f t="array" ref="BC57">INDEX(BB:BB,MIN(IF(ISNUMBER(BB57:BB253),ROW(BB57:BB253),"")))</f>
        <v>11.592500000000001</v>
      </c>
      <c r="BD57" s="12">
        <f>IF('Données projet'!$A$88&gt;35,BD56+BC57-BL56,IF(A57&lt;'Données projet'!$A$88,$BA$205^A57,IF(A57='Données projet'!$A$88,'Données projet'!$B$88,BD56+BC57-BL56)))</f>
        <v>314.81999999999982</v>
      </c>
      <c r="BE57" s="13">
        <f>BD57*VLOOKUP('Données projet'!$B$11,Paramètres!$A$1:$I$89,3,0)*VLOOKUP('Données projet'!$B$11,Paramètres!$A$1:$I$89,5,0)</f>
        <v>362.67263999999977</v>
      </c>
      <c r="BF57" s="13">
        <f t="shared" si="37"/>
        <v>84.166513335520293</v>
      </c>
      <c r="BG57" s="20">
        <f t="shared" si="7"/>
        <v>778.24485872603066</v>
      </c>
      <c r="BH57" s="59">
        <f t="shared" si="8"/>
        <v>1035.9492313933699</v>
      </c>
      <c r="BI57" s="59">
        <f ca="1">AVERAGE(OFFSET($BH$3,0,0,'Données projet'!$E$11+1,1))-AVERAGE(OFFSET($H$3,0,0,'Données projet'!$E$11+1,1))</f>
        <v>418.31716673276725</v>
      </c>
      <c r="BJ57" s="59">
        <f t="shared" si="38"/>
        <v>472.37891533957929</v>
      </c>
      <c r="BK57" s="15">
        <f>IF(ISNA(VLOOKUP(A57,'Données projet'!$A$87:$I$107,3,0)),0,VLOOKUP(A57,'Données projet'!$A$87:$I$107,3,0))</f>
        <v>7</v>
      </c>
      <c r="BL57" s="15">
        <f>IF(ISNA(VLOOKUP(A57,'Données projet'!$A$87:$I$107,4,0)),0,VLOOKUP(A57,'Données projet'!$A$87:$I$107,4,0))</f>
        <v>72</v>
      </c>
      <c r="BM57" s="16">
        <f>IF(ISNA(VLOOKUP(A57,'Données projet'!$A$87:$I$107,5,0)),0%,VLOOKUP(A57,'Données projet'!$A$87:$I$107,5,0)*VLOOKUP('Données projet'!$B$11,Paramètres!$A$1:$I$89,7,0))</f>
        <v>0.36000000000000004</v>
      </c>
      <c r="BN57" s="16">
        <f>IF(ISNA(VLOOKUP(A57,'Données projet'!$A$87:$I$107,6,0)),0%,VLOOKUP(A57,'Données projet'!$A$87:$I$107,6,0)*VLOOKUP('Données projet'!$B$11,Paramètres!$A$1:$I$89,7,0))</f>
        <v>4.9500000000000002E-2</v>
      </c>
      <c r="BO57" s="16">
        <f>IF(ISNA(VLOOKUP(A57,'Données projet'!$A$87:$I$107,7,0)),0%,VLOOKUP(A57,'Données projet'!$A$87:$I$107,7,0))</f>
        <v>0.09</v>
      </c>
      <c r="BP57" s="21">
        <f>EXP(-LN(2)/35)*BP56+(1-EXP(-LN(2)/35))/(LN(2)/35)*BL57*BM57*VLOOKUP('Données projet'!$B$11,Paramètres!$A$1:$I$89,3,0)*0.475*44/12</f>
        <v>41.449994751462029</v>
      </c>
      <c r="BQ57" s="21">
        <f>EXP(-LN(2)/25)*BQ56+(1-EXP(-LN(2)/25))/(LN(2)/25)*Calculateur!BL57*Calculateur!BN57*VLOOKUP('Données projet'!$B$11,Paramètres!$A$1:$I$89,3,0)*0.475*44/12</f>
        <v>19.999645968667508</v>
      </c>
      <c r="BR57" s="21">
        <f>EXP(-LN(2)/2)*BR56+(1-EXP(-LN(2)/2))/(LN(2)/2)*BL57*BO57*VLOOKUP('Données projet'!$B$11,Paramètres!$A$1:$I$89,3,0)*0.475*44/12</f>
        <v>5.1362858697981952</v>
      </c>
      <c r="BS57" s="22">
        <f t="shared" si="9"/>
        <v>66.585926589927737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4.7750000000000012</v>
      </c>
      <c r="BY57" s="12">
        <f>IF('Données projet'!$A$114&gt;35,BY56+BX57-CG56,IF(A57&lt;'Données projet'!$A$114,$BV$205^A57,IF(A57='Données projet'!$A$114,'Données projet'!$B$114,BY56+BX57-CG56)))</f>
        <v>112.76000000000008</v>
      </c>
      <c r="BZ57" s="13">
        <f>BY57*VLOOKUP('Données projet'!$B$12,Paramètres!$A$1:$I$89,3,0)*VLOOKUP('Données projet'!$B$12,Paramètres!$A$1:$I$89,5,0)</f>
        <v>65.964600000000047</v>
      </c>
      <c r="CA57" s="13">
        <f t="shared" si="39"/>
        <v>18.667888812094748</v>
      </c>
      <c r="CB57" s="20">
        <f t="shared" si="10"/>
        <v>147.40158468106509</v>
      </c>
      <c r="CC57" s="59">
        <f t="shared" si="11"/>
        <v>405.10595734840444</v>
      </c>
      <c r="CD57" s="59">
        <f ca="1">AVERAGE(OFFSET($CC$3,0,0,'Données projet'!$E$12+1,1))-AVERAGE(OFFSET($H$3,0,0,'Données projet'!$E$12+1,1))</f>
        <v>184.11352167663844</v>
      </c>
      <c r="CE57" s="59">
        <f t="shared" si="40"/>
        <v>145.86653500981791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10.816489134335487</v>
      </c>
      <c r="CL57" s="21">
        <f>EXP(-LN(2)/25)*CL56+(1-EXP(-LN(2)/25))/(LN(2)/25)*Calculateur!CG57*Calculateur!CI57*VLOOKUP('Données projet'!$B$12,Paramètres!$A$1:$I$89,3,0)*0.475*44/12</f>
        <v>10.58792397134664</v>
      </c>
      <c r="CM57" s="21">
        <f>EXP(-LN(2)/2)*CM56+(1-EXP(-LN(2)/2))/(LN(2)/2)*CG57*CJ57*VLOOKUP('Données projet'!$B$12,Paramètres!$A$1:$I$89,3,0)*0.475*44/12</f>
        <v>6.0405693240162011</v>
      </c>
      <c r="CN57" s="22">
        <f t="shared" si="12"/>
        <v>27.444982429698328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8.043000000000001</v>
      </c>
      <c r="CT57" s="12">
        <f>IF('Données projet'!$A$140&gt;35,CT56+CS57-DB56,IF(A57&lt;'Données projet'!$A$140,$CQ$205^A57,IF(A57='Données projet'!$A$140,'Données projet'!$B$140,CT56+CS57-DB56)))</f>
        <v>230.17200000000003</v>
      </c>
      <c r="CU57" s="17">
        <f>CT57*VLOOKUP('Données projet'!$B$13,Paramètres!$A$1:$I$89,3,0)*VLOOKUP('Données projet'!$B$13,Paramètres!$A$1:$I$89,5,0)</f>
        <v>110.71273200000002</v>
      </c>
      <c r="CV57" s="13">
        <f t="shared" si="41"/>
        <v>29.498846618426395</v>
      </c>
      <c r="CW57" s="20">
        <f t="shared" si="13"/>
        <v>244.20183276042599</v>
      </c>
      <c r="CX57" s="59">
        <f t="shared" si="14"/>
        <v>501.90620542776531</v>
      </c>
      <c r="CY57" s="59">
        <f ca="1">AVERAGE(OFFSET($CX$3,0,0,'Données projet'!$E$13+1,1))-AVERAGE(OFFSET($H$3,0,0,'Données projet'!$E$13+1,1))</f>
        <v>303.76035885073708</v>
      </c>
      <c r="CZ57" s="59">
        <f t="shared" si="42"/>
        <v>127.43112562890414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3</v>
      </c>
      <c r="DO57" s="12">
        <f>IF('Données projet'!$A$166&gt;35,DO56+DN57-DW56,IF(A57&lt;'Données projet'!$A$166,$DL$205^A57,IF(A57='Données projet'!$A$166,'Données projet'!$B$166,DO56+DN57-DW56)))</f>
        <v>297.00000000000011</v>
      </c>
      <c r="DP57" s="17">
        <f>DO57*VLOOKUP('Données projet'!$B$14,Paramètres!$A$1:$I$89,3,0)*VLOOKUP('Données projet'!$B$14,Paramètres!$A$1:$I$89,5,0)</f>
        <v>171.42840000000007</v>
      </c>
      <c r="DQ57" s="13">
        <f t="shared" si="43"/>
        <v>43.409781712258457</v>
      </c>
      <c r="DR57" s="20">
        <f t="shared" si="16"/>
        <v>374.17649981551693</v>
      </c>
      <c r="DS57" s="59">
        <f t="shared" si="17"/>
        <v>631.88087248285626</v>
      </c>
      <c r="DT57" s="59">
        <f ca="1">AVERAGE(OFFSET($DS$3,0,0,'Données projet'!$E$14+1,1))-AVERAGE(OFFSET($H$3,0,0,'Données projet'!$E$14+1,1))</f>
        <v>243.65374431792841</v>
      </c>
      <c r="DU57" s="59">
        <f t="shared" si="44"/>
        <v>271.60754570002939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8</v>
      </c>
      <c r="EJ57" s="12">
        <f>IF('Données projet'!$A$192&gt;35,EJ56+EI57-ER56,IF(A57&lt;'Données projet'!$A$192,$EG$205^A57,IF(A57='Données projet'!$A$192,'Données projet'!$B$192,EJ56+EI57-ER56)))</f>
        <v>189.00000000000003</v>
      </c>
      <c r="EK57" s="17">
        <f>EJ57*VLOOKUP('Données projet'!$B$15,Paramètres!$A$1:$I$89,3,0)*VLOOKUP('Données projet'!$B$15,Paramètres!$A$1:$I$89,5,0)</f>
        <v>126.78120000000003</v>
      </c>
      <c r="EL57" s="13">
        <f t="shared" si="45"/>
        <v>33.251507355059708</v>
      </c>
      <c r="EM57" s="20">
        <f t="shared" si="19"/>
        <v>278.723631976729</v>
      </c>
      <c r="EN57" s="59">
        <f t="shared" si="20"/>
        <v>536.42800464406832</v>
      </c>
      <c r="EO57" s="59">
        <f ca="1">AVERAGE(OFFSET($EN$3,0,0,'Données projet'!$E$15+1,1))-AVERAGE(OFFSET($H$3,0,0,'Données projet'!$E$15+1,1))</f>
        <v>321.44781099085594</v>
      </c>
      <c r="EP57" s="59">
        <f t="shared" si="46"/>
        <v>201.22243186578183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4.9196499772334148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4.9196499772334148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4.8</v>
      </c>
      <c r="FE57" s="12">
        <f>IF('Données projet'!$A$218&gt;35,FE56+FD57-FM56,IF(A57&lt;'Données projet'!$A$218,$FB$205^A57,IF(A57='Données projet'!$A$218,'Données projet'!$B$218,FE56+FD57-FM56)))</f>
        <v>180.2</v>
      </c>
      <c r="FF57" s="17">
        <f>FE57*VLOOKUP('Données projet'!$B$16,Paramètres!$A$1:$I$89,3,0)*VLOOKUP('Données projet'!$B$16,Paramètres!$A$1:$I$89,5,0)</f>
        <v>157.42272000000003</v>
      </c>
      <c r="FG57" s="13">
        <f t="shared" si="47"/>
        <v>40.260654441499831</v>
      </c>
      <c r="FH57" s="20">
        <f t="shared" si="22"/>
        <v>344.29854381894557</v>
      </c>
      <c r="FI57" s="59">
        <f t="shared" si="23"/>
        <v>602.0029164862849</v>
      </c>
      <c r="FJ57" s="59">
        <f ca="1">AVERAGE(OFFSET($FI$3,0,0,'Données projet'!$E$16+1,1))-AVERAGE(OFFSET($H$3,0,0,'Données projet'!$E$16+1,1))</f>
        <v>285.8437404763045</v>
      </c>
      <c r="FK57" s="59">
        <f t="shared" si="48"/>
        <v>276.01618888357268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7.2616590638108036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7.2616590638108036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6</v>
      </c>
      <c r="FZ57" s="12">
        <f>IF('Données projet'!$A$244&gt;35,FZ56+FY57-GH56,IF(A57&lt;'Données projet'!$A$244,$FW$205^A57,IF(A57='Données projet'!$A$244,'Données projet'!$B$244,FZ56+FY57-GH56)))</f>
        <v>225.99999999999989</v>
      </c>
      <c r="GA57" s="17">
        <f>FZ57*VLOOKUP('Données projet'!$B$17,Paramètres!$A$1:$I$89,3,0)*VLOOKUP('Données projet'!$B$17,Paramètres!$A$1:$I$89,5,0)</f>
        <v>179.80559999999991</v>
      </c>
      <c r="GB57" s="13">
        <f t="shared" si="49"/>
        <v>45.278933028529984</v>
      </c>
      <c r="GC57" s="20">
        <f t="shared" si="25"/>
        <v>392.02222835802286</v>
      </c>
      <c r="GD57" s="59">
        <f t="shared" si="26"/>
        <v>649.72660102536224</v>
      </c>
      <c r="GE57" s="59">
        <f ca="1">AVERAGE(OFFSET($GD$3,0,0,'Données projet'!$E$17+1,1))-AVERAGE(OFFSET($H$3,0,0,'Données projet'!$E$17+1,1))</f>
        <v>323.01113210765487</v>
      </c>
      <c r="GF57" s="59">
        <f t="shared" si="50"/>
        <v>311.68541696405975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8.5406403857331892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8.5406403857331892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4.8</v>
      </c>
      <c r="GU57" s="12">
        <f>IF('Données projet'!$A$270&gt;35,GU56+GT57-HC56,IF(A57&lt;'Données projet'!$A$270,$GR$205^A57,IF(A57='Données projet'!$A$270,'Données projet'!$B$270,GU56+GT57-HC56)))</f>
        <v>180.2</v>
      </c>
      <c r="GV57" s="17">
        <f>GU57*VLOOKUP('Données projet'!$B$18,Paramètres!$A$1:$I$89,3,0)*VLOOKUP('Données projet'!$B$18,Paramètres!$A$1:$I$89,5,0)</f>
        <v>157.42272000000003</v>
      </c>
      <c r="GW57" s="13">
        <f t="shared" si="51"/>
        <v>40.260654441499831</v>
      </c>
      <c r="GX57" s="20">
        <f t="shared" si="28"/>
        <v>344.29854381894557</v>
      </c>
      <c r="GY57" s="59">
        <f t="shared" si="29"/>
        <v>602.0029164862849</v>
      </c>
      <c r="GZ57" s="59">
        <f ca="1">AVERAGE(OFFSET($GY$3,0,0,'Données projet'!$E$18+1,1))-AVERAGE(OFFSET($H$3,0,0,'Données projet'!$E$18+1,1))</f>
        <v>285.8437404763045</v>
      </c>
      <c r="HA57" s="59">
        <f t="shared" si="52"/>
        <v>276.01618888357268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7.2616590638108036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7.2616590638108036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135</v>
      </c>
      <c r="L58" s="12">
        <f>VLOOKUP(A58,'Données projet'!$A$35:$I$55,9,0)</f>
        <v>5.6</v>
      </c>
      <c r="M58" s="12">
        <f t="array" ref="M58">INDEX(L:L,MIN(IF(ISNUMBER(L58:L254),ROW(L58:L254),"")))</f>
        <v>5.6</v>
      </c>
      <c r="N58" s="13">
        <f>IF('Données projet'!$A$36&gt;35,N57+M58-V57,IF(A58&lt;'Données projet'!$A$36,$K$205^A58,IF(A58='Données projet'!$A$36,'Données projet'!$B$36,N57+M58-V57)))</f>
        <v>134.99999999999994</v>
      </c>
      <c r="O58" s="13">
        <f>N58*VLOOKUP('Données projet'!$B$9,Paramètres!$A$1:$I$89,3,0)*VLOOKUP('Données projet'!$B$9,Paramètres!$A$1:$I$89,5,0)</f>
        <v>122.14799999999995</v>
      </c>
      <c r="P58" s="13">
        <f t="shared" si="33"/>
        <v>32.175466547071615</v>
      </c>
      <c r="Q58" s="20">
        <f t="shared" si="53"/>
        <v>268.780037569483</v>
      </c>
      <c r="R58" s="59">
        <f t="shared" si="0"/>
        <v>527.10249304995432</v>
      </c>
      <c r="S58" s="59">
        <f ca="1">AVERAGE(OFFSET($R$3,0,0,'Données projet'!$E$9+1,1))-AVERAGE(OFFSET($H$3,0,0,'Données projet'!$E$9+1,1))</f>
        <v>315.34103933739129</v>
      </c>
      <c r="T58" s="59">
        <f t="shared" si="34"/>
        <v>165.80901858372513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14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4.7798408191426072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4.7798408191426072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13.14</v>
      </c>
      <c r="AI58" s="13">
        <f>IF('Données projet'!$A$62&gt;35,AI57+AH58-AQ57,IF(A58&lt;'Données projet'!$A$62,$AF$205^A58,IF(A58='Données projet'!$A$62,'Données projet'!$B$62,AI57+AH58-AQ57)))</f>
        <v>370.6399999999997</v>
      </c>
      <c r="AJ58" s="13">
        <f>AI58*VLOOKUP('Données projet'!$B$10,Paramètres!$A$1:$I$89,3,0)*VLOOKUP('Données projet'!$B$10,Paramètres!$A$1:$I$89,5,0)</f>
        <v>221.64271999999983</v>
      </c>
      <c r="AK58" s="13">
        <f t="shared" si="35"/>
        <v>54.471768066609229</v>
      </c>
      <c r="AL58" s="20">
        <f t="shared" si="4"/>
        <v>480.89940004934402</v>
      </c>
      <c r="AM58" s="59">
        <f t="shared" si="5"/>
        <v>739.22185552981546</v>
      </c>
      <c r="AN58" s="59">
        <f ca="1">AVERAGE(OFFSET($AM$3,0,0,'Données projet'!$E$10+1,1))-AVERAGE(OFFSET($H$3,0,0,'Données projet'!$E$10+1,1))</f>
        <v>317.328615425664</v>
      </c>
      <c r="AO58" s="59">
        <f t="shared" si="36"/>
        <v>324.95872842255744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56.221295558256621</v>
      </c>
      <c r="AV58" s="21">
        <f>EXP(-LN(2)/25)*AV57+(1-EXP(-LN(2)/25))/(LN(2)/25)*Calculateur!AQ58*Calculateur!AS58*VLOOKUP('Données projet'!$B$10,Paramètres!$A$1:$I$89,3,0)*0.475*44/12</f>
        <v>19.266650486220001</v>
      </c>
      <c r="AW58" s="21">
        <f>EXP(-LN(2)/2)*AW57+(1-EXP(-LN(2)/2))/(LN(2)/2)*AQ58*AT58*VLOOKUP('Données projet'!$B$10,Paramètres!$A$1:$I$89,3,0)*0.475*44/12</f>
        <v>1.743027994486785</v>
      </c>
      <c r="AX58" s="21">
        <f t="shared" si="6"/>
        <v>77.230974038963396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10.184000000000003</v>
      </c>
      <c r="BD58" s="12">
        <f>IF('Données projet'!$A$88&gt;35,BD57+BC58-BL57,IF(A58&lt;'Données projet'!$A$88,$BA$205^A58,IF(A58='Données projet'!$A$88,'Données projet'!$B$88,BD57+BC58-BL57)))</f>
        <v>253.00399999999985</v>
      </c>
      <c r="BE58" s="13">
        <f>BD58*VLOOKUP('Données projet'!$B$11,Paramètres!$A$1:$I$89,3,0)*VLOOKUP('Données projet'!$B$11,Paramètres!$A$1:$I$89,5,0)</f>
        <v>291.46060799999981</v>
      </c>
      <c r="BF58" s="13">
        <f t="shared" si="37"/>
        <v>69.383281319571083</v>
      </c>
      <c r="BG58" s="20">
        <f t="shared" si="7"/>
        <v>628.46977389825258</v>
      </c>
      <c r="BH58" s="59">
        <f t="shared" si="8"/>
        <v>886.79222937872396</v>
      </c>
      <c r="BI58" s="59">
        <f ca="1">AVERAGE(OFFSET($BH$3,0,0,'Données projet'!$E$11+1,1))-AVERAGE(OFFSET($H$3,0,0,'Données projet'!$E$11+1,1))</f>
        <v>418.31716673276725</v>
      </c>
      <c r="BJ58" s="59">
        <f t="shared" si="38"/>
        <v>472.37891533957929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40.637185636386263</v>
      </c>
      <c r="BQ58" s="21">
        <f>EXP(-LN(2)/25)*BQ57+(1-EXP(-LN(2)/25))/(LN(2)/25)*Calculateur!BL58*Calculateur!BN58*VLOOKUP('Données projet'!$B$11,Paramètres!$A$1:$I$89,3,0)*0.475*44/12</f>
        <v>19.452754597918624</v>
      </c>
      <c r="BR58" s="21">
        <f>EXP(-LN(2)/2)*BR57+(1-EXP(-LN(2)/2))/(LN(2)/2)*BL58*BO58*VLOOKUP('Données projet'!$B$11,Paramètres!$A$1:$I$89,3,0)*0.475*44/12</f>
        <v>3.6319025686469488</v>
      </c>
      <c r="BS58" s="22">
        <f t="shared" si="9"/>
        <v>63.721842802951841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4.7750000000000012</v>
      </c>
      <c r="BY58" s="12">
        <f>IF('Données projet'!$A$114&gt;35,BY57+BX58-CG57,IF(A58&lt;'Données projet'!$A$114,$BV$205^A58,IF(A58='Données projet'!$A$114,'Données projet'!$B$114,BY57+BX58-CG57)))</f>
        <v>117.53500000000008</v>
      </c>
      <c r="BZ58" s="13">
        <f>BY58*VLOOKUP('Données projet'!$B$12,Paramètres!$A$1:$I$89,3,0)*VLOOKUP('Données projet'!$B$12,Paramètres!$A$1:$I$89,5,0)</f>
        <v>68.757975000000059</v>
      </c>
      <c r="CA58" s="13">
        <f t="shared" si="39"/>
        <v>19.364698355710502</v>
      </c>
      <c r="CB58" s="20">
        <f t="shared" si="10"/>
        <v>153.48032276119591</v>
      </c>
      <c r="CC58" s="59">
        <f t="shared" si="11"/>
        <v>411.80277824166728</v>
      </c>
      <c r="CD58" s="59">
        <f ca="1">AVERAGE(OFFSET($CC$3,0,0,'Données projet'!$E$12+1,1))-AVERAGE(OFFSET($H$3,0,0,'Données projet'!$E$12+1,1))</f>
        <v>184.11352167663844</v>
      </c>
      <c r="CE58" s="59">
        <f t="shared" si="40"/>
        <v>145.86653500981791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10.6043843798181</v>
      </c>
      <c r="CL58" s="21">
        <f>EXP(-LN(2)/25)*CL57+(1-EXP(-LN(2)/25))/(LN(2)/25)*Calculateur!CG58*Calculateur!CI58*VLOOKUP('Données projet'!$B$12,Paramètres!$A$1:$I$89,3,0)*0.475*44/12</f>
        <v>10.298396633555443</v>
      </c>
      <c r="CM58" s="21">
        <f>EXP(-LN(2)/2)*CM57+(1-EXP(-LN(2)/2))/(LN(2)/2)*CG58*CJ58*VLOOKUP('Données projet'!$B$12,Paramètres!$A$1:$I$89,3,0)*0.475*44/12</f>
        <v>4.2713275312392955</v>
      </c>
      <c r="CN58" s="22">
        <f t="shared" si="12"/>
        <v>25.174108544612835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8.043000000000001</v>
      </c>
      <c r="CT58" s="12">
        <f>IF('Données projet'!$A$140&gt;35,CT57+CS58-DB57,IF(A58&lt;'Données projet'!$A$140,$CQ$205^A58,IF(A58='Données projet'!$A$140,'Données projet'!$B$140,CT57+CS58-DB57)))</f>
        <v>238.21500000000003</v>
      </c>
      <c r="CU58" s="17">
        <f>CT58*VLOOKUP('Données projet'!$B$13,Paramètres!$A$1:$I$89,3,0)*VLOOKUP('Données projet'!$B$13,Paramètres!$A$1:$I$89,5,0)</f>
        <v>114.58141500000002</v>
      </c>
      <c r="CV58" s="13">
        <f t="shared" si="41"/>
        <v>30.407824871434755</v>
      </c>
      <c r="CW58" s="20">
        <f t="shared" si="13"/>
        <v>252.52292610941558</v>
      </c>
      <c r="CX58" s="59">
        <f t="shared" si="14"/>
        <v>510.84538158988698</v>
      </c>
      <c r="CY58" s="59">
        <f ca="1">AVERAGE(OFFSET($CX$3,0,0,'Données projet'!$E$13+1,1))-AVERAGE(OFFSET($H$3,0,0,'Données projet'!$E$13+1,1))</f>
        <v>303.76035885073708</v>
      </c>
      <c r="CZ58" s="59">
        <f t="shared" si="42"/>
        <v>127.43112562890414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300</v>
      </c>
      <c r="DM58" s="12">
        <f>VLOOKUP(A58,'Données projet'!$A$165:$I$185,9,0)</f>
        <v>3</v>
      </c>
      <c r="DN58" s="12">
        <f t="array" ref="DN58">INDEX(DM:DM,MIN(IF(ISNUMBER(DM58:DM254),ROW(DM58:DM254),"")))</f>
        <v>3</v>
      </c>
      <c r="DO58" s="12">
        <f>IF('Données projet'!$A$166&gt;35,DO57+DN58-DW57,IF(A58&lt;'Données projet'!$A$166,$DL$205^A58,IF(A58='Données projet'!$A$166,'Données projet'!$B$166,DO57+DN58-DW57)))</f>
        <v>300.00000000000011</v>
      </c>
      <c r="DP58" s="17">
        <f>DO58*VLOOKUP('Données projet'!$B$14,Paramètres!$A$1:$I$89,3,0)*VLOOKUP('Données projet'!$B$14,Paramètres!$A$1:$I$89,5,0)</f>
        <v>173.16000000000008</v>
      </c>
      <c r="DQ58" s="13">
        <f t="shared" si="43"/>
        <v>43.796998058051557</v>
      </c>
      <c r="DR58" s="20">
        <f t="shared" si="16"/>
        <v>377.86677161777317</v>
      </c>
      <c r="DS58" s="59">
        <f t="shared" si="17"/>
        <v>636.1892270982446</v>
      </c>
      <c r="DT58" s="59">
        <f ca="1">AVERAGE(OFFSET($DS$3,0,0,'Données projet'!$E$14+1,1))-AVERAGE(OFFSET($H$3,0,0,'Données projet'!$E$14+1,1))</f>
        <v>243.65374431792841</v>
      </c>
      <c r="DU58" s="59">
        <f t="shared" si="44"/>
        <v>271.60754570002939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0.24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197</v>
      </c>
      <c r="EH58" s="12">
        <f>VLOOKUP(A58,'Données projet'!$A$191:$I$211,9,0)</f>
        <v>8</v>
      </c>
      <c r="EI58" s="12">
        <f t="array" ref="EI58">INDEX(EH:EH,MIN(IF(ISNUMBER(EH58:EH254),ROW(EH58:EH254),"")))</f>
        <v>8</v>
      </c>
      <c r="EJ58" s="12">
        <f>IF('Données projet'!$A$192&gt;35,EJ57+EI58-ER57,IF(A58&lt;'Données projet'!$A$192,$EG$205^A58,IF(A58='Données projet'!$A$192,'Données projet'!$B$192,EJ57+EI58-ER57)))</f>
        <v>197.00000000000003</v>
      </c>
      <c r="EK58" s="17">
        <f>EJ58*VLOOKUP('Données projet'!$B$15,Paramètres!$A$1:$I$89,3,0)*VLOOKUP('Données projet'!$B$15,Paramètres!$A$1:$I$89,5,0)</f>
        <v>132.14760000000001</v>
      </c>
      <c r="EL58" s="13">
        <f t="shared" si="45"/>
        <v>34.492132421153386</v>
      </c>
      <c r="EM58" s="20">
        <f t="shared" si="19"/>
        <v>290.23086730017548</v>
      </c>
      <c r="EN58" s="59">
        <f t="shared" si="20"/>
        <v>548.55332278064679</v>
      </c>
      <c r="EO58" s="59">
        <f ca="1">AVERAGE(OFFSET($EN$3,0,0,'Données projet'!$E$15+1,1))-AVERAGE(OFFSET($H$3,0,0,'Données projet'!$E$15+1,1))</f>
        <v>321.44781099085594</v>
      </c>
      <c r="EP58" s="59">
        <f t="shared" si="46"/>
        <v>201.22243186578183</v>
      </c>
      <c r="EQ58" s="15">
        <f>IF(ISNA(VLOOKUP(A58,'Données projet'!$A$191:$I$211,3,0)),0,VLOOKUP(A58,'Données projet'!$A$191:$I$211,3,0))</f>
        <v>8</v>
      </c>
      <c r="ER58" s="15">
        <f>IF(ISNA(VLOOKUP(A58,'Données projet'!$A$191:$I$211,4,0)),0,VLOOKUP(A58,'Données projet'!$A$191:$I$211,4,0))</f>
        <v>21</v>
      </c>
      <c r="ES58" s="16">
        <f>IF(ISNA(VLOOKUP(A58,'Données projet'!$A$191:$I$211,5,0)),0%,VLOOKUP(A58,'Données projet'!$A$191:$I$211,5,0)*VLOOKUP('Données projet'!$B$15,Paramètres!$A$1:$I$89,7,0))</f>
        <v>0.159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7.2992125245124164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7.2992125245124164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185</v>
      </c>
      <c r="FC58" s="12">
        <f>VLOOKUP(A58,'Données projet'!$A$217:$I$237,9,0)</f>
        <v>4.8</v>
      </c>
      <c r="FD58" s="12">
        <f t="array" ref="FD58">INDEX(FC:FC,MIN(IF(ISNUMBER(FC58:FC254),ROW(FC58:FC254),"")))</f>
        <v>4.8</v>
      </c>
      <c r="FE58" s="12">
        <f>IF('Données projet'!$A$218&gt;35,FE57+FD58-FM57,IF(A58&lt;'Données projet'!$A$218,$FB$205^A58,IF(A58='Données projet'!$A$218,'Données projet'!$B$218,FE57+FD58-FM57)))</f>
        <v>185</v>
      </c>
      <c r="FF58" s="17">
        <f>FE58*VLOOKUP('Données projet'!$B$16,Paramètres!$A$1:$I$89,3,0)*VLOOKUP('Données projet'!$B$16,Paramètres!$A$1:$I$89,5,0)</f>
        <v>161.61600000000001</v>
      </c>
      <c r="FG58" s="13">
        <f t="shared" si="47"/>
        <v>41.20679526204917</v>
      </c>
      <c r="FH58" s="20">
        <f t="shared" si="22"/>
        <v>353.24970174806896</v>
      </c>
      <c r="FI58" s="59">
        <f t="shared" si="23"/>
        <v>611.57215722854039</v>
      </c>
      <c r="FJ58" s="59">
        <f ca="1">AVERAGE(OFFSET($FI$3,0,0,'Données projet'!$E$16+1,1))-AVERAGE(OFFSET($H$3,0,0,'Données projet'!$E$16+1,1))</f>
        <v>285.8437404763045</v>
      </c>
      <c r="FK58" s="59">
        <f t="shared" si="48"/>
        <v>276.01618888357268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11</v>
      </c>
      <c r="FN58" s="16">
        <f>IF(ISNA(VLOOKUP(A58,'Données projet'!$A$217:$I$237,5,0)),0%,VLOOKUP(A58,'Données projet'!$A$217:$I$237,5,0)*VLOOKUP('Données projet'!$B$16,Paramètres!$A$1:$I$89,7,0))</f>
        <v>0.21200000000000002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9.3713655284860433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9.3713655284860433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232</v>
      </c>
      <c r="FX58" s="12">
        <f>VLOOKUP(A58,'Données projet'!$A$243:$I$263,9,0)</f>
        <v>6</v>
      </c>
      <c r="FY58" s="12">
        <f t="array" ref="FY58">INDEX(FX:FX,MIN(IF(ISNUMBER(FX58:FX254),ROW(FX58:FX254),"")))</f>
        <v>6</v>
      </c>
      <c r="FZ58" s="12">
        <f>IF('Données projet'!$A$244&gt;35,FZ57+FY58-GH57,IF(A58&lt;'Données projet'!$A$244,$FW$205^A58,IF(A58='Données projet'!$A$244,'Données projet'!$B$244,FZ57+FY58-GH57)))</f>
        <v>231.99999999999989</v>
      </c>
      <c r="GA58" s="17">
        <f>FZ58*VLOOKUP('Données projet'!$B$17,Paramètres!$A$1:$I$89,3,0)*VLOOKUP('Données projet'!$B$17,Paramètres!$A$1:$I$89,5,0)</f>
        <v>184.57919999999993</v>
      </c>
      <c r="GB58" s="13">
        <f t="shared" si="49"/>
        <v>46.339479465836618</v>
      </c>
      <c r="GC58" s="20">
        <f t="shared" si="25"/>
        <v>402.18336673633195</v>
      </c>
      <c r="GD58" s="59">
        <f t="shared" si="26"/>
        <v>660.50582221680338</v>
      </c>
      <c r="GE58" s="59">
        <f ca="1">AVERAGE(OFFSET($GD$3,0,0,'Données projet'!$E$17+1,1))-AVERAGE(OFFSET($H$3,0,0,'Données projet'!$E$17+1,1))</f>
        <v>323.01113210765487</v>
      </c>
      <c r="GF58" s="59">
        <f t="shared" si="50"/>
        <v>311.68541696405975</v>
      </c>
      <c r="GG58" s="15">
        <f>IF(ISNA(VLOOKUP(A58,'Données projet'!$A$243:$I$263,3,0)),0,VLOOKUP(A58,'Données projet'!$A$243:$I$263,3,0))</f>
        <v>9</v>
      </c>
      <c r="GH58" s="15">
        <f>IF(ISNA(VLOOKUP(A58,'Données projet'!$A$243:$I$263,4,0)),0,VLOOKUP(A58,'Données projet'!$A$243:$I$263,4,0))</f>
        <v>13</v>
      </c>
      <c r="GI58" s="16">
        <f>IF(ISNA(VLOOKUP(A58,'Données projet'!$A$243:$I$263,5,0)),0%,VLOOKUP(A58,'Données projet'!$A$243:$I$263,5,0)*VLOOKUP('Données projet'!$B$17,Paramètres!$A$1:$I$89,7,0))</f>
        <v>0.21200000000000002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10.797099353829104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10.797099353829104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185</v>
      </c>
      <c r="GS58" s="12">
        <f>VLOOKUP(A58,'Données projet'!$A$269:$I$289,9,0)</f>
        <v>4.8</v>
      </c>
      <c r="GT58" s="12">
        <f t="array" ref="GT58">INDEX(GS:GS,MIN(IF(ISNUMBER(GS58:GS254),ROW(GS58:GS254),"")))</f>
        <v>4.8</v>
      </c>
      <c r="GU58" s="12">
        <f>IF('Données projet'!$A$270&gt;35,GU57+GT58-HC57,IF(A58&lt;'Données projet'!$A$270,$GR$205^A58,IF(A58='Données projet'!$A$270,'Données projet'!$B$270,GU57+GT58-HC57)))</f>
        <v>185</v>
      </c>
      <c r="GV58" s="17">
        <f>GU58*VLOOKUP('Données projet'!$B$18,Paramètres!$A$1:$I$89,3,0)*VLOOKUP('Données projet'!$B$18,Paramètres!$A$1:$I$89,5,0)</f>
        <v>161.61600000000001</v>
      </c>
      <c r="GW58" s="13">
        <f t="shared" si="51"/>
        <v>41.20679526204917</v>
      </c>
      <c r="GX58" s="20">
        <f t="shared" si="28"/>
        <v>353.24970174806896</v>
      </c>
      <c r="GY58" s="59">
        <f t="shared" si="29"/>
        <v>611.57215722854039</v>
      </c>
      <c r="GZ58" s="59">
        <f ca="1">AVERAGE(OFFSET($GY$3,0,0,'Données projet'!$E$18+1,1))-AVERAGE(OFFSET($H$3,0,0,'Données projet'!$E$18+1,1))</f>
        <v>285.8437404763045</v>
      </c>
      <c r="HA58" s="59">
        <f t="shared" si="52"/>
        <v>276.01618888357268</v>
      </c>
      <c r="HB58" s="15">
        <f>IF(ISNA(VLOOKUP(A58,'Données projet'!$A$269:$I$289,3,0)),0,VLOOKUP(A58,'Données projet'!$A$269:$I$289,3,0))</f>
        <v>9</v>
      </c>
      <c r="HC58" s="15">
        <f>IF(ISNA(VLOOKUP(A58,'Données projet'!$A$269:$I$289,4,0)),0,VLOOKUP(A58,'Données projet'!$A$269:$I$289,4,0))</f>
        <v>11</v>
      </c>
      <c r="HD58" s="16">
        <f>IF(ISNA(VLOOKUP(A58,'Données projet'!$A$269:$I$289,5,0)),0%,VLOOKUP(A58,'Données projet'!$A$269:$I$289,5,0)*VLOOKUP('Données projet'!$B$18,Paramètres!$A$1:$I$89,7,0))</f>
        <v>0.21200000000000002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9.3713655284860433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9.3713655284860433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5.4</v>
      </c>
      <c r="N59" s="13">
        <f>IF('Données projet'!$A$36&gt;35,N58+M59-V58,IF(A59&lt;'Données projet'!$A$36,$K$205^A59,IF(A59='Données projet'!$A$36,'Données projet'!$B$36,N58+M59-V58)))</f>
        <v>126.39999999999995</v>
      </c>
      <c r="O59" s="13">
        <f>N59*VLOOKUP('Données projet'!$B$9,Paramètres!$A$1:$I$89,3,0)*VLOOKUP('Données projet'!$B$9,Paramètres!$A$1:$I$89,5,0)</f>
        <v>114.36671999999996</v>
      </c>
      <c r="P59" s="13">
        <f t="shared" si="33"/>
        <v>30.357475250812541</v>
      </c>
      <c r="Q59" s="20">
        <f t="shared" si="53"/>
        <v>252.06130672849841</v>
      </c>
      <c r="R59" s="59">
        <f t="shared" si="0"/>
        <v>510.99112266712018</v>
      </c>
      <c r="S59" s="59">
        <f ca="1">AVERAGE(OFFSET($R$3,0,0,'Données projet'!$E$9+1,1))-AVERAGE(OFFSET($H$3,0,0,'Données projet'!$E$9+1,1))</f>
        <v>315.34103933739129</v>
      </c>
      <c r="T59" s="59">
        <f t="shared" si="34"/>
        <v>165.80901858372513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4.6861110560942469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4.6861110560942469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13.14</v>
      </c>
      <c r="AI59" s="13">
        <f>IF('Données projet'!$A$62&gt;35,AI58+AH59-AQ58,IF(A59&lt;'Données projet'!$A$62,$AF$205^A59,IF(A59='Données projet'!$A$62,'Données projet'!$B$62,AI58+AH59-AQ58)))</f>
        <v>383.77999999999969</v>
      </c>
      <c r="AJ59" s="13">
        <f>AI59*VLOOKUP('Données projet'!$B$10,Paramètres!$A$1:$I$89,3,0)*VLOOKUP('Données projet'!$B$10,Paramètres!$A$1:$I$89,5,0)</f>
        <v>229.50043999999983</v>
      </c>
      <c r="AK59" s="13">
        <f t="shared" si="35"/>
        <v>56.174651313961498</v>
      </c>
      <c r="AL59" s="20">
        <f t="shared" si="4"/>
        <v>497.55078403848262</v>
      </c>
      <c r="AM59" s="59">
        <f t="shared" si="5"/>
        <v>756.48059997710436</v>
      </c>
      <c r="AN59" s="59">
        <f ca="1">AVERAGE(OFFSET($AM$3,0,0,'Données projet'!$E$10+1,1))-AVERAGE(OFFSET($H$3,0,0,'Données projet'!$E$10+1,1))</f>
        <v>317.328615425664</v>
      </c>
      <c r="AO59" s="59">
        <f t="shared" si="36"/>
        <v>324.95872842255744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55.118830243963487</v>
      </c>
      <c r="AV59" s="21">
        <f>EXP(-LN(2)/25)*AV58+(1-EXP(-LN(2)/25))/(LN(2)/25)*Calculateur!AQ59*Calculateur!AS59*VLOOKUP('Données projet'!$B$10,Paramètres!$A$1:$I$89,3,0)*0.475*44/12</f>
        <v>18.7398029154852</v>
      </c>
      <c r="AW59" s="21">
        <f>EXP(-LN(2)/2)*AW58+(1-EXP(-LN(2)/2))/(LN(2)/2)*AQ59*AT59*VLOOKUP('Données projet'!$B$10,Paramètres!$A$1:$I$89,3,0)*0.475*44/12</f>
        <v>1.2325069146995939</v>
      </c>
      <c r="AX59" s="21">
        <f t="shared" si="6"/>
        <v>75.091140074148285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10.184000000000003</v>
      </c>
      <c r="BD59" s="12">
        <f>IF('Données projet'!$A$88&gt;35,BD58+BC59-BL58,IF(A59&lt;'Données projet'!$A$88,$BA$205^A59,IF(A59='Données projet'!$A$88,'Données projet'!$B$88,BD58+BC59-BL58)))</f>
        <v>263.18799999999987</v>
      </c>
      <c r="BE59" s="13">
        <f>BD59*VLOOKUP('Données projet'!$B$11,Paramètres!$A$1:$I$89,3,0)*VLOOKUP('Données projet'!$B$11,Paramètres!$A$1:$I$89,5,0)</f>
        <v>303.1925759999998</v>
      </c>
      <c r="BF59" s="13">
        <f t="shared" si="37"/>
        <v>71.845337136775356</v>
      </c>
      <c r="BG59" s="20">
        <f t="shared" si="7"/>
        <v>653.19103204655005</v>
      </c>
      <c r="BH59" s="59">
        <f t="shared" si="8"/>
        <v>912.12084798517185</v>
      </c>
      <c r="BI59" s="59">
        <f ca="1">AVERAGE(OFFSET($BH$3,0,0,'Données projet'!$E$11+1,1))-AVERAGE(OFFSET($H$3,0,0,'Données projet'!$E$11+1,1))</f>
        <v>418.31716673276725</v>
      </c>
      <c r="BJ59" s="59">
        <f t="shared" si="38"/>
        <v>472.37891533957929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39.840315212292531</v>
      </c>
      <c r="BQ59" s="21">
        <f>EXP(-LN(2)/25)*BQ58+(1-EXP(-LN(2)/25))/(LN(2)/25)*Calculateur!BL59*Calculateur!BN59*VLOOKUP('Données projet'!$B$11,Paramètres!$A$1:$I$89,3,0)*0.475*44/12</f>
        <v>18.920818000462635</v>
      </c>
      <c r="BR59" s="21">
        <f>EXP(-LN(2)/2)*BR58+(1-EXP(-LN(2)/2))/(LN(2)/2)*BL59*BO59*VLOOKUP('Données projet'!$B$11,Paramètres!$A$1:$I$89,3,0)*0.475*44/12</f>
        <v>2.5681429348990981</v>
      </c>
      <c r="BS59" s="22">
        <f t="shared" si="9"/>
        <v>61.329276147654269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4.7750000000000012</v>
      </c>
      <c r="BY59" s="12">
        <f>IF('Données projet'!$A$114&gt;35,BY58+BX59-CG58,IF(A59&lt;'Données projet'!$A$114,$BV$205^A59,IF(A59='Données projet'!$A$114,'Données projet'!$B$114,BY58+BX59-CG58)))</f>
        <v>122.31000000000009</v>
      </c>
      <c r="BZ59" s="13">
        <f>BY59*VLOOKUP('Données projet'!$B$12,Paramètres!$A$1:$I$89,3,0)*VLOOKUP('Données projet'!$B$12,Paramètres!$A$1:$I$89,5,0)</f>
        <v>71.551350000000056</v>
      </c>
      <c r="CA59" s="13">
        <f t="shared" si="39"/>
        <v>20.05821958773338</v>
      </c>
      <c r="CB59" s="20">
        <f t="shared" si="10"/>
        <v>159.55333369863573</v>
      </c>
      <c r="CC59" s="59">
        <f t="shared" si="11"/>
        <v>418.4831496372575</v>
      </c>
      <c r="CD59" s="59">
        <f ca="1">AVERAGE(OFFSET($CC$3,0,0,'Données projet'!$E$12+1,1))-AVERAGE(OFFSET($H$3,0,0,'Données projet'!$E$12+1,1))</f>
        <v>184.11352167663844</v>
      </c>
      <c r="CE59" s="59">
        <f t="shared" si="40"/>
        <v>145.86653500981791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10.396438870165673</v>
      </c>
      <c r="CL59" s="21">
        <f>EXP(-LN(2)/25)*CL58+(1-EXP(-LN(2)/25))/(LN(2)/25)*Calculateur!CG59*Calculateur!CI59*VLOOKUP('Données projet'!$B$12,Paramètres!$A$1:$I$89,3,0)*0.475*44/12</f>
        <v>10.016786436041729</v>
      </c>
      <c r="CM59" s="21">
        <f>EXP(-LN(2)/2)*CM58+(1-EXP(-LN(2)/2))/(LN(2)/2)*CG59*CJ59*VLOOKUP('Données projet'!$B$12,Paramètres!$A$1:$I$89,3,0)*0.475*44/12</f>
        <v>3.020284662008101</v>
      </c>
      <c r="CN59" s="22">
        <f t="shared" si="12"/>
        <v>23.433509968215503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8.043000000000001</v>
      </c>
      <c r="CT59" s="12">
        <f>IF('Données projet'!$A$140&gt;35,CT58+CS59-DB58,IF(A59&lt;'Données projet'!$A$140,$CQ$205^A59,IF(A59='Données projet'!$A$140,'Données projet'!$B$140,CT58+CS59-DB58)))</f>
        <v>246.25800000000004</v>
      </c>
      <c r="CU59" s="17">
        <f>CT59*VLOOKUP('Données projet'!$B$13,Paramètres!$A$1:$I$89,3,0)*VLOOKUP('Données projet'!$B$13,Paramètres!$A$1:$I$89,5,0)</f>
        <v>118.45009800000003</v>
      </c>
      <c r="CV59" s="13">
        <f t="shared" si="41"/>
        <v>31.313237057529928</v>
      </c>
      <c r="CW59" s="20">
        <f t="shared" si="13"/>
        <v>260.83780855853132</v>
      </c>
      <c r="CX59" s="59">
        <f t="shared" si="14"/>
        <v>519.76762449715307</v>
      </c>
      <c r="CY59" s="59">
        <f ca="1">AVERAGE(OFFSET($CX$3,0,0,'Données projet'!$E$13+1,1))-AVERAGE(OFFSET($H$3,0,0,'Données projet'!$E$13+1,1))</f>
        <v>303.76035885073708</v>
      </c>
      <c r="CZ59" s="59">
        <f t="shared" si="42"/>
        <v>127.43112562890414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2.2000000000000002</v>
      </c>
      <c r="DO59" s="12">
        <f>IF('Données projet'!$A$166&gt;35,DO58+DN59-DW58,IF(A59&lt;'Données projet'!$A$166,$DL$205^A59,IF(A59='Données projet'!$A$166,'Données projet'!$B$166,DO58+DN59-DW58)))</f>
        <v>302.2000000000001</v>
      </c>
      <c r="DP59" s="17">
        <f>DO59*VLOOKUP('Données projet'!$B$14,Paramètres!$A$1:$I$89,3,0)*VLOOKUP('Données projet'!$B$14,Paramètres!$A$1:$I$89,5,0)</f>
        <v>174.42984000000007</v>
      </c>
      <c r="DQ59" s="13">
        <f t="shared" si="43"/>
        <v>44.080670132736849</v>
      </c>
      <c r="DR59" s="20">
        <f t="shared" si="16"/>
        <v>380.5724718145168</v>
      </c>
      <c r="DS59" s="59">
        <f t="shared" si="17"/>
        <v>639.50228775313849</v>
      </c>
      <c r="DT59" s="59">
        <f ca="1">AVERAGE(OFFSET($DS$3,0,0,'Données projet'!$E$14+1,1))-AVERAGE(OFFSET($H$3,0,0,'Données projet'!$E$14+1,1))</f>
        <v>243.65374431792841</v>
      </c>
      <c r="DU59" s="59">
        <f t="shared" si="44"/>
        <v>271.60754570002939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7.6</v>
      </c>
      <c r="EJ59" s="12">
        <f>IF('Données projet'!$A$192&gt;35,EJ58+EI59-ER58,IF(A59&lt;'Données projet'!$A$192,$EG$205^A59,IF(A59='Données projet'!$A$192,'Données projet'!$B$192,EJ58+EI59-ER58)))</f>
        <v>183.60000000000002</v>
      </c>
      <c r="EK59" s="17">
        <f>EJ59*VLOOKUP('Données projet'!$B$15,Paramètres!$A$1:$I$89,3,0)*VLOOKUP('Données projet'!$B$15,Paramètres!$A$1:$I$89,5,0)</f>
        <v>123.15888000000001</v>
      </c>
      <c r="EL59" s="13">
        <f t="shared" si="45"/>
        <v>32.410638331814873</v>
      </c>
      <c r="EM59" s="20">
        <f t="shared" si="19"/>
        <v>270.95024442791089</v>
      </c>
      <c r="EN59" s="59">
        <f t="shared" si="20"/>
        <v>529.88006036653269</v>
      </c>
      <c r="EO59" s="59">
        <f ca="1">AVERAGE(OFFSET($EN$3,0,0,'Données projet'!$E$15+1,1))-AVERAGE(OFFSET($H$3,0,0,'Données projet'!$E$15+1,1))</f>
        <v>321.44781099085594</v>
      </c>
      <c r="EP59" s="59">
        <f t="shared" si="46"/>
        <v>201.22243186578183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7.1560794189867618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7.1560794189867618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4</v>
      </c>
      <c r="FE59" s="12">
        <f>IF('Données projet'!$A$218&gt;35,FE58+FD59-FM58,IF(A59&lt;'Données projet'!$A$218,$FB$205^A59,IF(A59='Données projet'!$A$218,'Données projet'!$B$218,FE58+FD59-FM58)))</f>
        <v>178</v>
      </c>
      <c r="FF59" s="17">
        <f>FE59*VLOOKUP('Données projet'!$B$16,Paramètres!$A$1:$I$89,3,0)*VLOOKUP('Données projet'!$B$16,Paramètres!$A$1:$I$89,5,0)</f>
        <v>155.50080000000003</v>
      </c>
      <c r="FG59" s="13">
        <f t="shared" si="47"/>
        <v>39.826029828200333</v>
      </c>
      <c r="FH59" s="20">
        <f t="shared" si="22"/>
        <v>340.19422861744891</v>
      </c>
      <c r="FI59" s="59">
        <f t="shared" si="23"/>
        <v>599.12404455607066</v>
      </c>
      <c r="FJ59" s="59">
        <f ca="1">AVERAGE(OFFSET($FI$3,0,0,'Données projet'!$E$16+1,1))-AVERAGE(OFFSET($H$3,0,0,'Données projet'!$E$16+1,1))</f>
        <v>285.8437404763045</v>
      </c>
      <c r="FK59" s="59">
        <f t="shared" si="48"/>
        <v>276.01618888357268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9.187598766440999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9.187598766440999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5.2</v>
      </c>
      <c r="FZ59" s="12">
        <f>IF('Données projet'!$A$244&gt;35,FZ58+FY59-GH58,IF(A59&lt;'Données projet'!$A$244,$FW$205^A59,IF(A59='Données projet'!$A$244,'Données projet'!$B$244,FZ58+FY59-GH58)))</f>
        <v>224.19999999999987</v>
      </c>
      <c r="GA59" s="17">
        <f>FZ59*VLOOKUP('Données projet'!$B$17,Paramètres!$A$1:$I$89,3,0)*VLOOKUP('Données projet'!$B$17,Paramètres!$A$1:$I$89,5,0)</f>
        <v>178.37351999999993</v>
      </c>
      <c r="GB59" s="13">
        <f t="shared" si="49"/>
        <v>44.960133388294842</v>
      </c>
      <c r="GC59" s="20">
        <f t="shared" si="25"/>
        <v>388.97277965128006</v>
      </c>
      <c r="GD59" s="59">
        <f t="shared" si="26"/>
        <v>647.90259558990181</v>
      </c>
      <c r="GE59" s="59">
        <f ca="1">AVERAGE(OFFSET($GD$3,0,0,'Données projet'!$E$17+1,1))-AVERAGE(OFFSET($H$3,0,0,'Données projet'!$E$17+1,1))</f>
        <v>323.01113210765487</v>
      </c>
      <c r="GF59" s="59">
        <f t="shared" si="50"/>
        <v>311.68541696405975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10.585374821080849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10.585374821080849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4</v>
      </c>
      <c r="GU59" s="12">
        <f>IF('Données projet'!$A$270&gt;35,GU58+GT59-HC58,IF(A59&lt;'Données projet'!$A$270,$GR$205^A59,IF(A59='Données projet'!$A$270,'Données projet'!$B$270,GU58+GT59-HC58)))</f>
        <v>178</v>
      </c>
      <c r="GV59" s="17">
        <f>GU59*VLOOKUP('Données projet'!$B$18,Paramètres!$A$1:$I$89,3,0)*VLOOKUP('Données projet'!$B$18,Paramètres!$A$1:$I$89,5,0)</f>
        <v>155.50080000000003</v>
      </c>
      <c r="GW59" s="13">
        <f t="shared" si="51"/>
        <v>39.826029828200333</v>
      </c>
      <c r="GX59" s="20">
        <f t="shared" si="28"/>
        <v>340.19422861744891</v>
      </c>
      <c r="GY59" s="59">
        <f t="shared" si="29"/>
        <v>599.12404455607066</v>
      </c>
      <c r="GZ59" s="59">
        <f ca="1">AVERAGE(OFFSET($GY$3,0,0,'Données projet'!$E$18+1,1))-AVERAGE(OFFSET($H$3,0,0,'Données projet'!$E$18+1,1))</f>
        <v>285.8437404763045</v>
      </c>
      <c r="HA59" s="59">
        <f t="shared" si="52"/>
        <v>276.01618888357268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9.187598766440999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9.187598766440999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5.4</v>
      </c>
      <c r="N60" s="13">
        <f>IF('Données projet'!$A$36&gt;35,N59+M60-V59,IF(A60&lt;'Données projet'!$A$36,$K$205^A60,IF(A60='Données projet'!$A$36,'Données projet'!$B$36,N59+M60-V59)))</f>
        <v>131.79999999999995</v>
      </c>
      <c r="O60" s="13">
        <f>N60*VLOOKUP('Données projet'!$B$9,Paramètres!$A$1:$I$89,3,0)*VLOOKUP('Données projet'!$B$9,Paramètres!$A$1:$I$89,5,0)</f>
        <v>119.25263999999996</v>
      </c>
      <c r="P60" s="13">
        <f t="shared" si="33"/>
        <v>31.500626518374347</v>
      </c>
      <c r="Q60" s="20">
        <f t="shared" si="53"/>
        <v>262.56193918616856</v>
      </c>
      <c r="R60" s="59">
        <f t="shared" si="0"/>
        <v>522.08857923684627</v>
      </c>
      <c r="S60" s="59">
        <f ca="1">AVERAGE(OFFSET($R$3,0,0,'Données projet'!$E$9+1,1))-AVERAGE(OFFSET($H$3,0,0,'Données projet'!$E$9+1,1))</f>
        <v>315.34103933739129</v>
      </c>
      <c r="T60" s="59">
        <f t="shared" si="34"/>
        <v>165.80901858372513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4.5942192765297545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4.5942192765297545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13.14</v>
      </c>
      <c r="AI60" s="13">
        <f>IF('Données projet'!$A$62&gt;35,AI59+AH60-AQ59,IF(A60&lt;'Données projet'!$A$62,$AF$205^A60,IF(A60='Données projet'!$A$62,'Données projet'!$B$62,AI59+AH60-AQ59)))</f>
        <v>396.91999999999967</v>
      </c>
      <c r="AJ60" s="13">
        <f>AI60*VLOOKUP('Données projet'!$B$10,Paramètres!$A$1:$I$89,3,0)*VLOOKUP('Données projet'!$B$10,Paramètres!$A$1:$I$89,5,0)</f>
        <v>237.35815999999983</v>
      </c>
      <c r="AK60" s="13">
        <f t="shared" si="35"/>
        <v>57.870760090028412</v>
      </c>
      <c r="AL60" s="20">
        <f t="shared" si="4"/>
        <v>514.19036915679919</v>
      </c>
      <c r="AM60" s="59">
        <f t="shared" si="5"/>
        <v>773.71700920747685</v>
      </c>
      <c r="AN60" s="59">
        <f ca="1">AVERAGE(OFFSET($AM$3,0,0,'Données projet'!$E$10+1,1))-AVERAGE(OFFSET($H$3,0,0,'Données projet'!$E$10+1,1))</f>
        <v>317.328615425664</v>
      </c>
      <c r="AO60" s="59">
        <f t="shared" si="36"/>
        <v>324.95872842255744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54.037983602046197</v>
      </c>
      <c r="AV60" s="21">
        <f>EXP(-LN(2)/25)*AV59+(1-EXP(-LN(2)/25))/(LN(2)/25)*Calculateur!AQ60*Calculateur!AS60*VLOOKUP('Données projet'!$B$10,Paramètres!$A$1:$I$89,3,0)*0.475*44/12</f>
        <v>18.227362019277852</v>
      </c>
      <c r="AW60" s="21">
        <f>EXP(-LN(2)/2)*AW59+(1-EXP(-LN(2)/2))/(LN(2)/2)*AQ60*AT60*VLOOKUP('Données projet'!$B$10,Paramètres!$A$1:$I$89,3,0)*0.475*44/12</f>
        <v>0.87151399724339262</v>
      </c>
      <c r="AX60" s="21">
        <f t="shared" si="6"/>
        <v>73.136859618567442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10.184000000000003</v>
      </c>
      <c r="BD60" s="12">
        <f>IF('Données projet'!$A$88&gt;35,BD59+BC60-BL59,IF(A60&lt;'Données projet'!$A$88,$BA$205^A60,IF(A60='Données projet'!$A$88,'Données projet'!$B$88,BD59+BC60-BL59)))</f>
        <v>273.3719999999999</v>
      </c>
      <c r="BE60" s="13">
        <f>BD60*VLOOKUP('Données projet'!$B$11,Paramètres!$A$1:$I$89,3,0)*VLOOKUP('Données projet'!$B$11,Paramètres!$A$1:$I$89,5,0)</f>
        <v>314.92454399999986</v>
      </c>
      <c r="BF60" s="13">
        <f t="shared" si="37"/>
        <v>74.296325697228298</v>
      </c>
      <c r="BG60" s="20">
        <f t="shared" si="7"/>
        <v>677.89301472267243</v>
      </c>
      <c r="BH60" s="59">
        <f t="shared" si="8"/>
        <v>937.4196547733502</v>
      </c>
      <c r="BI60" s="59">
        <f ca="1">AVERAGE(OFFSET($BH$3,0,0,'Données projet'!$E$11+1,1))-AVERAGE(OFFSET($H$3,0,0,'Données projet'!$E$11+1,1))</f>
        <v>418.31716673276725</v>
      </c>
      <c r="BJ60" s="59">
        <f t="shared" si="38"/>
        <v>472.37891533957929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39.059070931172307</v>
      </c>
      <c r="BQ60" s="21">
        <f>EXP(-LN(2)/25)*BQ59+(1-EXP(-LN(2)/25))/(LN(2)/25)*Calculateur!BL60*Calculateur!BN60*VLOOKUP('Données projet'!$B$11,Paramètres!$A$1:$I$89,3,0)*0.475*44/12</f>
        <v>18.403427237237409</v>
      </c>
      <c r="BR60" s="21">
        <f>EXP(-LN(2)/2)*BR59+(1-EXP(-LN(2)/2))/(LN(2)/2)*BL60*BO60*VLOOKUP('Données projet'!$B$11,Paramètres!$A$1:$I$89,3,0)*0.475*44/12</f>
        <v>1.8159512843234746</v>
      </c>
      <c r="BS60" s="22">
        <f t="shared" si="9"/>
        <v>59.278449452733192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4.7750000000000012</v>
      </c>
      <c r="BY60" s="12">
        <f>IF('Données projet'!$A$114&gt;35,BY59+BX60-CG59,IF(A60&lt;'Données projet'!$A$114,$BV$205^A60,IF(A60='Données projet'!$A$114,'Données projet'!$B$114,BY59+BX60-CG59)))</f>
        <v>127.08500000000009</v>
      </c>
      <c r="BZ60" s="13">
        <f>BY60*VLOOKUP('Données projet'!$B$12,Paramètres!$A$1:$I$89,3,0)*VLOOKUP('Données projet'!$B$12,Paramètres!$A$1:$I$89,5,0)</f>
        <v>74.344725000000068</v>
      </c>
      <c r="CA60" s="13">
        <f t="shared" si="39"/>
        <v>20.74859557618306</v>
      </c>
      <c r="CB60" s="20">
        <f t="shared" si="10"/>
        <v>165.62086667018562</v>
      </c>
      <c r="CC60" s="59">
        <f t="shared" si="11"/>
        <v>425.14750672086336</v>
      </c>
      <c r="CD60" s="59">
        <f ca="1">AVERAGE(OFFSET($CC$3,0,0,'Données projet'!$E$12+1,1))-AVERAGE(OFFSET($H$3,0,0,'Données projet'!$E$12+1,1))</f>
        <v>184.11352167663844</v>
      </c>
      <c r="CE60" s="59">
        <f t="shared" si="40"/>
        <v>145.86653500981791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10.192571045123293</v>
      </c>
      <c r="CL60" s="21">
        <f>EXP(-LN(2)/25)*CL59+(1-EXP(-LN(2)/25))/(LN(2)/25)*Calculateur!CG60*Calculateur!CI60*VLOOKUP('Données projet'!$B$12,Paramètres!$A$1:$I$89,3,0)*0.475*44/12</f>
        <v>9.7428768841882629</v>
      </c>
      <c r="CM60" s="21">
        <f>EXP(-LN(2)/2)*CM59+(1-EXP(-LN(2)/2))/(LN(2)/2)*CG60*CJ60*VLOOKUP('Données projet'!$B$12,Paramètres!$A$1:$I$89,3,0)*0.475*44/12</f>
        <v>2.1356637656196482</v>
      </c>
      <c r="CN60" s="22">
        <f t="shared" si="12"/>
        <v>22.071111694931204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8.043000000000001</v>
      </c>
      <c r="CT60" s="12">
        <f>IF('Données projet'!$A$140&gt;35,CT59+CS60-DB59,IF(A60&lt;'Données projet'!$A$140,$CQ$205^A60,IF(A60='Données projet'!$A$140,'Données projet'!$B$140,CT59+CS60-DB59)))</f>
        <v>254.30100000000004</v>
      </c>
      <c r="CU60" s="17">
        <f>CT60*VLOOKUP('Données projet'!$B$13,Paramètres!$A$1:$I$89,3,0)*VLOOKUP('Données projet'!$B$13,Paramètres!$A$1:$I$89,5,0)</f>
        <v>122.31878100000002</v>
      </c>
      <c r="CV60" s="13">
        <f t="shared" si="41"/>
        <v>32.215213004773283</v>
      </c>
      <c r="CW60" s="20">
        <f t="shared" si="13"/>
        <v>269.14670622498016</v>
      </c>
      <c r="CX60" s="59">
        <f t="shared" si="14"/>
        <v>528.67334627565788</v>
      </c>
      <c r="CY60" s="59">
        <f ca="1">AVERAGE(OFFSET($CX$3,0,0,'Données projet'!$E$13+1,1))-AVERAGE(OFFSET($H$3,0,0,'Données projet'!$E$13+1,1))</f>
        <v>303.76035885073708</v>
      </c>
      <c r="CZ60" s="59">
        <f t="shared" si="42"/>
        <v>127.43112562890414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2.2000000000000002</v>
      </c>
      <c r="DO60" s="12">
        <f>IF('Données projet'!$A$166&gt;35,DO59+DN60-DW59,IF(A60&lt;'Données projet'!$A$166,$DL$205^A60,IF(A60='Données projet'!$A$166,'Données projet'!$B$166,DO59+DN60-DW59)))</f>
        <v>304.40000000000009</v>
      </c>
      <c r="DP60" s="17">
        <f>DO60*VLOOKUP('Données projet'!$B$14,Paramètres!$A$1:$I$89,3,0)*VLOOKUP('Données projet'!$B$14,Paramètres!$A$1:$I$89,5,0)</f>
        <v>175.69968000000006</v>
      </c>
      <c r="DQ60" s="13">
        <f t="shared" si="43"/>
        <v>44.364101927297035</v>
      </c>
      <c r="DR60" s="20">
        <f t="shared" si="16"/>
        <v>383.27775352337579</v>
      </c>
      <c r="DS60" s="59">
        <f t="shared" si="17"/>
        <v>642.80439357405351</v>
      </c>
      <c r="DT60" s="59">
        <f ca="1">AVERAGE(OFFSET($DS$3,0,0,'Données projet'!$E$14+1,1))-AVERAGE(OFFSET($H$3,0,0,'Données projet'!$E$14+1,1))</f>
        <v>243.65374431792841</v>
      </c>
      <c r="DU60" s="59">
        <f t="shared" si="44"/>
        <v>271.60754570002939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7.6</v>
      </c>
      <c r="EJ60" s="12">
        <f>IF('Données projet'!$A$192&gt;35,EJ59+EI60-ER59,IF(A60&lt;'Données projet'!$A$192,$EG$205^A60,IF(A60='Données projet'!$A$192,'Données projet'!$B$192,EJ59+EI60-ER59)))</f>
        <v>191.20000000000002</v>
      </c>
      <c r="EK60" s="17">
        <f>EJ60*VLOOKUP('Données projet'!$B$15,Paramètres!$A$1:$I$89,3,0)*VLOOKUP('Données projet'!$B$15,Paramètres!$A$1:$I$89,5,0)</f>
        <v>128.25696000000002</v>
      </c>
      <c r="EL60" s="13">
        <f t="shared" si="45"/>
        <v>33.593278089661865</v>
      </c>
      <c r="EM60" s="20">
        <f t="shared" si="19"/>
        <v>281.8891646728278</v>
      </c>
      <c r="EN60" s="59">
        <f t="shared" si="20"/>
        <v>541.41580472350552</v>
      </c>
      <c r="EO60" s="59">
        <f ca="1">AVERAGE(OFFSET($EN$3,0,0,'Données projet'!$E$15+1,1))-AVERAGE(OFFSET($H$3,0,0,'Données projet'!$E$15+1,1))</f>
        <v>321.44781099085594</v>
      </c>
      <c r="EP60" s="59">
        <f t="shared" si="46"/>
        <v>201.22243186578183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7.0157530663578909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7.0157530663578909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4</v>
      </c>
      <c r="FE60" s="12">
        <f>IF('Données projet'!$A$218&gt;35,FE59+FD60-FM59,IF(A60&lt;'Données projet'!$A$218,$FB$205^A60,IF(A60='Données projet'!$A$218,'Données projet'!$B$218,FE59+FD60-FM59)))</f>
        <v>182</v>
      </c>
      <c r="FF60" s="17">
        <f>FE60*VLOOKUP('Données projet'!$B$16,Paramètres!$A$1:$I$89,3,0)*VLOOKUP('Données projet'!$B$16,Paramètres!$A$1:$I$89,5,0)</f>
        <v>158.99520000000004</v>
      </c>
      <c r="FG60" s="13">
        <f t="shared" si="47"/>
        <v>40.615796933386044</v>
      </c>
      <c r="FH60" s="20">
        <f t="shared" si="22"/>
        <v>347.65581965898076</v>
      </c>
      <c r="FI60" s="59">
        <f t="shared" si="23"/>
        <v>607.18245970965847</v>
      </c>
      <c r="FJ60" s="59">
        <f ca="1">AVERAGE(OFFSET($FI$3,0,0,'Données projet'!$E$16+1,1))-AVERAGE(OFFSET($H$3,0,0,'Données projet'!$E$16+1,1))</f>
        <v>285.8437404763045</v>
      </c>
      <c r="FK60" s="59">
        <f t="shared" si="48"/>
        <v>276.01618888357268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9.0074355585130004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9.0074355585130004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5.2</v>
      </c>
      <c r="FZ60" s="12">
        <f>IF('Données projet'!$A$244&gt;35,FZ59+FY60-GH59,IF(A60&lt;'Données projet'!$A$244,$FW$205^A60,IF(A60='Données projet'!$A$244,'Données projet'!$B$244,FZ59+FY60-GH59)))</f>
        <v>229.39999999999986</v>
      </c>
      <c r="GA60" s="17">
        <f>FZ60*VLOOKUP('Données projet'!$B$17,Paramètres!$A$1:$I$89,3,0)*VLOOKUP('Données projet'!$B$17,Paramètres!$A$1:$I$89,5,0)</f>
        <v>182.51063999999988</v>
      </c>
      <c r="GB60" s="13">
        <f t="shared" si="49"/>
        <v>45.880306213791371</v>
      </c>
      <c r="GC60" s="20">
        <f t="shared" si="25"/>
        <v>397.78089798901971</v>
      </c>
      <c r="GD60" s="59">
        <f t="shared" si="26"/>
        <v>657.30753803969742</v>
      </c>
      <c r="GE60" s="59">
        <f ca="1">AVERAGE(OFFSET($GD$3,0,0,'Données projet'!$E$17+1,1))-AVERAGE(OFFSET($H$3,0,0,'Données projet'!$E$17+1,1))</f>
        <v>323.01113210765487</v>
      </c>
      <c r="GF60" s="59">
        <f t="shared" si="50"/>
        <v>311.68541696405975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10.377802077280574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10.377802077280574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4</v>
      </c>
      <c r="GU60" s="12">
        <f>IF('Données projet'!$A$270&gt;35,GU59+GT60-HC59,IF(A60&lt;'Données projet'!$A$270,$GR$205^A60,IF(A60='Données projet'!$A$270,'Données projet'!$B$270,GU59+GT60-HC59)))</f>
        <v>182</v>
      </c>
      <c r="GV60" s="17">
        <f>GU60*VLOOKUP('Données projet'!$B$18,Paramètres!$A$1:$I$89,3,0)*VLOOKUP('Données projet'!$B$18,Paramètres!$A$1:$I$89,5,0)</f>
        <v>158.99520000000004</v>
      </c>
      <c r="GW60" s="13">
        <f t="shared" si="51"/>
        <v>40.615796933386044</v>
      </c>
      <c r="GX60" s="20">
        <f t="shared" si="28"/>
        <v>347.65581965898076</v>
      </c>
      <c r="GY60" s="59">
        <f t="shared" si="29"/>
        <v>607.18245970965847</v>
      </c>
      <c r="GZ60" s="59">
        <f ca="1">AVERAGE(OFFSET($GY$3,0,0,'Données projet'!$E$18+1,1))-AVERAGE(OFFSET($H$3,0,0,'Données projet'!$E$18+1,1))</f>
        <v>285.8437404763045</v>
      </c>
      <c r="HA60" s="59">
        <f t="shared" si="52"/>
        <v>276.01618888357268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9.0074355585130004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9.0074355585130004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5.4</v>
      </c>
      <c r="N61" s="13">
        <f>IF('Données projet'!$A$36&gt;35,N60+M61-V60,IF(A61&lt;'Données projet'!$A$36,$K$205^A61,IF(A61='Données projet'!$A$36,'Données projet'!$B$36,N60+M61-V60)))</f>
        <v>137.19999999999996</v>
      </c>
      <c r="O61" s="13">
        <f>N61*VLOOKUP('Données projet'!$B$9,Paramètres!$A$1:$I$89,3,0)*VLOOKUP('Données projet'!$B$9,Paramètres!$A$1:$I$89,5,0)</f>
        <v>124.13855999999996</v>
      </c>
      <c r="P61" s="13">
        <f t="shared" si="33"/>
        <v>32.638337418917978</v>
      </c>
      <c r="Q61" s="20">
        <f t="shared" si="53"/>
        <v>273.05309633794872</v>
      </c>
      <c r="R61" s="59">
        <f t="shared" si="0"/>
        <v>533.16620693663708</v>
      </c>
      <c r="S61" s="59">
        <f ca="1">AVERAGE(OFFSET($R$3,0,0,'Données projet'!$E$9+1,1))-AVERAGE(OFFSET($H$3,0,0,'Données projet'!$E$9+1,1))</f>
        <v>315.34103933739129</v>
      </c>
      <c r="T61" s="59">
        <f t="shared" si="34"/>
        <v>165.80901858372513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4.5041294387140711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4.5041294387140711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13.14</v>
      </c>
      <c r="AI61" s="13">
        <f>IF('Données projet'!$A$62&gt;35,AI60+AH61-AQ60,IF(A61&lt;'Données projet'!$A$62,$AF$205^A61,IF(A61='Données projet'!$A$62,'Données projet'!$B$62,AI60+AH61-AQ60)))</f>
        <v>410.05999999999966</v>
      </c>
      <c r="AJ61" s="13">
        <f>AI61*VLOOKUP('Données projet'!$B$10,Paramètres!$A$1:$I$89,3,0)*VLOOKUP('Données projet'!$B$10,Paramètres!$A$1:$I$89,5,0)</f>
        <v>245.21587999999983</v>
      </c>
      <c r="AK61" s="13">
        <f t="shared" si="35"/>
        <v>59.560344378839609</v>
      </c>
      <c r="AL61" s="20">
        <f t="shared" si="4"/>
        <v>530.8185907931454</v>
      </c>
      <c r="AM61" s="59">
        <f t="shared" si="5"/>
        <v>790.93170139183383</v>
      </c>
      <c r="AN61" s="59">
        <f ca="1">AVERAGE(OFFSET($AM$3,0,0,'Données projet'!$E$10+1,1))-AVERAGE(OFFSET($H$3,0,0,'Données projet'!$E$10+1,1))</f>
        <v>317.328615425664</v>
      </c>
      <c r="AO61" s="59">
        <f t="shared" si="36"/>
        <v>324.95872842255744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52.978331703525548</v>
      </c>
      <c r="AV61" s="21">
        <f>EXP(-LN(2)/25)*AV60+(1-EXP(-LN(2)/25))/(LN(2)/25)*Calculateur!AQ61*Calculateur!AS61*VLOOKUP('Données projet'!$B$10,Paramètres!$A$1:$I$89,3,0)*0.475*44/12</f>
        <v>17.72893384632539</v>
      </c>
      <c r="AW61" s="21">
        <f>EXP(-LN(2)/2)*AW60+(1-EXP(-LN(2)/2))/(LN(2)/2)*AQ61*AT61*VLOOKUP('Données projet'!$B$10,Paramètres!$A$1:$I$89,3,0)*0.475*44/12</f>
        <v>0.61625345734979708</v>
      </c>
      <c r="AX61" s="21">
        <f t="shared" si="6"/>
        <v>71.323519007200744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10.184000000000003</v>
      </c>
      <c r="BD61" s="12">
        <f>IF('Données projet'!$A$88&gt;35,BD60+BC61-BL60,IF(A61&lt;'Données projet'!$A$88,$BA$205^A61,IF(A61='Données projet'!$A$88,'Données projet'!$B$88,BD60+BC61-BL60)))</f>
        <v>283.55599999999993</v>
      </c>
      <c r="BE61" s="13">
        <f>BD61*VLOOKUP('Données projet'!$B$11,Paramètres!$A$1:$I$89,3,0)*VLOOKUP('Données projet'!$B$11,Paramètres!$A$1:$I$89,5,0)</f>
        <v>326.65651199999991</v>
      </c>
      <c r="BF61" s="13">
        <f t="shared" si="37"/>
        <v>76.736706502901896</v>
      </c>
      <c r="BG61" s="20">
        <f t="shared" si="7"/>
        <v>702.57652222588729</v>
      </c>
      <c r="BH61" s="59">
        <f t="shared" si="8"/>
        <v>962.68963282457571</v>
      </c>
      <c r="BI61" s="59">
        <f ca="1">AVERAGE(OFFSET($BH$3,0,0,'Données projet'!$E$11+1,1))-AVERAGE(OFFSET($H$3,0,0,'Données projet'!$E$11+1,1))</f>
        <v>418.31716673276725</v>
      </c>
      <c r="BJ61" s="59">
        <f t="shared" si="38"/>
        <v>472.37891533957929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38.293146373892895</v>
      </c>
      <c r="BQ61" s="21">
        <f>EXP(-LN(2)/25)*BQ60+(1-EXP(-LN(2)/25))/(LN(2)/25)*Calculateur!BL61*Calculateur!BN61*VLOOKUP('Données projet'!$B$11,Paramètres!$A$1:$I$89,3,0)*0.475*44/12</f>
        <v>17.900184551640976</v>
      </c>
      <c r="BR61" s="21">
        <f>EXP(-LN(2)/2)*BR60+(1-EXP(-LN(2)/2))/(LN(2)/2)*BL61*BO61*VLOOKUP('Données projet'!$B$11,Paramètres!$A$1:$I$89,3,0)*0.475*44/12</f>
        <v>1.2840714674495493</v>
      </c>
      <c r="BS61" s="22">
        <f t="shared" si="9"/>
        <v>57.477402392983421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131.86000000000001</v>
      </c>
      <c r="BW61" s="12">
        <f>VLOOKUP(A61,'Données projet'!$A$113:$I$133,9,0)</f>
        <v>4.7750000000000012</v>
      </c>
      <c r="BX61" s="12">
        <f t="array" ref="BX61">INDEX(BW:BW,MIN(IF(ISNUMBER(BW61:BW257),ROW(BW61:BW257),"")))</f>
        <v>4.7750000000000012</v>
      </c>
      <c r="BY61" s="12">
        <f>IF('Données projet'!$A$114&gt;35,BY60+BX61-CG60,IF(A61&lt;'Données projet'!$A$114,$BV$205^A61,IF(A61='Données projet'!$A$114,'Données projet'!$B$114,BY60+BX61-CG60)))</f>
        <v>131.8600000000001</v>
      </c>
      <c r="BZ61" s="13">
        <f>BY61*VLOOKUP('Données projet'!$B$12,Paramètres!$A$1:$I$89,3,0)*VLOOKUP('Données projet'!$B$12,Paramètres!$A$1:$I$89,5,0)</f>
        <v>77.138100000000065</v>
      </c>
      <c r="CA61" s="13">
        <f t="shared" si="39"/>
        <v>21.435958028975829</v>
      </c>
      <c r="CB61" s="20">
        <f t="shared" si="10"/>
        <v>171.68315106713302</v>
      </c>
      <c r="CC61" s="59">
        <f t="shared" si="11"/>
        <v>431.79626166582148</v>
      </c>
      <c r="CD61" s="59">
        <f ca="1">AVERAGE(OFFSET($CC$3,0,0,'Données projet'!$E$12+1,1))-AVERAGE(OFFSET($H$3,0,0,'Données projet'!$E$12+1,1))</f>
        <v>184.11352167663844</v>
      </c>
      <c r="CE61" s="59">
        <f t="shared" si="40"/>
        <v>145.86653500981791</v>
      </c>
      <c r="CF61" s="15">
        <f>IF(ISNA(VLOOKUP(A61,'Données projet'!$A$113:$I$133,3,0)),0,VLOOKUP(A61,'Données projet'!$A$113:$I$133,3,0))</f>
        <v>10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0.18000000000000002</v>
      </c>
      <c r="CI61" s="16">
        <f>IF(ISNA(VLOOKUP(A61,'Données projet'!$A$113:$I$133,6,0)),0%,VLOOKUP(A61,'Données projet'!$A$113:$I$133,6,0)*VLOOKUP('Données projet'!$B$12,Paramètres!$A$1:$I$89,7,0))</f>
        <v>0.15300000000000002</v>
      </c>
      <c r="CJ61" s="16">
        <f>IF(ISNA(VLOOKUP(A61,'Données projet'!$A$113:$I$133,7,0)),0%,VLOOKUP(A61,'Données projet'!$A$113:$I$133,7,0))</f>
        <v>0.26</v>
      </c>
      <c r="CK61" s="21">
        <f>EXP(-LN(2)/35)*CK60+(1-EXP(-LN(2)/35))/(LN(2)/35)*CG61*CH61*VLOOKUP('Données projet'!$B$12,Paramètres!$A$1:$I$89,3,0)*0.475*44/12</f>
        <v>9.9927009437828982</v>
      </c>
      <c r="CL61" s="21">
        <f>EXP(-LN(2)/25)*CL60+(1-EXP(-LN(2)/25))/(LN(2)/25)*Calculateur!CG61*Calculateur!CI61*VLOOKUP('Données projet'!$B$12,Paramètres!$A$1:$I$89,3,0)*0.475*44/12</f>
        <v>9.476457403434507</v>
      </c>
      <c r="CM61" s="21">
        <f>EXP(-LN(2)/2)*CM60+(1-EXP(-LN(2)/2))/(LN(2)/2)*CG61*CJ61*VLOOKUP('Données projet'!$B$12,Paramètres!$A$1:$I$89,3,0)*0.475*44/12</f>
        <v>1.5101423310040507</v>
      </c>
      <c r="CN61" s="22">
        <f t="shared" si="12"/>
        <v>20.979300678221456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8.043000000000001</v>
      </c>
      <c r="CT61" s="12">
        <f>IF('Données projet'!$A$140&gt;35,CT60+CS61-DB60,IF(A61&lt;'Données projet'!$A$140,$CQ$205^A61,IF(A61='Données projet'!$A$140,'Données projet'!$B$140,CT60+CS61-DB60)))</f>
        <v>262.34400000000005</v>
      </c>
      <c r="CU61" s="17">
        <f>CT61*VLOOKUP('Données projet'!$B$13,Paramètres!$A$1:$I$89,3,0)*VLOOKUP('Données projet'!$B$13,Paramètres!$A$1:$I$89,5,0)</f>
        <v>126.18746400000002</v>
      </c>
      <c r="CV61" s="13">
        <f t="shared" si="41"/>
        <v>33.113873862480055</v>
      </c>
      <c r="CW61" s="20">
        <f t="shared" si="13"/>
        <v>277.44983011048612</v>
      </c>
      <c r="CX61" s="59">
        <f t="shared" si="14"/>
        <v>537.56294070917454</v>
      </c>
      <c r="CY61" s="59">
        <f ca="1">AVERAGE(OFFSET($CX$3,0,0,'Données projet'!$E$13+1,1))-AVERAGE(OFFSET($H$3,0,0,'Données projet'!$E$13+1,1))</f>
        <v>303.76035885073708</v>
      </c>
      <c r="CZ61" s="59">
        <f t="shared" si="42"/>
        <v>127.43112562890414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2.2000000000000002</v>
      </c>
      <c r="DO61" s="12">
        <f>IF('Données projet'!$A$166&gt;35,DO60+DN61-DW60,IF(A61&lt;'Données projet'!$A$166,$DL$205^A61,IF(A61='Données projet'!$A$166,'Données projet'!$B$166,DO60+DN61-DW60)))</f>
        <v>306.60000000000008</v>
      </c>
      <c r="DP61" s="17">
        <f>DO61*VLOOKUP('Données projet'!$B$14,Paramètres!$A$1:$I$89,3,0)*VLOOKUP('Données projet'!$B$14,Paramètres!$A$1:$I$89,5,0)</f>
        <v>176.96952000000005</v>
      </c>
      <c r="DQ61" s="13">
        <f t="shared" si="43"/>
        <v>44.647295379673537</v>
      </c>
      <c r="DR61" s="20">
        <f t="shared" si="16"/>
        <v>385.98262011959815</v>
      </c>
      <c r="DS61" s="59">
        <f t="shared" si="17"/>
        <v>646.09573071828663</v>
      </c>
      <c r="DT61" s="59">
        <f ca="1">AVERAGE(OFFSET($DS$3,0,0,'Données projet'!$E$14+1,1))-AVERAGE(OFFSET($H$3,0,0,'Données projet'!$E$14+1,1))</f>
        <v>243.65374431792841</v>
      </c>
      <c r="DU61" s="59">
        <f t="shared" si="44"/>
        <v>271.60754570002939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7.6</v>
      </c>
      <c r="EJ61" s="12">
        <f>IF('Données projet'!$A$192&gt;35,EJ60+EI61-ER60,IF(A61&lt;'Données projet'!$A$192,$EG$205^A61,IF(A61='Données projet'!$A$192,'Données projet'!$B$192,EJ60+EI61-ER60)))</f>
        <v>198.8</v>
      </c>
      <c r="EK61" s="17">
        <f>EJ61*VLOOKUP('Données projet'!$B$15,Paramètres!$A$1:$I$89,3,0)*VLOOKUP('Données projet'!$B$15,Paramètres!$A$1:$I$89,5,0)</f>
        <v>133.35504000000003</v>
      </c>
      <c r="EL61" s="13">
        <f t="shared" si="45"/>
        <v>34.770457155821269</v>
      </c>
      <c r="EM61" s="20">
        <f t="shared" si="19"/>
        <v>292.81857421305546</v>
      </c>
      <c r="EN61" s="59">
        <f t="shared" si="20"/>
        <v>552.93168481174393</v>
      </c>
      <c r="EO61" s="59">
        <f ca="1">AVERAGE(OFFSET($EN$3,0,0,'Données projet'!$E$15+1,1))-AVERAGE(OFFSET($H$3,0,0,'Données projet'!$E$15+1,1))</f>
        <v>321.44781099085594</v>
      </c>
      <c r="EP61" s="59">
        <f t="shared" si="46"/>
        <v>201.22243186578183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6.8781784279134488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6.8781784279134488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4</v>
      </c>
      <c r="FE61" s="12">
        <f>IF('Données projet'!$A$218&gt;35,FE60+FD61-FM60,IF(A61&lt;'Données projet'!$A$218,$FB$205^A61,IF(A61='Données projet'!$A$218,'Données projet'!$B$218,FE60+FD61-FM60)))</f>
        <v>186</v>
      </c>
      <c r="FF61" s="17">
        <f>FE61*VLOOKUP('Données projet'!$B$16,Paramètres!$A$1:$I$89,3,0)*VLOOKUP('Données projet'!$B$16,Paramètres!$A$1:$I$89,5,0)</f>
        <v>162.48960000000002</v>
      </c>
      <c r="FG61" s="13">
        <f t="shared" si="47"/>
        <v>41.403546033820696</v>
      </c>
      <c r="FH61" s="20">
        <f t="shared" si="22"/>
        <v>355.11389600890442</v>
      </c>
      <c r="FI61" s="59">
        <f t="shared" si="23"/>
        <v>615.22700660759278</v>
      </c>
      <c r="FJ61" s="59">
        <f ca="1">AVERAGE(OFFSET($FI$3,0,0,'Données projet'!$E$16+1,1))-AVERAGE(OFFSET($H$3,0,0,'Données projet'!$E$16+1,1))</f>
        <v>285.8437404763045</v>
      </c>
      <c r="FK61" s="59">
        <f t="shared" si="48"/>
        <v>276.01618888357268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8.8308052412037643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8.8308052412037643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5.2</v>
      </c>
      <c r="FZ61" s="12">
        <f>IF('Données projet'!$A$244&gt;35,FZ60+FY61-GH60,IF(A61&lt;'Données projet'!$A$244,$FW$205^A61,IF(A61='Données projet'!$A$244,'Données projet'!$B$244,FZ60+FY61-GH60)))</f>
        <v>234.59999999999985</v>
      </c>
      <c r="GA61" s="17">
        <f>FZ61*VLOOKUP('Données projet'!$B$17,Paramètres!$A$1:$I$89,3,0)*VLOOKUP('Données projet'!$B$17,Paramètres!$A$1:$I$89,5,0)</f>
        <v>186.64775999999989</v>
      </c>
      <c r="GB61" s="13">
        <f t="shared" si="49"/>
        <v>46.79805411155214</v>
      </c>
      <c r="GC61" s="20">
        <f t="shared" si="25"/>
        <v>406.58479291095313</v>
      </c>
      <c r="GD61" s="59">
        <f t="shared" si="26"/>
        <v>666.69790350964149</v>
      </c>
      <c r="GE61" s="59">
        <f ca="1">AVERAGE(OFFSET($GD$3,0,0,'Données projet'!$E$17+1,1))-AVERAGE(OFFSET($H$3,0,0,'Données projet'!$E$17+1,1))</f>
        <v>323.01113210765487</v>
      </c>
      <c r="GF61" s="59">
        <f t="shared" si="50"/>
        <v>311.68541696405975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10.174299708379349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10.174299708379349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4</v>
      </c>
      <c r="GU61" s="12">
        <f>IF('Données projet'!$A$270&gt;35,GU60+GT61-HC60,IF(A61&lt;'Données projet'!$A$270,$GR$205^A61,IF(A61='Données projet'!$A$270,'Données projet'!$B$270,GU60+GT61-HC60)))</f>
        <v>186</v>
      </c>
      <c r="GV61" s="17">
        <f>GU61*VLOOKUP('Données projet'!$B$18,Paramètres!$A$1:$I$89,3,0)*VLOOKUP('Données projet'!$B$18,Paramètres!$A$1:$I$89,5,0)</f>
        <v>162.48960000000002</v>
      </c>
      <c r="GW61" s="13">
        <f t="shared" si="51"/>
        <v>41.403546033820696</v>
      </c>
      <c r="GX61" s="20">
        <f t="shared" si="28"/>
        <v>355.11389600890442</v>
      </c>
      <c r="GY61" s="59">
        <f t="shared" si="29"/>
        <v>615.22700660759278</v>
      </c>
      <c r="GZ61" s="59">
        <f ca="1">AVERAGE(OFFSET($GY$3,0,0,'Données projet'!$E$18+1,1))-AVERAGE(OFFSET($H$3,0,0,'Données projet'!$E$18+1,1))</f>
        <v>285.8437404763045</v>
      </c>
      <c r="HA61" s="59">
        <f t="shared" si="52"/>
        <v>276.01618888357268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8.8308052412037643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8.8308052412037643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5.4</v>
      </c>
      <c r="N62" s="13">
        <f>IF('Données projet'!$A$36&gt;35,N61+M62-V61,IF(A62&lt;'Données projet'!$A$36,$K$205^A62,IF(A62='Données projet'!$A$36,'Données projet'!$B$36,N61+M62-V61)))</f>
        <v>142.59999999999997</v>
      </c>
      <c r="O62" s="13">
        <f>N62*VLOOKUP('Données projet'!$B$9,Paramètres!$A$1:$I$89,3,0)*VLOOKUP('Données projet'!$B$9,Paramètres!$A$1:$I$89,5,0)</f>
        <v>129.02447999999995</v>
      </c>
      <c r="P62" s="13">
        <f t="shared" si="33"/>
        <v>33.770846580616251</v>
      </c>
      <c r="Q62" s="20">
        <f t="shared" si="53"/>
        <v>283.53519379457322</v>
      </c>
      <c r="R62" s="59">
        <f t="shared" si="0"/>
        <v>544.224600988416</v>
      </c>
      <c r="S62" s="59">
        <f ca="1">AVERAGE(OFFSET($R$3,0,0,'Données projet'!$E$9+1,1))-AVERAGE(OFFSET($H$3,0,0,'Données projet'!$E$9+1,1))</f>
        <v>315.34103933739129</v>
      </c>
      <c r="T62" s="59">
        <f t="shared" si="34"/>
        <v>165.80901858372513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4.4158062076685773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4.4158062076685773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13.14</v>
      </c>
      <c r="AI62" s="13">
        <f>IF('Données projet'!$A$62&gt;35,AI61+AH62-AQ61,IF(A62&lt;'Données projet'!$A$62,$AF$205^A62,IF(A62='Données projet'!$A$62,'Données projet'!$B$62,AI61+AH62-AQ61)))</f>
        <v>423.19999999999965</v>
      </c>
      <c r="AJ62" s="13">
        <f>AI62*VLOOKUP('Données projet'!$B$10,Paramètres!$A$1:$I$89,3,0)*VLOOKUP('Données projet'!$B$10,Paramètres!$A$1:$I$89,5,0)</f>
        <v>253.07359999999983</v>
      </c>
      <c r="AK62" s="13">
        <f t="shared" si="35"/>
        <v>61.243637233758569</v>
      </c>
      <c r="AL62" s="20">
        <f t="shared" si="4"/>
        <v>547.43585484879588</v>
      </c>
      <c r="AM62" s="59">
        <f t="shared" si="5"/>
        <v>808.12526204263872</v>
      </c>
      <c r="AN62" s="59">
        <f ca="1">AVERAGE(OFFSET($AM$3,0,0,'Données projet'!$E$10+1,1))-AVERAGE(OFFSET($H$3,0,0,'Données projet'!$E$10+1,1))</f>
        <v>317.328615425664</v>
      </c>
      <c r="AO62" s="59">
        <f t="shared" si="36"/>
        <v>324.95872842255744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51.93945893241105</v>
      </c>
      <c r="AV62" s="21">
        <f>EXP(-LN(2)/25)*AV61+(1-EXP(-LN(2)/25))/(LN(2)/25)*Calculateur!AQ62*Calculateur!AS62*VLOOKUP('Données projet'!$B$10,Paramètres!$A$1:$I$89,3,0)*0.475*44/12</f>
        <v>17.244135217973511</v>
      </c>
      <c r="AW62" s="21">
        <f>EXP(-LN(2)/2)*AW61+(1-EXP(-LN(2)/2))/(LN(2)/2)*AQ62*AT62*VLOOKUP('Données projet'!$B$10,Paramètres!$A$1:$I$89,3,0)*0.475*44/12</f>
        <v>0.43575699862169637</v>
      </c>
      <c r="AX62" s="21">
        <f t="shared" si="6"/>
        <v>69.619351149006263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293.74</v>
      </c>
      <c r="BB62" s="12">
        <f>VLOOKUP(A62,'Données projet'!$A$87:$I$107,9,0)</f>
        <v>10.184000000000003</v>
      </c>
      <c r="BC62" s="12">
        <f t="array" ref="BC62">INDEX(BB:BB,MIN(IF(ISNUMBER(BB62:BB258),ROW(BB62:BB258),"")))</f>
        <v>10.184000000000003</v>
      </c>
      <c r="BD62" s="12">
        <f>IF('Données projet'!$A$88&gt;35,BD61+BC62-BL61,IF(A62&lt;'Données projet'!$A$88,$BA$205^A62,IF(A62='Données projet'!$A$88,'Données projet'!$B$88,BD61+BC62-BL61)))</f>
        <v>293.73999999999995</v>
      </c>
      <c r="BE62" s="13">
        <f>BD62*VLOOKUP('Données projet'!$B$11,Paramètres!$A$1:$I$89,3,0)*VLOOKUP('Données projet'!$B$11,Paramètres!$A$1:$I$89,5,0)</f>
        <v>338.38847999999996</v>
      </c>
      <c r="BF62" s="13">
        <f t="shared" si="37"/>
        <v>79.166904178538303</v>
      </c>
      <c r="BG62" s="20">
        <f t="shared" si="7"/>
        <v>727.24229411095405</v>
      </c>
      <c r="BH62" s="59">
        <f t="shared" si="8"/>
        <v>987.93170130479689</v>
      </c>
      <c r="BI62" s="59">
        <f ca="1">AVERAGE(OFFSET($BH$3,0,0,'Données projet'!$E$11+1,1))-AVERAGE(OFFSET($H$3,0,0,'Données projet'!$E$11+1,1))</f>
        <v>418.31716673276725</v>
      </c>
      <c r="BJ62" s="59">
        <f t="shared" si="38"/>
        <v>472.37891533957929</v>
      </c>
      <c r="BK62" s="15">
        <f>IF(ISNA(VLOOKUP(A62,'Données projet'!$A$87:$I$107,3,0)),0,VLOOKUP(A62,'Données projet'!$A$87:$I$107,3,0))</f>
        <v>8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0.36000000000000004</v>
      </c>
      <c r="BN62" s="16">
        <f>IF(ISNA(VLOOKUP(A62,'Données projet'!$A$87:$I$107,6,0)),0%,VLOOKUP(A62,'Données projet'!$A$87:$I$107,6,0)*VLOOKUP('Données projet'!$B$11,Paramètres!$A$1:$I$89,7,0))</f>
        <v>4.9500000000000002E-2</v>
      </c>
      <c r="BO62" s="16">
        <f>IF(ISNA(VLOOKUP(A62,'Données projet'!$A$87:$I$107,7,0)),0%,VLOOKUP(A62,'Données projet'!$A$87:$I$107,7,0))</f>
        <v>0.09</v>
      </c>
      <c r="BP62" s="21">
        <f>EXP(-LN(2)/35)*BP61+(1-EXP(-LN(2)/35))/(LN(2)/35)*BL62*BM62*VLOOKUP('Données projet'!$B$11,Paramètres!$A$1:$I$89,3,0)*0.475*44/12</f>
        <v>37.542241130013878</v>
      </c>
      <c r="BQ62" s="21">
        <f>EXP(-LN(2)/25)*BQ61+(1-EXP(-LN(2)/25))/(LN(2)/25)*Calculateur!BL62*Calculateur!BN62*VLOOKUP('Données projet'!$B$11,Paramètres!$A$1:$I$89,3,0)*0.475*44/12</f>
        <v>17.41070306374656</v>
      </c>
      <c r="BR62" s="21">
        <f>EXP(-LN(2)/2)*BR61+(1-EXP(-LN(2)/2))/(LN(2)/2)*BL62*BO62*VLOOKUP('Données projet'!$B$11,Paramètres!$A$1:$I$89,3,0)*0.475*44/12</f>
        <v>0.90797564216173743</v>
      </c>
      <c r="BS62" s="22">
        <f t="shared" si="9"/>
        <v>55.860919835922175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4.9966666666666653</v>
      </c>
      <c r="BY62" s="12">
        <f>IF('Données projet'!$A$114&gt;35,BY61+BX62-CG61,IF(A62&lt;'Données projet'!$A$114,$BV$205^A62,IF(A62='Données projet'!$A$114,'Données projet'!$B$114,BY61+BX62-CG61)))</f>
        <v>136.85666666666677</v>
      </c>
      <c r="BZ62" s="13">
        <f>BY62*VLOOKUP('Données projet'!$B$12,Paramètres!$A$1:$I$89,3,0)*VLOOKUP('Données projet'!$B$12,Paramètres!$A$1:$I$89,5,0)</f>
        <v>80.061150000000069</v>
      </c>
      <c r="CA62" s="13">
        <f t="shared" si="39"/>
        <v>22.152134956609601</v>
      </c>
      <c r="CB62" s="20">
        <f t="shared" si="10"/>
        <v>178.0214712994285</v>
      </c>
      <c r="CC62" s="59">
        <f t="shared" si="11"/>
        <v>438.71087849327125</v>
      </c>
      <c r="CD62" s="59">
        <f ca="1">AVERAGE(OFFSET($CC$3,0,0,'Données projet'!$E$12+1,1))-AVERAGE(OFFSET($H$3,0,0,'Données projet'!$E$12+1,1))</f>
        <v>184.11352167663844</v>
      </c>
      <c r="CE62" s="59">
        <f t="shared" si="40"/>
        <v>145.86653500981791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9.7967501732210653</v>
      </c>
      <c r="CL62" s="21">
        <f>EXP(-LN(2)/25)*CL61+(1-EXP(-LN(2)/25))/(LN(2)/25)*Calculateur!CG62*Calculateur!CI62*VLOOKUP('Données projet'!$B$12,Paramètres!$A$1:$I$89,3,0)*0.475*44/12</f>
        <v>9.2173231773923536</v>
      </c>
      <c r="CM62" s="21">
        <f>EXP(-LN(2)/2)*CM61+(1-EXP(-LN(2)/2))/(LN(2)/2)*CG62*CJ62*VLOOKUP('Données projet'!$B$12,Paramètres!$A$1:$I$89,3,0)*0.475*44/12</f>
        <v>1.0678318828098241</v>
      </c>
      <c r="CN62" s="22">
        <f t="shared" si="12"/>
        <v>20.081905233423242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8.043000000000001</v>
      </c>
      <c r="CT62" s="12">
        <f>IF('Données projet'!$A$140&gt;35,CT61+CS62-DB61,IF(A62&lt;'Données projet'!$A$140,$CQ$205^A62,IF(A62='Données projet'!$A$140,'Données projet'!$B$140,CT61+CS62-DB61)))</f>
        <v>270.38700000000006</v>
      </c>
      <c r="CU62" s="17">
        <f>CT62*VLOOKUP('Données projet'!$B$13,Paramètres!$A$1:$I$89,3,0)*VLOOKUP('Données projet'!$B$13,Paramètres!$A$1:$I$89,5,0)</f>
        <v>130.05614700000004</v>
      </c>
      <c r="CV62" s="13">
        <f t="shared" si="41"/>
        <v>34.009332929465643</v>
      </c>
      <c r="CW62" s="20">
        <f t="shared" si="13"/>
        <v>285.74737754381937</v>
      </c>
      <c r="CX62" s="59">
        <f t="shared" si="14"/>
        <v>546.43678473766215</v>
      </c>
      <c r="CY62" s="59">
        <f ca="1">AVERAGE(OFFSET($CX$3,0,0,'Données projet'!$E$13+1,1))-AVERAGE(OFFSET($H$3,0,0,'Données projet'!$E$13+1,1))</f>
        <v>303.76035885073708</v>
      </c>
      <c r="CZ62" s="59">
        <f t="shared" si="42"/>
        <v>127.43112562890414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2.2000000000000002</v>
      </c>
      <c r="DO62" s="12">
        <f>IF('Données projet'!$A$166&gt;35,DO61+DN62-DW61,IF(A62&lt;'Données projet'!$A$166,$DL$205^A62,IF(A62='Données projet'!$A$166,'Données projet'!$B$166,DO61+DN62-DW61)))</f>
        <v>308.80000000000007</v>
      </c>
      <c r="DP62" s="17">
        <f>DO62*VLOOKUP('Données projet'!$B$14,Paramètres!$A$1:$I$89,3,0)*VLOOKUP('Données projet'!$B$14,Paramètres!$A$1:$I$89,5,0)</f>
        <v>178.23936000000006</v>
      </c>
      <c r="DQ62" s="13">
        <f t="shared" si="43"/>
        <v>44.930252398389335</v>
      </c>
      <c r="DR62" s="20">
        <f t="shared" si="16"/>
        <v>388.68707492719483</v>
      </c>
      <c r="DS62" s="59">
        <f t="shared" si="17"/>
        <v>649.37648212103761</v>
      </c>
      <c r="DT62" s="59">
        <f ca="1">AVERAGE(OFFSET($DS$3,0,0,'Données projet'!$E$14+1,1))-AVERAGE(OFFSET($H$3,0,0,'Données projet'!$E$14+1,1))</f>
        <v>243.65374431792841</v>
      </c>
      <c r="DU62" s="59">
        <f t="shared" si="44"/>
        <v>271.60754570002939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7.6</v>
      </c>
      <c r="EJ62" s="12">
        <f>IF('Données projet'!$A$192&gt;35,EJ61+EI62-ER61,IF(A62&lt;'Données projet'!$A$192,$EG$205^A62,IF(A62='Données projet'!$A$192,'Données projet'!$B$192,EJ61+EI62-ER61)))</f>
        <v>206.4</v>
      </c>
      <c r="EK62" s="17">
        <f>EJ62*VLOOKUP('Données projet'!$B$15,Paramètres!$A$1:$I$89,3,0)*VLOOKUP('Données projet'!$B$15,Paramètres!$A$1:$I$89,5,0)</f>
        <v>138.45311999999998</v>
      </c>
      <c r="EL62" s="13">
        <f t="shared" si="45"/>
        <v>35.942408186268445</v>
      </c>
      <c r="EM62" s="20">
        <f t="shared" si="19"/>
        <v>303.73887825775086</v>
      </c>
      <c r="EN62" s="59">
        <f t="shared" si="20"/>
        <v>564.42828545159364</v>
      </c>
      <c r="EO62" s="59">
        <f ca="1">AVERAGE(OFFSET($EN$3,0,0,'Données projet'!$E$15+1,1))-AVERAGE(OFFSET($H$3,0,0,'Données projet'!$E$15+1,1))</f>
        <v>321.44781099085594</v>
      </c>
      <c r="EP62" s="59">
        <f t="shared" si="46"/>
        <v>201.22243186578183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6.7433015442166582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6.7433015442166582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4</v>
      </c>
      <c r="FE62" s="12">
        <f>IF('Données projet'!$A$218&gt;35,FE61+FD62-FM61,IF(A62&lt;'Données projet'!$A$218,$FB$205^A62,IF(A62='Données projet'!$A$218,'Données projet'!$B$218,FE61+FD62-FM61)))</f>
        <v>190</v>
      </c>
      <c r="FF62" s="17">
        <f>FE62*VLOOKUP('Données projet'!$B$16,Paramètres!$A$1:$I$89,3,0)*VLOOKUP('Données projet'!$B$16,Paramètres!$A$1:$I$89,5,0)</f>
        <v>165.98400000000001</v>
      </c>
      <c r="FG62" s="13">
        <f t="shared" si="47"/>
        <v>42.189325525922243</v>
      </c>
      <c r="FH62" s="20">
        <f t="shared" si="22"/>
        <v>362.56854195764794</v>
      </c>
      <c r="FI62" s="59">
        <f t="shared" si="23"/>
        <v>623.25794915149072</v>
      </c>
      <c r="FJ62" s="59">
        <f ca="1">AVERAGE(OFFSET($FI$3,0,0,'Données projet'!$E$16+1,1))-AVERAGE(OFFSET($H$3,0,0,'Données projet'!$E$16+1,1))</f>
        <v>285.8437404763045</v>
      </c>
      <c r="FK62" s="59">
        <f t="shared" si="48"/>
        <v>276.01618888357268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8.6576385366831072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8.6576385366831072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5.2</v>
      </c>
      <c r="FZ62" s="12">
        <f>IF('Données projet'!$A$244&gt;35,FZ61+FY62-GH61,IF(A62&lt;'Données projet'!$A$244,$FW$205^A62,IF(A62='Données projet'!$A$244,'Données projet'!$B$244,FZ61+FY62-GH61)))</f>
        <v>239.79999999999984</v>
      </c>
      <c r="GA62" s="17">
        <f>FZ62*VLOOKUP('Données projet'!$B$17,Paramètres!$A$1:$I$89,3,0)*VLOOKUP('Données projet'!$B$17,Paramètres!$A$1:$I$89,5,0)</f>
        <v>190.78487999999987</v>
      </c>
      <c r="GB62" s="13">
        <f t="shared" si="49"/>
        <v>47.713437020051622</v>
      </c>
      <c r="GC62" s="20">
        <f t="shared" si="25"/>
        <v>415.384568809923</v>
      </c>
      <c r="GD62" s="59">
        <f t="shared" si="26"/>
        <v>676.07397600376578</v>
      </c>
      <c r="GE62" s="59">
        <f ca="1">AVERAGE(OFFSET($GD$3,0,0,'Données projet'!$E$17+1,1))-AVERAGE(OFFSET($H$3,0,0,'Données projet'!$E$17+1,1))</f>
        <v>323.01113210765487</v>
      </c>
      <c r="GF62" s="59">
        <f t="shared" si="50"/>
        <v>311.68541696405975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9.9747878968080901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9.9747878968080901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4</v>
      </c>
      <c r="GU62" s="12">
        <f>IF('Données projet'!$A$270&gt;35,GU61+GT62-HC61,IF(A62&lt;'Données projet'!$A$270,$GR$205^A62,IF(A62='Données projet'!$A$270,'Données projet'!$B$270,GU61+GT62-HC61)))</f>
        <v>190</v>
      </c>
      <c r="GV62" s="17">
        <f>GU62*VLOOKUP('Données projet'!$B$18,Paramètres!$A$1:$I$89,3,0)*VLOOKUP('Données projet'!$B$18,Paramètres!$A$1:$I$89,5,0)</f>
        <v>165.98400000000001</v>
      </c>
      <c r="GW62" s="13">
        <f t="shared" si="51"/>
        <v>42.189325525922243</v>
      </c>
      <c r="GX62" s="20">
        <f t="shared" si="28"/>
        <v>362.56854195764794</v>
      </c>
      <c r="GY62" s="59">
        <f t="shared" si="29"/>
        <v>623.25794915149072</v>
      </c>
      <c r="GZ62" s="59">
        <f ca="1">AVERAGE(OFFSET($GY$3,0,0,'Données projet'!$E$18+1,1))-AVERAGE(OFFSET($H$3,0,0,'Données projet'!$E$18+1,1))</f>
        <v>285.8437404763045</v>
      </c>
      <c r="HA62" s="59">
        <f t="shared" si="52"/>
        <v>276.01618888357268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8.6576385366831072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8.6576385366831072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148</v>
      </c>
      <c r="L63" s="12">
        <f>VLOOKUP(A63,'Données projet'!$A$35:$I$55,9,0)</f>
        <v>5.4</v>
      </c>
      <c r="M63" s="12">
        <f t="array" ref="M63">INDEX(L:L,MIN(IF(ISNUMBER(L63:L259),ROW(L63:L259),"")))</f>
        <v>5.4</v>
      </c>
      <c r="N63" s="13">
        <f>IF('Données projet'!$A$36&gt;35,N62+M63-V62,IF(A63&lt;'Données projet'!$A$36,$K$205^A63,IF(A63='Données projet'!$A$36,'Données projet'!$B$36,N62+M63-V62)))</f>
        <v>147.99999999999997</v>
      </c>
      <c r="O63" s="13">
        <f>N63*VLOOKUP('Données projet'!$B$9,Paramètres!$A$1:$I$89,3,0)*VLOOKUP('Données projet'!$B$9,Paramètres!$A$1:$I$89,5,0)</f>
        <v>133.91039999999995</v>
      </c>
      <c r="P63" s="13">
        <f t="shared" si="33"/>
        <v>34.898373535125089</v>
      </c>
      <c r="Q63" s="20">
        <f t="shared" si="53"/>
        <v>294.00861390700948</v>
      </c>
      <c r="R63" s="59">
        <f t="shared" si="0"/>
        <v>555.26432023848702</v>
      </c>
      <c r="S63" s="59">
        <f ca="1">AVERAGE(OFFSET($R$3,0,0,'Données projet'!$E$9+1,1))-AVERAGE(OFFSET($H$3,0,0,'Données projet'!$E$9+1,1))</f>
        <v>315.34103933739129</v>
      </c>
      <c r="T63" s="59">
        <f t="shared" si="34"/>
        <v>165.80901858372513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14</v>
      </c>
      <c r="W63" s="16">
        <f>IF(ISNA(VLOOKUP(A63,'Données projet'!$A$35:$I$55,5,0)),0%,VLOOKUP(A63,'Données projet'!$A$35:$I$55,5,0)*VLOOKUP('Données projet'!$B$9,Paramètres!$A$1:$I$89,7,0))</f>
        <v>0.129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6.1356295978309872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6.1356295978309872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436.34</v>
      </c>
      <c r="AG63" s="12">
        <f>VLOOKUP(A63,'Données projet'!$A$61:$I$81,9,0)</f>
        <v>13.14</v>
      </c>
      <c r="AH63" s="12">
        <f t="array" ref="AH63">INDEX(AG:AG,MIN(IF(ISNUMBER(AG63:AG259),ROW(AG63:AG259),"")))</f>
        <v>13.14</v>
      </c>
      <c r="AI63" s="13">
        <f>IF('Données projet'!$A$62&gt;35,AI62+AH63-AQ62,IF(A63&lt;'Données projet'!$A$62,$AF$205^A63,IF(A63='Données projet'!$A$62,'Données projet'!$B$62,AI62+AH63-AQ62)))</f>
        <v>436.33999999999963</v>
      </c>
      <c r="AJ63" s="13">
        <f>AI63*VLOOKUP('Données projet'!$B$10,Paramètres!$A$1:$I$89,3,0)*VLOOKUP('Données projet'!$B$10,Paramètres!$A$1:$I$89,5,0)</f>
        <v>260.9313199999998</v>
      </c>
      <c r="AK63" s="13">
        <f t="shared" si="35"/>
        <v>62.92085641383472</v>
      </c>
      <c r="AL63" s="20">
        <f t="shared" si="4"/>
        <v>564.04254058742833</v>
      </c>
      <c r="AM63" s="59">
        <f t="shared" si="5"/>
        <v>825.29824691890576</v>
      </c>
      <c r="AN63" s="59">
        <f ca="1">AVERAGE(OFFSET($AM$3,0,0,'Données projet'!$E$10+1,1))-AVERAGE(OFFSET($H$3,0,0,'Données projet'!$E$10+1,1))</f>
        <v>317.328615425664</v>
      </c>
      <c r="AO63" s="59">
        <f t="shared" si="36"/>
        <v>324.95872842255744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436.34</v>
      </c>
      <c r="AR63" s="16">
        <f>IF(ISNA(VLOOKUP(A63,'Données projet'!$A$61:$I$81,5,0)),0%,VLOOKUP(A63,'Données projet'!$A$61:$I$81,5,0)*VLOOKUP('Données projet'!$B$10,Paramètres!$A$1:$I$89,7,0))</f>
        <v>0.36000000000000004</v>
      </c>
      <c r="AS63" s="16">
        <f>IF(ISNA(VLOOKUP(A63,'Données projet'!$A$61:$I$81,6,0)),0%,VLOOKUP(A63,'Données projet'!$A$61:$I$81,6,0)*VLOOKUP('Données projet'!$B$10,Paramètres!$A$1:$I$89,7,0))</f>
        <v>4.9500000000000002E-2</v>
      </c>
      <c r="AT63" s="16">
        <f>IF(ISNA(VLOOKUP(A63,'Données projet'!$A$61:$I$81,7,0)),0%,VLOOKUP(A63,'Données projet'!$A$61:$I$81,7,0))</f>
        <v>0.09</v>
      </c>
      <c r="AU63" s="21">
        <f>EXP(-LN(2)/35)*AU62+(1-EXP(-LN(2)/35))/(LN(2)/35)*AQ63*AR63*VLOOKUP('Données projet'!$B$10,Paramètres!$A$1:$I$89,3,0)*0.475*44/12</f>
        <v>175.53215501493966</v>
      </c>
      <c r="AV63" s="21">
        <f>EXP(-LN(2)/25)*AV62+(1-EXP(-LN(2)/25))/(LN(2)/25)*Calculateur!AQ63*Calculateur!AS63*VLOOKUP('Données projet'!$B$10,Paramètres!$A$1:$I$89,3,0)*0.475*44/12</f>
        <v>33.839169805001944</v>
      </c>
      <c r="AW63" s="21">
        <f>EXP(-LN(2)/2)*AW62+(1-EXP(-LN(2)/2))/(LN(2)/2)*AQ63*AT63*VLOOKUP('Données projet'!$B$10,Paramètres!$A$1:$I$89,3,0)*0.475*44/12</f>
        <v>26.897264843294106</v>
      </c>
      <c r="AX63" s="21">
        <f t="shared" si="6"/>
        <v>236.2685896632357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9.75</v>
      </c>
      <c r="BD63" s="12">
        <f>IF('Données projet'!$A$88&gt;35,BD62+BC63-BL62,IF(A63&lt;'Données projet'!$A$88,$BA$205^A63,IF(A63='Données projet'!$A$88,'Données projet'!$B$88,BD62+BC63-BL62)))</f>
        <v>303.48999999999995</v>
      </c>
      <c r="BE63" s="13">
        <f>BD63*VLOOKUP('Données projet'!$B$11,Paramètres!$A$1:$I$89,3,0)*VLOOKUP('Données projet'!$B$11,Paramètres!$A$1:$I$89,5,0)</f>
        <v>349.62047999999987</v>
      </c>
      <c r="BF63" s="13">
        <f t="shared" si="37"/>
        <v>81.48435919478662</v>
      </c>
      <c r="BG63" s="20">
        <f t="shared" si="7"/>
        <v>750.84092826425319</v>
      </c>
      <c r="BH63" s="59">
        <f t="shared" si="8"/>
        <v>1012.0966345957306</v>
      </c>
      <c r="BI63" s="59">
        <f ca="1">AVERAGE(OFFSET($BH$3,0,0,'Données projet'!$E$11+1,1))-AVERAGE(OFFSET($H$3,0,0,'Données projet'!$E$11+1,1))</f>
        <v>418.31716673276725</v>
      </c>
      <c r="BJ63" s="59">
        <f t="shared" si="38"/>
        <v>472.37891533957929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36.806060679960353</v>
      </c>
      <c r="BQ63" s="21">
        <f>EXP(-LN(2)/25)*BQ62+(1-EXP(-LN(2)/25))/(LN(2)/25)*Calculateur!BL63*Calculateur!BN63*VLOOKUP('Données projet'!$B$11,Paramètres!$A$1:$I$89,3,0)*0.475*44/12</f>
        <v>16.934606472879327</v>
      </c>
      <c r="BR63" s="21">
        <f>EXP(-LN(2)/2)*BR62+(1-EXP(-LN(2)/2))/(LN(2)/2)*BL63*BO63*VLOOKUP('Données projet'!$B$11,Paramètres!$A$1:$I$89,3,0)*0.475*44/12</f>
        <v>0.64203573372477474</v>
      </c>
      <c r="BS63" s="22">
        <f t="shared" si="9"/>
        <v>54.382702886564452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4.9966666666666653</v>
      </c>
      <c r="BY63" s="12">
        <f>IF('Données projet'!$A$114&gt;35,BY62+BX63-CG62,IF(A63&lt;'Données projet'!$A$114,$BV$205^A63,IF(A63='Données projet'!$A$114,'Données projet'!$B$114,BY62+BX63-CG62)))</f>
        <v>141.85333333333344</v>
      </c>
      <c r="BZ63" s="13">
        <f>BY63*VLOOKUP('Données projet'!$B$12,Paramètres!$A$1:$I$89,3,0)*VLOOKUP('Données projet'!$B$12,Paramètres!$A$1:$I$89,5,0)</f>
        <v>82.984200000000058</v>
      </c>
      <c r="CA63" s="13">
        <f t="shared" si="39"/>
        <v>22.865274028464952</v>
      </c>
      <c r="CB63" s="20">
        <f t="shared" si="10"/>
        <v>184.35450059957654</v>
      </c>
      <c r="CC63" s="59">
        <f t="shared" si="11"/>
        <v>445.61020693105399</v>
      </c>
      <c r="CD63" s="59">
        <f ca="1">AVERAGE(OFFSET($CC$3,0,0,'Données projet'!$E$12+1,1))-AVERAGE(OFFSET($H$3,0,0,'Données projet'!$E$12+1,1))</f>
        <v>184.11352167663844</v>
      </c>
      <c r="CE63" s="59">
        <f t="shared" si="40"/>
        <v>145.86653500981791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9.6046418777517815</v>
      </c>
      <c r="CL63" s="21">
        <f>EXP(-LN(2)/25)*CL62+(1-EXP(-LN(2)/25))/(LN(2)/25)*Calculateur!CG63*Calculateur!CI63*VLOOKUP('Données projet'!$B$12,Paramètres!$A$1:$I$89,3,0)*0.475*44/12</f>
        <v>8.9652749903886004</v>
      </c>
      <c r="CM63" s="21">
        <f>EXP(-LN(2)/2)*CM62+(1-EXP(-LN(2)/2))/(LN(2)/2)*CG63*CJ63*VLOOKUP('Données projet'!$B$12,Paramètres!$A$1:$I$89,3,0)*0.475*44/12</f>
        <v>0.75507116550202535</v>
      </c>
      <c r="CN63" s="22">
        <f t="shared" si="12"/>
        <v>19.324988033642406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278.43</v>
      </c>
      <c r="CR63" s="12">
        <f>VLOOKUP(A63,'Données projet'!$A$139:$I$159,9,0)</f>
        <v>8.043000000000001</v>
      </c>
      <c r="CS63" s="12">
        <f t="array" ref="CS63">INDEX(CR:CR,MIN(IF(ISNUMBER(CR63:CR259),ROW(CR63:CR259),"")))</f>
        <v>8.043000000000001</v>
      </c>
      <c r="CT63" s="12">
        <f>IF('Données projet'!$A$140&gt;35,CT62+CS63-DB62,IF(A63&lt;'Données projet'!$A$140,$CQ$205^A63,IF(A63='Données projet'!$A$140,'Données projet'!$B$140,CT62+CS63-DB62)))</f>
        <v>278.43000000000006</v>
      </c>
      <c r="CU63" s="17">
        <f>CT63*VLOOKUP('Données projet'!$B$13,Paramètres!$A$1:$I$89,3,0)*VLOOKUP('Données projet'!$B$13,Paramètres!$A$1:$I$89,5,0)</f>
        <v>133.92483000000004</v>
      </c>
      <c r="CV63" s="13">
        <f t="shared" si="41"/>
        <v>34.901696380973441</v>
      </c>
      <c r="CW63" s="20">
        <f t="shared" si="13"/>
        <v>294.03953344686215</v>
      </c>
      <c r="CX63" s="59">
        <f t="shared" si="14"/>
        <v>555.29523977833969</v>
      </c>
      <c r="CY63" s="59">
        <f ca="1">AVERAGE(OFFSET($CX$3,0,0,'Données projet'!$E$13+1,1))-AVERAGE(OFFSET($H$3,0,0,'Données projet'!$E$13+1,1))</f>
        <v>303.76035885073708</v>
      </c>
      <c r="CZ63" s="59">
        <f t="shared" si="42"/>
        <v>127.43112562890414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0.30800000000000005</v>
      </c>
      <c r="DE63" s="16">
        <f>IF(ISNA(VLOOKUP(A63,'Données projet'!$A$139:$I$159,7,0)),0%,VLOOKUP(A63,'Données projet'!$A$139:$I$159,7,0))</f>
        <v>0.44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311</v>
      </c>
      <c r="DM63" s="12">
        <f>VLOOKUP(A63,'Données projet'!$A$165:$I$185,9,0)</f>
        <v>2.2000000000000002</v>
      </c>
      <c r="DN63" s="12">
        <f t="array" ref="DN63">INDEX(DM:DM,MIN(IF(ISNUMBER(DM63:DM259),ROW(DM63:DM259),"")))</f>
        <v>2.2000000000000002</v>
      </c>
      <c r="DO63" s="12">
        <f>IF('Données projet'!$A$166&gt;35,DO62+DN63-DW62,IF(A63&lt;'Données projet'!$A$166,$DL$205^A63,IF(A63='Données projet'!$A$166,'Données projet'!$B$166,DO62+DN63-DW62)))</f>
        <v>311.00000000000006</v>
      </c>
      <c r="DP63" s="17">
        <f>DO63*VLOOKUP('Données projet'!$B$14,Paramètres!$A$1:$I$89,3,0)*VLOOKUP('Données projet'!$B$14,Paramètres!$A$1:$I$89,5,0)</f>
        <v>179.50920000000005</v>
      </c>
      <c r="DQ63" s="13">
        <f t="shared" si="43"/>
        <v>45.212974863201921</v>
      </c>
      <c r="DR63" s="20">
        <f t="shared" si="16"/>
        <v>391.39112122007674</v>
      </c>
      <c r="DS63" s="59">
        <f t="shared" si="17"/>
        <v>652.64682755155422</v>
      </c>
      <c r="DT63" s="59">
        <f ca="1">AVERAGE(OFFSET($DS$3,0,0,'Données projet'!$E$14+1,1))-AVERAGE(OFFSET($H$3,0,0,'Données projet'!$E$14+1,1))</f>
        <v>243.65374431792841</v>
      </c>
      <c r="DU63" s="59">
        <f t="shared" si="44"/>
        <v>271.60754570002939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311</v>
      </c>
      <c r="DX63" s="16">
        <f>IF(ISNA(VLOOKUP(A63,'Données projet'!$A$165:$I$185,5,0)),0%,VLOOKUP(A63,'Données projet'!$A$165:$I$185,5,0)*VLOOKUP('Données projet'!$B$14,Paramètres!$A$1:$I$89,7,0))</f>
        <v>0.3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59.532631036096866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59.532631036096866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214</v>
      </c>
      <c r="EH63" s="12">
        <f>VLOOKUP(A63,'Données projet'!$A$191:$I$211,9,0)</f>
        <v>7.6</v>
      </c>
      <c r="EI63" s="12">
        <f t="array" ref="EI63">INDEX(EH:EH,MIN(IF(ISNUMBER(EH63:EH259),ROW(EH63:EH259),"")))</f>
        <v>7.6</v>
      </c>
      <c r="EJ63" s="12">
        <f>IF('Données projet'!$A$192&gt;35,EJ62+EI63-ER62,IF(A63&lt;'Données projet'!$A$192,$EG$205^A63,IF(A63='Données projet'!$A$192,'Données projet'!$B$192,EJ62+EI63-ER62)))</f>
        <v>214</v>
      </c>
      <c r="EK63" s="17">
        <f>EJ63*VLOOKUP('Données projet'!$B$15,Paramètres!$A$1:$I$89,3,0)*VLOOKUP('Données projet'!$B$15,Paramètres!$A$1:$I$89,5,0)</f>
        <v>143.55119999999999</v>
      </c>
      <c r="EL63" s="13">
        <f t="shared" si="45"/>
        <v>37.109345732537925</v>
      </c>
      <c r="EM63" s="20">
        <f t="shared" si="19"/>
        <v>314.65045048417022</v>
      </c>
      <c r="EN63" s="59">
        <f t="shared" si="20"/>
        <v>575.90615681564771</v>
      </c>
      <c r="EO63" s="59">
        <f ca="1">AVERAGE(OFFSET($EN$3,0,0,'Données projet'!$E$15+1,1))-AVERAGE(OFFSET($H$3,0,0,'Données projet'!$E$15+1,1))</f>
        <v>321.44781099085594</v>
      </c>
      <c r="EP63" s="59">
        <f t="shared" si="46"/>
        <v>201.22243186578183</v>
      </c>
      <c r="EQ63" s="15">
        <f>IF(ISNA(VLOOKUP(A63,'Données projet'!$A$191:$I$211,3,0)),0,VLOOKUP(A63,'Données projet'!$A$191:$I$211,3,0))</f>
        <v>9</v>
      </c>
      <c r="ER63" s="15">
        <f>IF(ISNA(VLOOKUP(A63,'Données projet'!$A$191:$I$211,4,0)),0,VLOOKUP(A63,'Données projet'!$A$191:$I$211,4,0))</f>
        <v>21</v>
      </c>
      <c r="ES63" s="16">
        <f>IF(ISNA(VLOOKUP(A63,'Données projet'!$A$191:$I$211,5,0)),0%,VLOOKUP(A63,'Données projet'!$A$191:$I$211,5,0)*VLOOKUP('Données projet'!$B$15,Paramètres!$A$1:$I$89,7,0))</f>
        <v>0.21200000000000002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9.9124480241321962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9.9124480241321962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194</v>
      </c>
      <c r="FC63" s="12">
        <f>VLOOKUP(A63,'Données projet'!$A$217:$I$237,9,0)</f>
        <v>4</v>
      </c>
      <c r="FD63" s="12">
        <f t="array" ref="FD63">INDEX(FC:FC,MIN(IF(ISNUMBER(FC63:FC259),ROW(FC63:FC259),"")))</f>
        <v>4</v>
      </c>
      <c r="FE63" s="12">
        <f>IF('Données projet'!$A$218&gt;35,FE62+FD63-FM62,IF(A63&lt;'Données projet'!$A$218,$FB$205^A63,IF(A63='Données projet'!$A$218,'Données projet'!$B$218,FE62+FD63-FM62)))</f>
        <v>194</v>
      </c>
      <c r="FF63" s="17">
        <f>FE63*VLOOKUP('Données projet'!$B$16,Paramètres!$A$1:$I$89,3,0)*VLOOKUP('Données projet'!$B$16,Paramètres!$A$1:$I$89,5,0)</f>
        <v>169.47840000000002</v>
      </c>
      <c r="FG63" s="13">
        <f t="shared" si="47"/>
        <v>42.973181651930332</v>
      </c>
      <c r="FH63" s="20">
        <f t="shared" si="22"/>
        <v>370.01983804377869</v>
      </c>
      <c r="FI63" s="59">
        <f t="shared" si="23"/>
        <v>631.27554437525623</v>
      </c>
      <c r="FJ63" s="59">
        <f ca="1">AVERAGE(OFFSET($FI$3,0,0,'Données projet'!$E$16+1,1))-AVERAGE(OFFSET($H$3,0,0,'Données projet'!$E$16+1,1))</f>
        <v>285.8437404763045</v>
      </c>
      <c r="FK63" s="59">
        <f t="shared" si="48"/>
        <v>276.01618888357268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9</v>
      </c>
      <c r="FN63" s="16">
        <f>IF(ISNA(VLOOKUP(A63,'Données projet'!$A$217:$I$237,5,0)),0%,VLOOKUP(A63,'Données projet'!$A$217:$I$237,5,0)*VLOOKUP('Données projet'!$B$16,Paramètres!$A$1:$I$89,7,0))</f>
        <v>0.21200000000000002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10.33049739176929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10.33049739176929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245</v>
      </c>
      <c r="FX63" s="12">
        <f>VLOOKUP(A63,'Données projet'!$A$243:$I$263,9,0)</f>
        <v>5.2</v>
      </c>
      <c r="FY63" s="12">
        <f t="array" ref="FY63">INDEX(FX:FX,MIN(IF(ISNUMBER(FX63:FX259),ROW(FX63:FX259),"")))</f>
        <v>5.2</v>
      </c>
      <c r="FZ63" s="12">
        <f>IF('Données projet'!$A$244&gt;35,FZ62+FY63-GH62,IF(A63&lt;'Données projet'!$A$244,$FW$205^A63,IF(A63='Données projet'!$A$244,'Données projet'!$B$244,FZ62+FY63-GH62)))</f>
        <v>244.99999999999983</v>
      </c>
      <c r="GA63" s="17">
        <f>FZ63*VLOOKUP('Données projet'!$B$17,Paramètres!$A$1:$I$89,3,0)*VLOOKUP('Données projet'!$B$17,Paramètres!$A$1:$I$89,5,0)</f>
        <v>194.92199999999988</v>
      </c>
      <c r="GB63" s="13">
        <f t="shared" si="49"/>
        <v>48.626512129794925</v>
      </c>
      <c r="GC63" s="20">
        <f t="shared" si="25"/>
        <v>424.18032529272591</v>
      </c>
      <c r="GD63" s="59">
        <f t="shared" si="26"/>
        <v>685.43603162420345</v>
      </c>
      <c r="GE63" s="59">
        <f ca="1">AVERAGE(OFFSET($GD$3,0,0,'Données projet'!$E$17+1,1))-AVERAGE(OFFSET($H$3,0,0,'Données projet'!$E$17+1,1))</f>
        <v>323.01113210765487</v>
      </c>
      <c r="GF63" s="59">
        <f t="shared" si="50"/>
        <v>311.68541696405975</v>
      </c>
      <c r="GG63" s="15">
        <f>IF(ISNA(VLOOKUP(A63,'Données projet'!$A$243:$I$263,3,0)),0,VLOOKUP(A63,'Données projet'!$A$243:$I$263,3,0))</f>
        <v>10</v>
      </c>
      <c r="GH63" s="15">
        <f>IF(ISNA(VLOOKUP(A63,'Données projet'!$A$243:$I$263,4,0)),0,VLOOKUP(A63,'Données projet'!$A$243:$I$263,4,0))</f>
        <v>12</v>
      </c>
      <c r="GI63" s="16">
        <f>IF(ISNA(VLOOKUP(A63,'Données projet'!$A$243:$I$263,5,0)),0%,VLOOKUP(A63,'Données projet'!$A$243:$I$263,5,0)*VLOOKUP('Données projet'!$B$17,Paramètres!$A$1:$I$89,7,0))</f>
        <v>0.21200000000000002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12.016667513356674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12.016667513356674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194</v>
      </c>
      <c r="GS63" s="12">
        <f>VLOOKUP(A63,'Données projet'!$A$269:$I$289,9,0)</f>
        <v>4</v>
      </c>
      <c r="GT63" s="12">
        <f t="array" ref="GT63">INDEX(GS:GS,MIN(IF(ISNUMBER(GS63:GS259),ROW(GS63:GS259),"")))</f>
        <v>4</v>
      </c>
      <c r="GU63" s="12">
        <f>IF('Données projet'!$A$270&gt;35,GU62+GT63-HC62,IF(A63&lt;'Données projet'!$A$270,$GR$205^A63,IF(A63='Données projet'!$A$270,'Données projet'!$B$270,GU62+GT63-HC62)))</f>
        <v>194</v>
      </c>
      <c r="GV63" s="17">
        <f>GU63*VLOOKUP('Données projet'!$B$18,Paramètres!$A$1:$I$89,3,0)*VLOOKUP('Données projet'!$B$18,Paramètres!$A$1:$I$89,5,0)</f>
        <v>169.47840000000002</v>
      </c>
      <c r="GW63" s="13">
        <f t="shared" si="51"/>
        <v>42.973181651930332</v>
      </c>
      <c r="GX63" s="20">
        <f t="shared" si="28"/>
        <v>370.01983804377869</v>
      </c>
      <c r="GY63" s="59">
        <f t="shared" si="29"/>
        <v>631.27554437525623</v>
      </c>
      <c r="GZ63" s="59">
        <f ca="1">AVERAGE(OFFSET($GY$3,0,0,'Données projet'!$E$18+1,1))-AVERAGE(OFFSET($H$3,0,0,'Données projet'!$E$18+1,1))</f>
        <v>285.8437404763045</v>
      </c>
      <c r="HA63" s="59">
        <f t="shared" si="52"/>
        <v>276.01618888357268</v>
      </c>
      <c r="HB63" s="15">
        <f>IF(ISNA(VLOOKUP(A63,'Données projet'!$A$269:$I$289,3,0)),0,VLOOKUP(A63,'Données projet'!$A$269:$I$289,3,0))</f>
        <v>10</v>
      </c>
      <c r="HC63" s="15">
        <f>IF(ISNA(VLOOKUP(A63,'Données projet'!$A$269:$I$289,4,0)),0,VLOOKUP(A63,'Données projet'!$A$269:$I$289,4,0))</f>
        <v>9</v>
      </c>
      <c r="HD63" s="16">
        <f>IF(ISNA(VLOOKUP(A63,'Données projet'!$A$269:$I$289,5,0)),0%,VLOOKUP(A63,'Données projet'!$A$269:$I$289,5,0)*VLOOKUP('Données projet'!$B$18,Paramètres!$A$1:$I$89,7,0))</f>
        <v>0.21200000000000002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10.33049739176929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10.33049739176929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5.4</v>
      </c>
      <c r="N64" s="13">
        <f>IF('Données projet'!$A$36&gt;35,N63+M64-V63,IF(A64&lt;'Données projet'!$A$36,$K$205^A64,IF(A64='Données projet'!$A$36,'Données projet'!$B$36,N63+M64-V63)))</f>
        <v>139.39999999999998</v>
      </c>
      <c r="O64" s="13">
        <f>N64*VLOOKUP('Données projet'!$B$9,Paramètres!$A$1:$I$89,3,0)*VLOOKUP('Données projet'!$B$9,Paramètres!$A$1:$I$89,5,0)</f>
        <v>126.12911999999997</v>
      </c>
      <c r="P64" s="13">
        <f t="shared" si="33"/>
        <v>33.100345121748241</v>
      </c>
      <c r="Q64" s="20">
        <f t="shared" si="53"/>
        <v>277.32465175371141</v>
      </c>
      <c r="R64" s="59">
        <f t="shared" si="0"/>
        <v>539.1368331988408</v>
      </c>
      <c r="S64" s="59">
        <f ca="1">AVERAGE(OFFSET($R$3,0,0,'Données projet'!$E$9+1,1))-AVERAGE(OFFSET($H$3,0,0,'Données projet'!$E$9+1,1))</f>
        <v>315.34103933739129</v>
      </c>
      <c r="T64" s="59">
        <f t="shared" si="34"/>
        <v>165.80901858372513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6.015313643782048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6.015313643782048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-3.4106051316484809E-13</v>
      </c>
      <c r="AJ64" s="13">
        <f>AI64*VLOOKUP('Données projet'!$B$10,Paramètres!$A$1:$I$89,3,0)*VLOOKUP('Données projet'!$B$10,Paramètres!$A$1:$I$89,5,0)</f>
        <v>-2.0395418687257919E-13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317.328615425664</v>
      </c>
      <c r="AO64" s="59">
        <f t="shared" si="36"/>
        <v>324.95872842255744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172.09007651913956</v>
      </c>
      <c r="AV64" s="21">
        <f>EXP(-LN(2)/25)*AV63+(1-EXP(-LN(2)/25))/(LN(2)/25)*Calculateur!AQ64*Calculateur!AS64*VLOOKUP('Données projet'!$B$10,Paramètres!$A$1:$I$89,3,0)*0.475*44/12</f>
        <v>32.913835927159568</v>
      </c>
      <c r="AW64" s="21">
        <f>EXP(-LN(2)/2)*AW63+(1-EXP(-LN(2)/2))/(LN(2)/2)*AQ64*AT64*VLOOKUP('Données projet'!$B$10,Paramètres!$A$1:$I$89,3,0)*0.475*44/12</f>
        <v>19.019238366063785</v>
      </c>
      <c r="AX64" s="21">
        <f t="shared" si="6"/>
        <v>224.0231508123629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9.75</v>
      </c>
      <c r="BD64" s="12">
        <f>IF('Données projet'!$A$88&gt;35,BD63+BC64-BL63,IF(A64&lt;'Données projet'!$A$88,$BA$205^A64,IF(A64='Données projet'!$A$88,'Données projet'!$B$88,BD63+BC64-BL63)))</f>
        <v>313.23999999999995</v>
      </c>
      <c r="BE64" s="13">
        <f>BD64*VLOOKUP('Données projet'!$B$11,Paramètres!$A$1:$I$89,3,0)*VLOOKUP('Données projet'!$B$11,Paramètres!$A$1:$I$89,5,0)</f>
        <v>360.8524799999999</v>
      </c>
      <c r="BF64" s="13">
        <f t="shared" si="37"/>
        <v>83.793162705548411</v>
      </c>
      <c r="BG64" s="20">
        <f t="shared" si="7"/>
        <v>774.42449437882988</v>
      </c>
      <c r="BH64" s="59">
        <f t="shared" si="8"/>
        <v>1036.2366758239591</v>
      </c>
      <c r="BI64" s="59">
        <f ca="1">AVERAGE(OFFSET($BH$3,0,0,'Données projet'!$E$11+1,1))-AVERAGE(OFFSET($H$3,0,0,'Données projet'!$E$11+1,1))</f>
        <v>418.31716673276725</v>
      </c>
      <c r="BJ64" s="59">
        <f t="shared" si="38"/>
        <v>472.37891533957929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36.084316279506645</v>
      </c>
      <c r="BQ64" s="21">
        <f>EXP(-LN(2)/25)*BQ63+(1-EXP(-LN(2)/25))/(LN(2)/25)*Calculateur!BL64*Calculateur!BN64*VLOOKUP('Données projet'!$B$11,Paramètres!$A$1:$I$89,3,0)*0.475*44/12</f>
        <v>16.471528768326191</v>
      </c>
      <c r="BR64" s="21">
        <f>EXP(-LN(2)/2)*BR63+(1-EXP(-LN(2)/2))/(LN(2)/2)*BL64*BO64*VLOOKUP('Données projet'!$B$11,Paramètres!$A$1:$I$89,3,0)*0.475*44/12</f>
        <v>0.45398782108086883</v>
      </c>
      <c r="BS64" s="22">
        <f t="shared" si="9"/>
        <v>53.009832868913705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4.9966666666666653</v>
      </c>
      <c r="BY64" s="12">
        <f>IF('Données projet'!$A$114&gt;35,BY63+BX64-CG63,IF(A64&lt;'Données projet'!$A$114,$BV$205^A64,IF(A64='Données projet'!$A$114,'Données projet'!$B$114,BY63+BX64-CG63)))</f>
        <v>146.85000000000011</v>
      </c>
      <c r="BZ64" s="13">
        <f>BY64*VLOOKUP('Données projet'!$B$12,Paramètres!$A$1:$I$89,3,0)*VLOOKUP('Données projet'!$B$12,Paramètres!$A$1:$I$89,5,0)</f>
        <v>85.907250000000076</v>
      </c>
      <c r="CA64" s="13">
        <f t="shared" si="39"/>
        <v>23.575494511574501</v>
      </c>
      <c r="CB64" s="20">
        <f t="shared" si="10"/>
        <v>190.68244669099238</v>
      </c>
      <c r="CC64" s="59">
        <f t="shared" si="11"/>
        <v>452.49462813612172</v>
      </c>
      <c r="CD64" s="59">
        <f ca="1">AVERAGE(OFFSET($CC$3,0,0,'Données projet'!$E$12+1,1))-AVERAGE(OFFSET($H$3,0,0,'Données projet'!$E$12+1,1))</f>
        <v>184.11352167663844</v>
      </c>
      <c r="CE64" s="59">
        <f t="shared" si="40"/>
        <v>145.86653500981791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9.4163007087821597</v>
      </c>
      <c r="CL64" s="21">
        <f>EXP(-LN(2)/25)*CL63+(1-EXP(-LN(2)/25))/(LN(2)/25)*Calculateur!CG64*Calculateur!CI64*VLOOKUP('Données projet'!$B$12,Paramètres!$A$1:$I$89,3,0)*0.475*44/12</f>
        <v>8.7201190743131036</v>
      </c>
      <c r="CM64" s="21">
        <f>EXP(-LN(2)/2)*CM63+(1-EXP(-LN(2)/2))/(LN(2)/2)*CG64*CJ64*VLOOKUP('Données projet'!$B$12,Paramètres!$A$1:$I$89,3,0)*0.475*44/12</f>
        <v>0.53391594140491205</v>
      </c>
      <c r="CN64" s="22">
        <f t="shared" si="12"/>
        <v>18.670335724500177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8.3828571428571443</v>
      </c>
      <c r="CT64" s="12">
        <f>IF('Données projet'!$A$140&gt;35,CT63+CS64-DB63,IF(A64&lt;'Données projet'!$A$140,$CQ$205^A64,IF(A64='Données projet'!$A$140,'Données projet'!$B$140,CT63+CS64-DB63)))</f>
        <v>286.81285714285718</v>
      </c>
      <c r="CU64" s="17">
        <f>CT64*VLOOKUP('Données projet'!$B$13,Paramètres!$A$1:$I$89,3,0)*VLOOKUP('Données projet'!$B$13,Paramètres!$A$1:$I$89,5,0)</f>
        <v>137.9569842857143</v>
      </c>
      <c r="CV64" s="13">
        <f t="shared" si="41"/>
        <v>35.828579608655666</v>
      </c>
      <c r="CW64" s="20">
        <f t="shared" si="13"/>
        <v>302.67652378269435</v>
      </c>
      <c r="CX64" s="59">
        <f t="shared" si="14"/>
        <v>564.48870522782363</v>
      </c>
      <c r="CY64" s="59">
        <f ca="1">AVERAGE(OFFSET($CX$3,0,0,'Données projet'!$E$13+1,1))-AVERAGE(OFFSET($H$3,0,0,'Données projet'!$E$13+1,1))</f>
        <v>303.76035885073708</v>
      </c>
      <c r="CZ64" s="59">
        <f t="shared" si="42"/>
        <v>127.43112562890414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5.6843418860808015E-14</v>
      </c>
      <c r="DP64" s="17">
        <f>DO64*VLOOKUP('Données projet'!$B$14,Paramètres!$A$1:$I$89,3,0)*VLOOKUP('Données projet'!$B$14,Paramètres!$A$1:$I$89,5,0)</f>
        <v>3.2810021366458389E-14</v>
      </c>
      <c r="DQ64" s="13">
        <f t="shared" si="43"/>
        <v>5.6117125884464641E-13</v>
      </c>
      <c r="DR64" s="20">
        <f t="shared" si="16"/>
        <v>1.0345173963676741E-12</v>
      </c>
      <c r="DS64" s="59">
        <f t="shared" si="17"/>
        <v>261.81218144513036</v>
      </c>
      <c r="DT64" s="59">
        <f ca="1">AVERAGE(OFFSET($DS$3,0,0,'Données projet'!$E$14+1,1))-AVERAGE(OFFSET($H$3,0,0,'Données projet'!$E$14+1,1))</f>
        <v>243.65374431792841</v>
      </c>
      <c r="DU64" s="59">
        <f t="shared" si="44"/>
        <v>271.60754570002939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58.365232452798494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58.365232452798494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7.2</v>
      </c>
      <c r="EJ64" s="12">
        <f>IF('Données projet'!$A$192&gt;35,EJ63+EI64-ER63,IF(A64&lt;'Données projet'!$A$192,$EG$205^A64,IF(A64='Données projet'!$A$192,'Données projet'!$B$192,EJ63+EI64-ER63)))</f>
        <v>200.2</v>
      </c>
      <c r="EK64" s="17">
        <f>EJ64*VLOOKUP('Données projet'!$B$15,Paramètres!$A$1:$I$89,3,0)*VLOOKUP('Données projet'!$B$15,Paramètres!$A$1:$I$89,5,0)</f>
        <v>134.29416000000001</v>
      </c>
      <c r="EL64" s="13">
        <f t="shared" si="45"/>
        <v>34.98672910402766</v>
      </c>
      <c r="EM64" s="20">
        <f t="shared" si="19"/>
        <v>294.83088185618152</v>
      </c>
      <c r="EN64" s="59">
        <f t="shared" si="20"/>
        <v>556.6430633013108</v>
      </c>
      <c r="EO64" s="59">
        <f ca="1">AVERAGE(OFFSET($EN$3,0,0,'Données projet'!$E$15+1,1))-AVERAGE(OFFSET($H$3,0,0,'Données projet'!$E$15+1,1))</f>
        <v>321.44781099085594</v>
      </c>
      <c r="EP64" s="59">
        <f t="shared" si="46"/>
        <v>201.22243186578183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9.7180709643752667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9.7180709643752667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3.4</v>
      </c>
      <c r="FE64" s="12">
        <f>IF('Données projet'!$A$218&gt;35,FE63+FD64-FM63,IF(A64&lt;'Données projet'!$A$218,$FB$205^A64,IF(A64='Données projet'!$A$218,'Données projet'!$B$218,FE63+FD64-FM63)))</f>
        <v>188.4</v>
      </c>
      <c r="FF64" s="17">
        <f>FE64*VLOOKUP('Données projet'!$B$16,Paramètres!$A$1:$I$89,3,0)*VLOOKUP('Données projet'!$B$16,Paramètres!$A$1:$I$89,5,0)</f>
        <v>164.58624000000003</v>
      </c>
      <c r="FG64" s="13">
        <f t="shared" si="47"/>
        <v>41.875247075991886</v>
      </c>
      <c r="FH64" s="20">
        <f t="shared" si="22"/>
        <v>359.58708999068591</v>
      </c>
      <c r="FI64" s="59">
        <f t="shared" si="23"/>
        <v>621.39927143581531</v>
      </c>
      <c r="FJ64" s="59">
        <f ca="1">AVERAGE(OFFSET($FI$3,0,0,'Données projet'!$E$16+1,1))-AVERAGE(OFFSET($H$3,0,0,'Données projet'!$E$16+1,1))</f>
        <v>285.8437404763045</v>
      </c>
      <c r="FK64" s="59">
        <f t="shared" si="48"/>
        <v>276.01618888357268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10.127922638897934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10.127922638897934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4.4000000000000004</v>
      </c>
      <c r="FZ64" s="12">
        <f>IF('Données projet'!$A$244&gt;35,FZ63+FY64-GH63,IF(A64&lt;'Données projet'!$A$244,$FW$205^A64,IF(A64='Données projet'!$A$244,'Données projet'!$B$244,FZ63+FY64-GH63)))</f>
        <v>237.39999999999984</v>
      </c>
      <c r="GA64" s="17">
        <f>FZ64*VLOOKUP('Données projet'!$B$17,Paramètres!$A$1:$I$89,3,0)*VLOOKUP('Données projet'!$B$17,Paramètres!$A$1:$I$89,5,0)</f>
        <v>188.87543999999988</v>
      </c>
      <c r="GB64" s="13">
        <f t="shared" si="49"/>
        <v>47.291242769027726</v>
      </c>
      <c r="GC64" s="20">
        <f t="shared" si="25"/>
        <v>411.32363915605634</v>
      </c>
      <c r="GD64" s="59">
        <f t="shared" si="26"/>
        <v>673.13582060118574</v>
      </c>
      <c r="GE64" s="59">
        <f ca="1">AVERAGE(OFFSET($GD$3,0,0,'Données projet'!$E$17+1,1))-AVERAGE(OFFSET($H$3,0,0,'Données projet'!$E$17+1,1))</f>
        <v>323.01113210765487</v>
      </c>
      <c r="GF64" s="59">
        <f t="shared" si="50"/>
        <v>311.68541696405975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11.78102799286321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11.78102799286321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3.4</v>
      </c>
      <c r="GU64" s="12">
        <f>IF('Données projet'!$A$270&gt;35,GU63+GT64-HC63,IF(A64&lt;'Données projet'!$A$270,$GR$205^A64,IF(A64='Données projet'!$A$270,'Données projet'!$B$270,GU63+GT64-HC63)))</f>
        <v>188.4</v>
      </c>
      <c r="GV64" s="17">
        <f>GU64*VLOOKUP('Données projet'!$B$18,Paramètres!$A$1:$I$89,3,0)*VLOOKUP('Données projet'!$B$18,Paramètres!$A$1:$I$89,5,0)</f>
        <v>164.58624000000003</v>
      </c>
      <c r="GW64" s="13">
        <f t="shared" si="51"/>
        <v>41.875247075991886</v>
      </c>
      <c r="GX64" s="20">
        <f t="shared" si="28"/>
        <v>359.58708999068591</v>
      </c>
      <c r="GY64" s="59">
        <f t="shared" si="29"/>
        <v>621.39927143581531</v>
      </c>
      <c r="GZ64" s="59">
        <f ca="1">AVERAGE(OFFSET($GY$3,0,0,'Données projet'!$E$18+1,1))-AVERAGE(OFFSET($H$3,0,0,'Données projet'!$E$18+1,1))</f>
        <v>285.8437404763045</v>
      </c>
      <c r="HA64" s="59">
        <f t="shared" si="52"/>
        <v>276.01618888357268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10.127922638897934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10.127922638897934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5.4</v>
      </c>
      <c r="N65" s="13">
        <f>IF('Données projet'!$A$36&gt;35,N64+M65-V64,IF(A65&lt;'Données projet'!$A$36,$K$205^A65,IF(A65='Données projet'!$A$36,'Données projet'!$B$36,N64+M65-V64)))</f>
        <v>144.79999999999998</v>
      </c>
      <c r="O65" s="13">
        <f>N65*VLOOKUP('Données projet'!$B$9,Paramètres!$A$1:$I$89,3,0)*VLOOKUP('Données projet'!$B$9,Paramètres!$A$1:$I$89,5,0)</f>
        <v>131.01503999999997</v>
      </c>
      <c r="P65" s="13">
        <f t="shared" si="33"/>
        <v>34.230798998779804</v>
      </c>
      <c r="Q65" s="20">
        <f t="shared" si="53"/>
        <v>287.80316958954148</v>
      </c>
      <c r="R65" s="59">
        <f t="shared" si="0"/>
        <v>550.16217254919275</v>
      </c>
      <c r="S65" s="59">
        <f ca="1">AVERAGE(OFFSET($R$3,0,0,'Données projet'!$E$9+1,1))-AVERAGE(OFFSET($H$3,0,0,'Données projet'!$E$9+1,1))</f>
        <v>315.34103933739129</v>
      </c>
      <c r="T65" s="59">
        <f t="shared" si="34"/>
        <v>165.80901858372513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5.8973570122065233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5.8973570122065233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-3.4106051316484809E-13</v>
      </c>
      <c r="AJ65" s="13">
        <f>AI65*VLOOKUP('Données projet'!$B$10,Paramètres!$A$1:$I$89,3,0)*VLOOKUP('Données projet'!$B$10,Paramètres!$A$1:$I$89,5,0)</f>
        <v>-2.0395418687257919E-13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317.328615425664</v>
      </c>
      <c r="AO65" s="59">
        <f t="shared" si="36"/>
        <v>324.95872842255744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168.71549508318151</v>
      </c>
      <c r="AV65" s="21">
        <f>EXP(-LN(2)/25)*AV64+(1-EXP(-LN(2)/25))/(LN(2)/25)*Calculateur!AQ65*Calculateur!AS65*VLOOKUP('Données projet'!$B$10,Paramètres!$A$1:$I$89,3,0)*0.475*44/12</f>
        <v>32.013805352867983</v>
      </c>
      <c r="AW65" s="21">
        <f>EXP(-LN(2)/2)*AW64+(1-EXP(-LN(2)/2))/(LN(2)/2)*AQ65*AT65*VLOOKUP('Données projet'!$B$10,Paramètres!$A$1:$I$89,3,0)*0.475*44/12</f>
        <v>13.448632421647055</v>
      </c>
      <c r="AX65" s="21">
        <f t="shared" si="6"/>
        <v>214.17793285769656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>
        <f>VLOOKUP(A65,'Données projet'!$A$87:$I$107,2,0)</f>
        <v>322.99</v>
      </c>
      <c r="BB65" s="12">
        <f>VLOOKUP(A65,'Données projet'!$A$87:$I$107,9,0)</f>
        <v>9.75</v>
      </c>
      <c r="BC65" s="12">
        <f t="array" ref="BC65">INDEX(BB:BB,MIN(IF(ISNUMBER(BB65:BB261),ROW(BB65:BB261),"")))</f>
        <v>9.75</v>
      </c>
      <c r="BD65" s="12">
        <f>IF('Données projet'!$A$88&gt;35,BD64+BC65-BL64,IF(A65&lt;'Données projet'!$A$88,$BA$205^A65,IF(A65='Données projet'!$A$88,'Données projet'!$B$88,BD64+BC65-BL64)))</f>
        <v>322.98999999999995</v>
      </c>
      <c r="BE65" s="13">
        <f>BD65*VLOOKUP('Données projet'!$B$11,Paramètres!$A$1:$I$89,3,0)*VLOOKUP('Données projet'!$B$11,Paramètres!$A$1:$I$89,5,0)</f>
        <v>372.08447999999993</v>
      </c>
      <c r="BF65" s="13">
        <f t="shared" si="37"/>
        <v>86.093614899784413</v>
      </c>
      <c r="BG65" s="20">
        <f t="shared" si="7"/>
        <v>797.99351528379111</v>
      </c>
      <c r="BH65" s="59">
        <f t="shared" si="8"/>
        <v>1060.3525182434423</v>
      </c>
      <c r="BI65" s="59">
        <f ca="1">AVERAGE(OFFSET($BH$3,0,0,'Données projet'!$E$11+1,1))-AVERAGE(OFFSET($H$3,0,0,'Données projet'!$E$11+1,1))</f>
        <v>418.31716673276725</v>
      </c>
      <c r="BJ65" s="59">
        <f t="shared" si="38"/>
        <v>472.37891533957929</v>
      </c>
      <c r="BK65" s="15">
        <f>IF(ISNA(VLOOKUP(A65,'Données projet'!$A$87:$I$107,3,0)),0,VLOOKUP(A65,'Données projet'!$A$87:$I$107,3,0))</f>
        <v>9</v>
      </c>
      <c r="BL65" s="15">
        <f>IF(ISNA(VLOOKUP(A65,'Données projet'!$A$87:$I$107,4,0)),0,VLOOKUP(A65,'Données projet'!$A$87:$I$107,4,0))</f>
        <v>322.99</v>
      </c>
      <c r="BM65" s="16">
        <f>IF(ISNA(VLOOKUP(A65,'Données projet'!$A$87:$I$107,5,0)),0%,VLOOKUP(A65,'Données projet'!$A$87:$I$107,5,0)*VLOOKUP('Données projet'!$B$11,Paramètres!$A$1:$I$89,7,0))</f>
        <v>0.36000000000000004</v>
      </c>
      <c r="BN65" s="16">
        <f>IF(ISNA(VLOOKUP(A65,'Données projet'!$A$87:$I$107,6,0)),0%,VLOOKUP(A65,'Données projet'!$A$87:$I$107,6,0)*VLOOKUP('Données projet'!$B$11,Paramètres!$A$1:$I$89,7,0))</f>
        <v>4.9500000000000002E-2</v>
      </c>
      <c r="BO65" s="16">
        <f>IF(ISNA(VLOOKUP(A65,'Données projet'!$A$87:$I$107,7,0)),0%,VLOOKUP(A65,'Données projet'!$A$87:$I$107,7,0))</f>
        <v>0.09</v>
      </c>
      <c r="BP65" s="21">
        <f>EXP(-LN(2)/35)*BP64+(1-EXP(-LN(2)/35))/(LN(2)/35)*BL65*BM65*VLOOKUP('Données projet'!$B$11,Paramètres!$A$1:$I$89,3,0)*0.475*44/12</f>
        <v>131.6275637363226</v>
      </c>
      <c r="BQ65" s="21">
        <f>EXP(-LN(2)/25)*BQ64+(1-EXP(-LN(2)/25))/(LN(2)/25)*Calculateur!BL65*Calculateur!BN65*VLOOKUP('Données projet'!$B$11,Paramètres!$A$1:$I$89,3,0)*0.475*44/12</f>
        <v>29.203495064069728</v>
      </c>
      <c r="BR65" s="21">
        <f>EXP(-LN(2)/2)*BR64+(1-EXP(-LN(2)/2))/(LN(2)/2)*BL65*BO65*VLOOKUP('Données projet'!$B$11,Paramètres!$A$1:$I$89,3,0)*0.475*44/12</f>
        <v>20.858713567998976</v>
      </c>
      <c r="BS65" s="22">
        <f t="shared" si="9"/>
        <v>181.68977236839129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4.9966666666666653</v>
      </c>
      <c r="BY65" s="12">
        <f>IF('Données projet'!$A$114&gt;35,BY64+BX65-CG64,IF(A65&lt;'Données projet'!$A$114,$BV$205^A65,IF(A65='Données projet'!$A$114,'Données projet'!$B$114,BY64+BX65-CG64)))</f>
        <v>151.84666666666678</v>
      </c>
      <c r="BZ65" s="13">
        <f>BY65*VLOOKUP('Données projet'!$B$12,Paramètres!$A$1:$I$89,3,0)*VLOOKUP('Données projet'!$B$12,Paramètres!$A$1:$I$89,5,0)</f>
        <v>88.830300000000065</v>
      </c>
      <c r="CA65" s="13">
        <f t="shared" si="39"/>
        <v>24.282907096276624</v>
      </c>
      <c r="CB65" s="20">
        <f t="shared" si="10"/>
        <v>197.00550235934858</v>
      </c>
      <c r="CC65" s="59">
        <f t="shared" si="11"/>
        <v>459.36450531899993</v>
      </c>
      <c r="CD65" s="59">
        <f ca="1">AVERAGE(OFFSET($CC$3,0,0,'Données projet'!$E$12+1,1))-AVERAGE(OFFSET($H$3,0,0,'Données projet'!$E$12+1,1))</f>
        <v>184.11352167663844</v>
      </c>
      <c r="CE65" s="59">
        <f t="shared" si="40"/>
        <v>145.86653500981791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9.2316527952592633</v>
      </c>
      <c r="CL65" s="21">
        <f>EXP(-LN(2)/25)*CL64+(1-EXP(-LN(2)/25))/(LN(2)/25)*Calculateur!CG65*Calculateur!CI65*VLOOKUP('Données projet'!$B$12,Paramètres!$A$1:$I$89,3,0)*0.475*44/12</f>
        <v>8.4816669596548806</v>
      </c>
      <c r="CM65" s="21">
        <f>EXP(-LN(2)/2)*CM64+(1-EXP(-LN(2)/2))/(LN(2)/2)*CG65*CJ65*VLOOKUP('Données projet'!$B$12,Paramètres!$A$1:$I$89,3,0)*0.475*44/12</f>
        <v>0.37753558275101268</v>
      </c>
      <c r="CN65" s="22">
        <f t="shared" si="12"/>
        <v>18.090855337665158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8.3828571428571443</v>
      </c>
      <c r="CT65" s="12">
        <f>IF('Données projet'!$A$140&gt;35,CT64+CS65-DB64,IF(A65&lt;'Données projet'!$A$140,$CQ$205^A65,IF(A65='Données projet'!$A$140,'Données projet'!$B$140,CT64+CS65-DB64)))</f>
        <v>295.1957142857143</v>
      </c>
      <c r="CU65" s="17">
        <f>CT65*VLOOKUP('Données projet'!$B$13,Paramètres!$A$1:$I$89,3,0)*VLOOKUP('Données projet'!$B$13,Paramètres!$A$1:$I$89,5,0)</f>
        <v>141.98913857142858</v>
      </c>
      <c r="CV65" s="13">
        <f t="shared" si="41"/>
        <v>36.752314375861147</v>
      </c>
      <c r="CW65" s="20">
        <f t="shared" si="13"/>
        <v>311.30803054986296</v>
      </c>
      <c r="CX65" s="59">
        <f t="shared" si="14"/>
        <v>573.66703350951434</v>
      </c>
      <c r="CY65" s="59">
        <f ca="1">AVERAGE(OFFSET($CX$3,0,0,'Données projet'!$E$13+1,1))-AVERAGE(OFFSET($H$3,0,0,'Données projet'!$E$13+1,1))</f>
        <v>303.76035885073708</v>
      </c>
      <c r="CZ65" s="59">
        <f t="shared" si="42"/>
        <v>127.43112562890414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5.6843418860808015E-14</v>
      </c>
      <c r="DP65" s="17">
        <f>DO65*VLOOKUP('Données projet'!$B$14,Paramètres!$A$1:$I$89,3,0)*VLOOKUP('Données projet'!$B$14,Paramètres!$A$1:$I$89,5,0)</f>
        <v>3.2810021366458389E-14</v>
      </c>
      <c r="DQ65" s="13">
        <f t="shared" si="43"/>
        <v>5.6117125884464641E-13</v>
      </c>
      <c r="DR65" s="20">
        <f t="shared" si="16"/>
        <v>1.0345173963676741E-12</v>
      </c>
      <c r="DS65" s="59">
        <f t="shared" si="17"/>
        <v>262.35900295965234</v>
      </c>
      <c r="DT65" s="59">
        <f ca="1">AVERAGE(OFFSET($DS$3,0,0,'Données projet'!$E$14+1,1))-AVERAGE(OFFSET($H$3,0,0,'Données projet'!$E$14+1,1))</f>
        <v>243.65374431792841</v>
      </c>
      <c r="DU65" s="59">
        <f t="shared" si="44"/>
        <v>271.60754570002939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57.220725843675773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57.220725843675773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7.2</v>
      </c>
      <c r="EJ65" s="12">
        <f>IF('Données projet'!$A$192&gt;35,EJ64+EI65-ER64,IF(A65&lt;'Données projet'!$A$192,$EG$205^A65,IF(A65='Données projet'!$A$192,'Données projet'!$B$192,EJ64+EI65-ER64)))</f>
        <v>207.39999999999998</v>
      </c>
      <c r="EK65" s="17">
        <f>EJ65*VLOOKUP('Données projet'!$B$15,Paramètres!$A$1:$I$89,3,0)*VLOOKUP('Données projet'!$B$15,Paramètres!$A$1:$I$89,5,0)</f>
        <v>139.12392</v>
      </c>
      <c r="EL65" s="13">
        <f t="shared" si="45"/>
        <v>36.096234604679047</v>
      </c>
      <c r="EM65" s="20">
        <f t="shared" si="19"/>
        <v>305.1751026031493</v>
      </c>
      <c r="EN65" s="59">
        <f t="shared" si="20"/>
        <v>567.53410556280062</v>
      </c>
      <c r="EO65" s="59">
        <f ca="1">AVERAGE(OFFSET($EN$3,0,0,'Données projet'!$E$15+1,1))-AVERAGE(OFFSET($H$3,0,0,'Données projet'!$E$15+1,1))</f>
        <v>321.44781099085594</v>
      </c>
      <c r="EP65" s="59">
        <f t="shared" si="46"/>
        <v>201.22243186578183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9.5275055202018706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9.5275055202018706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3.4</v>
      </c>
      <c r="FE65" s="12">
        <f>IF('Données projet'!$A$218&gt;35,FE64+FD65-FM64,IF(A65&lt;'Données projet'!$A$218,$FB$205^A65,IF(A65='Données projet'!$A$218,'Données projet'!$B$218,FE64+FD65-FM64)))</f>
        <v>191.8</v>
      </c>
      <c r="FF65" s="17">
        <f>FE65*VLOOKUP('Données projet'!$B$16,Paramètres!$A$1:$I$89,3,0)*VLOOKUP('Données projet'!$B$16,Paramètres!$A$1:$I$89,5,0)</f>
        <v>167.55648000000002</v>
      </c>
      <c r="FG65" s="13">
        <f t="shared" si="47"/>
        <v>42.542296108660942</v>
      </c>
      <c r="FH65" s="20">
        <f t="shared" si="22"/>
        <v>365.92203505591783</v>
      </c>
      <c r="FI65" s="59">
        <f t="shared" si="23"/>
        <v>628.28103801556915</v>
      </c>
      <c r="FJ65" s="59">
        <f ca="1">AVERAGE(OFFSET($FI$3,0,0,'Données projet'!$E$16+1,1))-AVERAGE(OFFSET($H$3,0,0,'Données projet'!$E$16+1,1))</f>
        <v>285.8437404763045</v>
      </c>
      <c r="FK65" s="59">
        <f t="shared" si="48"/>
        <v>276.01618888357268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9.9293202533719853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9.9293202533719853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4.4000000000000004</v>
      </c>
      <c r="FZ65" s="12">
        <f>IF('Données projet'!$A$244&gt;35,FZ64+FY65-GH64,IF(A65&lt;'Données projet'!$A$244,$FW$205^A65,IF(A65='Données projet'!$A$244,'Données projet'!$B$244,FZ64+FY65-GH64)))</f>
        <v>241.79999999999984</v>
      </c>
      <c r="GA65" s="17">
        <f>FZ65*VLOOKUP('Données projet'!$B$17,Paramètres!$A$1:$I$89,3,0)*VLOOKUP('Données projet'!$B$17,Paramètres!$A$1:$I$89,5,0)</f>
        <v>192.37607999999989</v>
      </c>
      <c r="GB65" s="13">
        <f t="shared" si="49"/>
        <v>48.064889828485896</v>
      </c>
      <c r="GC65" s="20">
        <f t="shared" si="25"/>
        <v>418.76802245127936</v>
      </c>
      <c r="GD65" s="59">
        <f t="shared" si="26"/>
        <v>681.12702541093063</v>
      </c>
      <c r="GE65" s="59">
        <f ca="1">AVERAGE(OFFSET($GD$3,0,0,'Données projet'!$E$17+1,1))-AVERAGE(OFFSET($H$3,0,0,'Données projet'!$E$17+1,1))</f>
        <v>323.01113210765487</v>
      </c>
      <c r="GF65" s="59">
        <f t="shared" si="50"/>
        <v>311.68541696405975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11.550009219640708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11.550009219640708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3.4</v>
      </c>
      <c r="GU65" s="12">
        <f>IF('Données projet'!$A$270&gt;35,GU64+GT65-HC64,IF(A65&lt;'Données projet'!$A$270,$GR$205^A65,IF(A65='Données projet'!$A$270,'Données projet'!$B$270,GU64+GT65-HC64)))</f>
        <v>191.8</v>
      </c>
      <c r="GV65" s="17">
        <f>GU65*VLOOKUP('Données projet'!$B$18,Paramètres!$A$1:$I$89,3,0)*VLOOKUP('Données projet'!$B$18,Paramètres!$A$1:$I$89,5,0)</f>
        <v>167.55648000000002</v>
      </c>
      <c r="GW65" s="13">
        <f t="shared" si="51"/>
        <v>42.542296108660942</v>
      </c>
      <c r="GX65" s="20">
        <f t="shared" si="28"/>
        <v>365.92203505591783</v>
      </c>
      <c r="GY65" s="59">
        <f t="shared" si="29"/>
        <v>628.28103801556915</v>
      </c>
      <c r="GZ65" s="59">
        <f ca="1">AVERAGE(OFFSET($GY$3,0,0,'Données projet'!$E$18+1,1))-AVERAGE(OFFSET($H$3,0,0,'Données projet'!$E$18+1,1))</f>
        <v>285.8437404763045</v>
      </c>
      <c r="HA65" s="59">
        <f t="shared" si="52"/>
        <v>276.01618888357268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9.9293202533719853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9.9293202533719853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5.4</v>
      </c>
      <c r="N66" s="13">
        <f>IF('Données projet'!$A$36&gt;35,N65+M66-V65,IF(A66&lt;'Données projet'!$A$36,$K$205^A66,IF(A66='Données projet'!$A$36,'Données projet'!$B$36,N65+M66-V65)))</f>
        <v>150.19999999999999</v>
      </c>
      <c r="O66" s="13">
        <f>N66*VLOOKUP('Données projet'!$B$9,Paramètres!$A$1:$I$89,3,0)*VLOOKUP('Données projet'!$B$9,Paramètres!$A$1:$I$89,5,0)</f>
        <v>135.90095999999997</v>
      </c>
      <c r="P66" s="13">
        <f t="shared" si="33"/>
        <v>35.356355142892255</v>
      </c>
      <c r="Q66" s="20">
        <f t="shared" si="53"/>
        <v>298.27315720720395</v>
      </c>
      <c r="R66" s="59">
        <f t="shared" si="0"/>
        <v>561.16949555061001</v>
      </c>
      <c r="S66" s="59">
        <f ca="1">AVERAGE(OFFSET($R$3,0,0,'Données projet'!$E$9+1,1))-AVERAGE(OFFSET($H$3,0,0,'Données projet'!$E$9+1,1))</f>
        <v>315.34103933739129</v>
      </c>
      <c r="T66" s="59">
        <f t="shared" si="34"/>
        <v>165.80901858372513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5.7817134382297537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5.7817134382297537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-3.4106051316484809E-13</v>
      </c>
      <c r="AJ66" s="13">
        <f>AI66*VLOOKUP('Données projet'!$B$10,Paramètres!$A$1:$I$89,3,0)*VLOOKUP('Données projet'!$B$10,Paramètres!$A$1:$I$89,5,0)</f>
        <v>-2.0395418687257919E-13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317.328615425664</v>
      </c>
      <c r="AO66" s="59">
        <f t="shared" si="36"/>
        <v>324.95872842255744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165.40708713089117</v>
      </c>
      <c r="AV66" s="21">
        <f>EXP(-LN(2)/25)*AV65+(1-EXP(-LN(2)/25))/(LN(2)/25)*Calculateur!AQ66*Calculateur!AS66*VLOOKUP('Données projet'!$B$10,Paramètres!$A$1:$I$89,3,0)*0.475*44/12</f>
        <v>31.138386161960952</v>
      </c>
      <c r="AW66" s="21">
        <f>EXP(-LN(2)/2)*AW65+(1-EXP(-LN(2)/2))/(LN(2)/2)*AQ66*AT66*VLOOKUP('Données projet'!$B$10,Paramètres!$A$1:$I$89,3,0)*0.475*44/12</f>
        <v>9.5096191830318944</v>
      </c>
      <c r="AX66" s="21">
        <f t="shared" si="6"/>
        <v>206.05509247588404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-5.6843418860808015E-14</v>
      </c>
      <c r="BE66" s="13">
        <f>BD66*VLOOKUP('Données projet'!$B$11,Paramètres!$A$1:$I$89,3,0)*VLOOKUP('Données projet'!$B$11,Paramètres!$A$1:$I$89,5,0)</f>
        <v>-6.5483618527650828E-14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418.31716673276725</v>
      </c>
      <c r="BJ66" s="59">
        <f t="shared" si="38"/>
        <v>472.37891533957929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129.04642749633973</v>
      </c>
      <c r="BQ66" s="21">
        <f>EXP(-LN(2)/25)*BQ65+(1-EXP(-LN(2)/25))/(LN(2)/25)*Calculateur!BL66*Calculateur!BN66*VLOOKUP('Données projet'!$B$11,Paramètres!$A$1:$I$89,3,0)*0.475*44/12</f>
        <v>28.404923955797681</v>
      </c>
      <c r="BR66" s="21">
        <f>EXP(-LN(2)/2)*BR65+(1-EXP(-LN(2)/2))/(LN(2)/2)*BL66*BO66*VLOOKUP('Données projet'!$B$11,Paramètres!$A$1:$I$89,3,0)*0.475*44/12</f>
        <v>14.749337810759922</v>
      </c>
      <c r="BS66" s="22">
        <f t="shared" si="9"/>
        <v>172.20068926289733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4.9966666666666653</v>
      </c>
      <c r="BY66" s="12">
        <f>IF('Données projet'!$A$114&gt;35,BY65+BX66-CG65,IF(A66&lt;'Données projet'!$A$114,$BV$205^A66,IF(A66='Données projet'!$A$114,'Données projet'!$B$114,BY65+BX66-CG65)))</f>
        <v>156.84333333333345</v>
      </c>
      <c r="BZ66" s="13">
        <f>BY66*VLOOKUP('Données projet'!$B$12,Paramètres!$A$1:$I$89,3,0)*VLOOKUP('Données projet'!$B$12,Paramètres!$A$1:$I$89,5,0)</f>
        <v>91.753350000000069</v>
      </c>
      <c r="CA66" s="13">
        <f t="shared" si="39"/>
        <v>24.987614774705879</v>
      </c>
      <c r="CB66" s="20">
        <f t="shared" si="10"/>
        <v>203.32384698261285</v>
      </c>
      <c r="CC66" s="59">
        <f t="shared" si="11"/>
        <v>466.22018532601896</v>
      </c>
      <c r="CD66" s="59">
        <f ca="1">AVERAGE(OFFSET($CC$3,0,0,'Données projet'!$E$12+1,1))-AVERAGE(OFFSET($H$3,0,0,'Données projet'!$E$12+1,1))</f>
        <v>184.11352167663844</v>
      </c>
      <c r="CE66" s="59">
        <f t="shared" si="40"/>
        <v>145.86653500981791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9.0506257146964444</v>
      </c>
      <c r="CL66" s="21">
        <f>EXP(-LN(2)/25)*CL65+(1-EXP(-LN(2)/25))/(LN(2)/25)*Calculateur!CG66*Calculateur!CI66*VLOOKUP('Données projet'!$B$12,Paramètres!$A$1:$I$89,3,0)*0.475*44/12</f>
        <v>8.249735330611637</v>
      </c>
      <c r="CM66" s="21">
        <f>EXP(-LN(2)/2)*CM65+(1-EXP(-LN(2)/2))/(LN(2)/2)*CG66*CJ66*VLOOKUP('Données projet'!$B$12,Paramètres!$A$1:$I$89,3,0)*0.475*44/12</f>
        <v>0.26695797070245603</v>
      </c>
      <c r="CN66" s="22">
        <f t="shared" si="12"/>
        <v>17.567319016010536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8.3828571428571443</v>
      </c>
      <c r="CT66" s="12">
        <f>IF('Données projet'!$A$140&gt;35,CT65+CS66-DB65,IF(A66&lt;'Données projet'!$A$140,$CQ$205^A66,IF(A66='Données projet'!$A$140,'Données projet'!$B$140,CT65+CS66-DB65)))</f>
        <v>303.57857142857142</v>
      </c>
      <c r="CU66" s="17">
        <f>CT66*VLOOKUP('Données projet'!$B$13,Paramètres!$A$1:$I$89,3,0)*VLOOKUP('Données projet'!$B$13,Paramètres!$A$1:$I$89,5,0)</f>
        <v>146.02129285714287</v>
      </c>
      <c r="CV66" s="13">
        <f t="shared" si="41"/>
        <v>37.673000360931894</v>
      </c>
      <c r="CW66" s="20">
        <f t="shared" si="13"/>
        <v>319.93422735481352</v>
      </c>
      <c r="CX66" s="59">
        <f t="shared" si="14"/>
        <v>582.83056569821963</v>
      </c>
      <c r="CY66" s="59">
        <f ca="1">AVERAGE(OFFSET($CX$3,0,0,'Données projet'!$E$13+1,1))-AVERAGE(OFFSET($H$3,0,0,'Données projet'!$E$13+1,1))</f>
        <v>303.76035885073708</v>
      </c>
      <c r="CZ66" s="59">
        <f t="shared" si="42"/>
        <v>127.43112562890414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5.6843418860808015E-14</v>
      </c>
      <c r="DP66" s="17">
        <f>DO66*VLOOKUP('Données projet'!$B$14,Paramètres!$A$1:$I$89,3,0)*VLOOKUP('Données projet'!$B$14,Paramètres!$A$1:$I$89,5,0)</f>
        <v>3.2810021366458389E-14</v>
      </c>
      <c r="DQ66" s="13">
        <f t="shared" si="43"/>
        <v>5.6117125884464641E-13</v>
      </c>
      <c r="DR66" s="20">
        <f t="shared" si="16"/>
        <v>1.0345173963676741E-12</v>
      </c>
      <c r="DS66" s="59">
        <f t="shared" si="17"/>
        <v>262.89633834340714</v>
      </c>
      <c r="DT66" s="59">
        <f ca="1">AVERAGE(OFFSET($DS$3,0,0,'Données projet'!$E$14+1,1))-AVERAGE(OFFSET($H$3,0,0,'Données projet'!$E$14+1,1))</f>
        <v>243.65374431792841</v>
      </c>
      <c r="DU66" s="59">
        <f t="shared" si="44"/>
        <v>271.60754570002939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56.098662311077845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56.098662311077845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7.2</v>
      </c>
      <c r="EJ66" s="12">
        <f>IF('Données projet'!$A$192&gt;35,EJ65+EI66-ER65,IF(A66&lt;'Données projet'!$A$192,$EG$205^A66,IF(A66='Données projet'!$A$192,'Données projet'!$B$192,EJ65+EI66-ER65)))</f>
        <v>214.59999999999997</v>
      </c>
      <c r="EK66" s="17">
        <f>EJ66*VLOOKUP('Données projet'!$B$15,Paramètres!$A$1:$I$89,3,0)*VLOOKUP('Données projet'!$B$15,Paramètres!$A$1:$I$89,5,0)</f>
        <v>143.95367999999996</v>
      </c>
      <c r="EL66" s="13">
        <f t="shared" si="45"/>
        <v>37.20126481543732</v>
      </c>
      <c r="EM66" s="20">
        <f t="shared" si="19"/>
        <v>315.51152888688659</v>
      </c>
      <c r="EN66" s="59">
        <f t="shared" si="20"/>
        <v>578.40786723029271</v>
      </c>
      <c r="EO66" s="59">
        <f ca="1">AVERAGE(OFFSET($EN$3,0,0,'Données projet'!$E$15+1,1))-AVERAGE(OFFSET($H$3,0,0,'Données projet'!$E$15+1,1))</f>
        <v>321.44781099085594</v>
      </c>
      <c r="EP66" s="59">
        <f t="shared" si="46"/>
        <v>201.22243186578183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9.3406769481552701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9.3406769481552701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3.4</v>
      </c>
      <c r="FE66" s="12">
        <f>IF('Données projet'!$A$218&gt;35,FE65+FD66-FM65,IF(A66&lt;'Données projet'!$A$218,$FB$205^A66,IF(A66='Données projet'!$A$218,'Données projet'!$B$218,FE65+FD66-FM65)))</f>
        <v>195.20000000000002</v>
      </c>
      <c r="FF66" s="17">
        <f>FE66*VLOOKUP('Données projet'!$B$16,Paramètres!$A$1:$I$89,3,0)*VLOOKUP('Données projet'!$B$16,Paramètres!$A$1:$I$89,5,0)</f>
        <v>170.52672000000004</v>
      </c>
      <c r="FG66" s="13">
        <f t="shared" si="47"/>
        <v>43.207970095682747</v>
      </c>
      <c r="FH66" s="20">
        <f t="shared" si="22"/>
        <v>372.25458524998089</v>
      </c>
      <c r="FI66" s="59">
        <f t="shared" si="23"/>
        <v>635.15092359338701</v>
      </c>
      <c r="FJ66" s="59">
        <f ca="1">AVERAGE(OFFSET($FI$3,0,0,'Données projet'!$E$16+1,1))-AVERAGE(OFFSET($H$3,0,0,'Données projet'!$E$16+1,1))</f>
        <v>285.8437404763045</v>
      </c>
      <c r="FK66" s="59">
        <f t="shared" si="48"/>
        <v>276.01618888357268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9.734612339490706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9.734612339490706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4.4000000000000004</v>
      </c>
      <c r="FZ66" s="12">
        <f>IF('Données projet'!$A$244&gt;35,FZ65+FY66-GH65,IF(A66&lt;'Données projet'!$A$244,$FW$205^A66,IF(A66='Données projet'!$A$244,'Données projet'!$B$244,FZ65+FY66-GH65)))</f>
        <v>246.19999999999985</v>
      </c>
      <c r="GA66" s="17">
        <f>FZ66*VLOOKUP('Données projet'!$B$17,Paramètres!$A$1:$I$89,3,0)*VLOOKUP('Données projet'!$B$17,Paramètres!$A$1:$I$89,5,0)</f>
        <v>195.87671999999989</v>
      </c>
      <c r="GB66" s="13">
        <f t="shared" si="49"/>
        <v>48.836899853879942</v>
      </c>
      <c r="GC66" s="20">
        <f t="shared" si="25"/>
        <v>426.20955457884071</v>
      </c>
      <c r="GD66" s="59">
        <f t="shared" si="26"/>
        <v>689.10589292224677</v>
      </c>
      <c r="GE66" s="59">
        <f ca="1">AVERAGE(OFFSET($GD$3,0,0,'Données projet'!$E$17+1,1))-AVERAGE(OFFSET($H$3,0,0,'Données projet'!$E$17+1,1))</f>
        <v>323.01113210765487</v>
      </c>
      <c r="GF66" s="59">
        <f t="shared" si="50"/>
        <v>311.68541696405975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11.323520583653561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11.323520583653561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3.4</v>
      </c>
      <c r="GU66" s="12">
        <f>IF('Données projet'!$A$270&gt;35,GU65+GT66-HC65,IF(A66&lt;'Données projet'!$A$270,$GR$205^A66,IF(A66='Données projet'!$A$270,'Données projet'!$B$270,GU65+GT66-HC65)))</f>
        <v>195.20000000000002</v>
      </c>
      <c r="GV66" s="17">
        <f>GU66*VLOOKUP('Données projet'!$B$18,Paramètres!$A$1:$I$89,3,0)*VLOOKUP('Données projet'!$B$18,Paramètres!$A$1:$I$89,5,0)</f>
        <v>170.52672000000004</v>
      </c>
      <c r="GW66" s="13">
        <f t="shared" si="51"/>
        <v>43.207970095682747</v>
      </c>
      <c r="GX66" s="20">
        <f t="shared" si="28"/>
        <v>372.25458524998089</v>
      </c>
      <c r="GY66" s="59">
        <f t="shared" si="29"/>
        <v>635.15092359338701</v>
      </c>
      <c r="GZ66" s="59">
        <f ca="1">AVERAGE(OFFSET($GY$3,0,0,'Données projet'!$E$18+1,1))-AVERAGE(OFFSET($H$3,0,0,'Données projet'!$E$18+1,1))</f>
        <v>285.8437404763045</v>
      </c>
      <c r="HA66" s="59">
        <f t="shared" si="52"/>
        <v>276.01618888357268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9.734612339490706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9.734612339490706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5.4</v>
      </c>
      <c r="N67" s="13">
        <f>IF('Données projet'!$A$36&gt;35,N66+M67-V66,IF(A67&lt;'Données projet'!$A$36,$K$205^A67,IF(A67='Données projet'!$A$36,'Données projet'!$B$36,N66+M67-V66)))</f>
        <v>155.6</v>
      </c>
      <c r="O67" s="13">
        <f>N67*VLOOKUP('Données projet'!$B$9,Paramètres!$A$1:$I$89,3,0)*VLOOKUP('Données projet'!$B$9,Paramètres!$A$1:$I$89,5,0)</f>
        <v>140.78688</v>
      </c>
      <c r="P67" s="13">
        <f t="shared" si="33"/>
        <v>36.47720980905639</v>
      </c>
      <c r="Q67" s="20">
        <f t="shared" ref="Q67:Q98" si="54">(O67+P67)*0.475*44/12</f>
        <v>308.73495641743983</v>
      </c>
      <c r="R67" s="59">
        <f t="shared" ref="R67:R130" si="55">Q67+(I67+J67)*44/12</f>
        <v>572.15930857699459</v>
      </c>
      <c r="S67" s="59">
        <f ca="1">AVERAGE(OFFSET($R$3,0,0,'Données projet'!$E$9+1,1))-AVERAGE(OFFSET($H$3,0,0,'Données projet'!$E$9+1,1))</f>
        <v>315.34103933739129</v>
      </c>
      <c r="T67" s="59">
        <f t="shared" si="34"/>
        <v>165.80901858372513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5.6683375642030525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5.6683375642030525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-3.4106051316484809E-13</v>
      </c>
      <c r="AJ67" s="13">
        <f>AI67*VLOOKUP('Données projet'!$B$10,Paramètres!$A$1:$I$89,3,0)*VLOOKUP('Données projet'!$B$10,Paramètres!$A$1:$I$89,5,0)</f>
        <v>-2.0395418687257919E-13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317.328615425664</v>
      </c>
      <c r="AO67" s="59">
        <f t="shared" si="36"/>
        <v>324.95872842255744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162.16355504061565</v>
      </c>
      <c r="AV67" s="21">
        <f>EXP(-LN(2)/25)*AV66+(1-EXP(-LN(2)/25))/(LN(2)/25)*Calculateur!AQ67*Calculateur!AS67*VLOOKUP('Données projet'!$B$10,Paramètres!$A$1:$I$89,3,0)*0.475*44/12</f>
        <v>30.286905354865571</v>
      </c>
      <c r="AW67" s="21">
        <f>EXP(-LN(2)/2)*AW66+(1-EXP(-LN(2)/2))/(LN(2)/2)*AQ67*AT67*VLOOKUP('Données projet'!$B$10,Paramètres!$A$1:$I$89,3,0)*0.475*44/12</f>
        <v>6.7243162108235293</v>
      </c>
      <c r="AX67" s="21">
        <f t="shared" si="6"/>
        <v>199.17477660630476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-5.6843418860808015E-14</v>
      </c>
      <c r="BE67" s="13">
        <f>BD67*VLOOKUP('Données projet'!$B$11,Paramètres!$A$1:$I$89,3,0)*VLOOKUP('Données projet'!$B$11,Paramètres!$A$1:$I$89,5,0)</f>
        <v>-6.5483618527650828E-14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418.31716673276725</v>
      </c>
      <c r="BJ67" s="59">
        <f t="shared" si="38"/>
        <v>472.37891533957929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126.51590576368527</v>
      </c>
      <c r="BQ67" s="21">
        <f>EXP(-LN(2)/25)*BQ66+(1-EXP(-LN(2)/25))/(LN(2)/25)*Calculateur!BL67*Calculateur!BN67*VLOOKUP('Données projet'!$B$11,Paramètres!$A$1:$I$89,3,0)*0.475*44/12</f>
        <v>27.628189816476365</v>
      </c>
      <c r="BR67" s="21">
        <f>EXP(-LN(2)/2)*BR66+(1-EXP(-LN(2)/2))/(LN(2)/2)*BL67*BO67*VLOOKUP('Données projet'!$B$11,Paramètres!$A$1:$I$89,3,0)*0.475*44/12</f>
        <v>10.42935678399949</v>
      </c>
      <c r="BS67" s="22">
        <f t="shared" si="9"/>
        <v>164.57345236416111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>
        <f>VLOOKUP(A67,'Données projet'!$A$113:$I$133,2,0)</f>
        <v>161.84</v>
      </c>
      <c r="BW67" s="12">
        <f>VLOOKUP(A67,'Données projet'!$A$113:$I$133,9,0)</f>
        <v>4.9966666666666653</v>
      </c>
      <c r="BX67" s="12">
        <f t="array" ref="BX67">INDEX(BW:BW,MIN(IF(ISNUMBER(BW67:BW263),ROW(BW67:BW263),"")))</f>
        <v>4.9966666666666653</v>
      </c>
      <c r="BY67" s="12">
        <f>IF('Données projet'!$A$114&gt;35,BY66+BX67-CG66,IF(A67&lt;'Données projet'!$A$114,$BV$205^A67,IF(A67='Données projet'!$A$114,'Données projet'!$B$114,BY66+BX67-CG66)))</f>
        <v>161.84000000000012</v>
      </c>
      <c r="BZ67" s="13">
        <f>BY67*VLOOKUP('Données projet'!$B$12,Paramètres!$A$1:$I$89,3,0)*VLOOKUP('Données projet'!$B$12,Paramètres!$A$1:$I$89,5,0)</f>
        <v>94.676400000000086</v>
      </c>
      <c r="CA67" s="13">
        <f t="shared" si="39"/>
        <v>25.689713604192132</v>
      </c>
      <c r="CB67" s="20">
        <f t="shared" si="10"/>
        <v>209.63764786063476</v>
      </c>
      <c r="CC67" s="59">
        <f t="shared" si="11"/>
        <v>473.06200002018954</v>
      </c>
      <c r="CD67" s="59">
        <f ca="1">AVERAGE(OFFSET($CC$3,0,0,'Données projet'!$E$12+1,1))-AVERAGE(OFFSET($H$3,0,0,'Données projet'!$E$12+1,1))</f>
        <v>184.11352167663844</v>
      </c>
      <c r="CE67" s="59">
        <f t="shared" si="40"/>
        <v>145.86653500981791</v>
      </c>
      <c r="CF67" s="15">
        <f>IF(ISNA(VLOOKUP(A67,'Données projet'!$A$113:$I$133,3,0)),0,VLOOKUP(A67,'Données projet'!$A$113:$I$133,3,0))</f>
        <v>11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0.18000000000000002</v>
      </c>
      <c r="CI67" s="16">
        <f>IF(ISNA(VLOOKUP(A67,'Données projet'!$A$113:$I$133,6,0)),0%,VLOOKUP(A67,'Données projet'!$A$113:$I$133,6,0)*VLOOKUP('Données projet'!$B$12,Paramètres!$A$1:$I$89,7,0))</f>
        <v>0.15300000000000002</v>
      </c>
      <c r="CJ67" s="16">
        <f>IF(ISNA(VLOOKUP(A67,'Données projet'!$A$113:$I$133,7,0)),0%,VLOOKUP(A67,'Données projet'!$A$113:$I$133,7,0))</f>
        <v>0.26</v>
      </c>
      <c r="CK67" s="21">
        <f>EXP(-LN(2)/35)*CK66+(1-EXP(-LN(2)/35))/(LN(2)/35)*CG67*CH67*VLOOKUP('Données projet'!$B$12,Paramètres!$A$1:$I$89,3,0)*0.475*44/12</f>
        <v>8.8731484647678442</v>
      </c>
      <c r="CL67" s="21">
        <f>EXP(-LN(2)/25)*CL66+(1-EXP(-LN(2)/25))/(LN(2)/25)*Calculateur!CG67*Calculateur!CI67*VLOOKUP('Données projet'!$B$12,Paramètres!$A$1:$I$89,3,0)*0.475*44/12</f>
        <v>8.0241458841613351</v>
      </c>
      <c r="CM67" s="21">
        <f>EXP(-LN(2)/2)*CM66+(1-EXP(-LN(2)/2))/(LN(2)/2)*CG67*CJ67*VLOOKUP('Données projet'!$B$12,Paramètres!$A$1:$I$89,3,0)*0.475*44/12</f>
        <v>0.18876779137550634</v>
      </c>
      <c r="CN67" s="22">
        <f t="shared" si="12"/>
        <v>17.086062140304687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8.3828571428571443</v>
      </c>
      <c r="CT67" s="12">
        <f>IF('Données projet'!$A$140&gt;35,CT66+CS67-DB66,IF(A67&lt;'Données projet'!$A$140,$CQ$205^A67,IF(A67='Données projet'!$A$140,'Données projet'!$B$140,CT66+CS67-DB66)))</f>
        <v>311.96142857142854</v>
      </c>
      <c r="CU67" s="17">
        <f>CT67*VLOOKUP('Données projet'!$B$13,Paramètres!$A$1:$I$89,3,0)*VLOOKUP('Données projet'!$B$13,Paramètres!$A$1:$I$89,5,0)</f>
        <v>150.05344714285715</v>
      </c>
      <c r="CV67" s="13">
        <f t="shared" si="41"/>
        <v>38.59073142401045</v>
      </c>
      <c r="CW67" s="20">
        <f t="shared" si="13"/>
        <v>328.55527767062773</v>
      </c>
      <c r="CX67" s="59">
        <f t="shared" si="14"/>
        <v>591.97962983018249</v>
      </c>
      <c r="CY67" s="59">
        <f ca="1">AVERAGE(OFFSET($CX$3,0,0,'Données projet'!$E$13+1,1))-AVERAGE(OFFSET($H$3,0,0,'Données projet'!$E$13+1,1))</f>
        <v>303.76035885073708</v>
      </c>
      <c r="CZ67" s="59">
        <f t="shared" si="42"/>
        <v>127.43112562890414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5.6843418860808015E-14</v>
      </c>
      <c r="DP67" s="17">
        <f>DO67*VLOOKUP('Données projet'!$B$14,Paramètres!$A$1:$I$89,3,0)*VLOOKUP('Données projet'!$B$14,Paramètres!$A$1:$I$89,5,0)</f>
        <v>3.2810021366458389E-14</v>
      </c>
      <c r="DQ67" s="13">
        <f t="shared" si="43"/>
        <v>5.6117125884464641E-13</v>
      </c>
      <c r="DR67" s="20">
        <f t="shared" si="16"/>
        <v>1.0345173963676741E-12</v>
      </c>
      <c r="DS67" s="59">
        <f t="shared" si="17"/>
        <v>263.42435215955578</v>
      </c>
      <c r="DT67" s="59">
        <f ca="1">AVERAGE(OFFSET($DS$3,0,0,'Données projet'!$E$14+1,1))-AVERAGE(OFFSET($H$3,0,0,'Données projet'!$E$14+1,1))</f>
        <v>243.65374431792841</v>
      </c>
      <c r="DU67" s="59">
        <f t="shared" si="44"/>
        <v>271.60754570002939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54.998601759962988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54.998601759962988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7.2</v>
      </c>
      <c r="EJ67" s="12">
        <f>IF('Données projet'!$A$192&gt;35,EJ66+EI67-ER66,IF(A67&lt;'Données projet'!$A$192,$EG$205^A67,IF(A67='Données projet'!$A$192,'Données projet'!$B$192,EJ66+EI67-ER66)))</f>
        <v>221.79999999999995</v>
      </c>
      <c r="EK67" s="17">
        <f>EJ67*VLOOKUP('Données projet'!$B$15,Paramètres!$A$1:$I$89,3,0)*VLOOKUP('Données projet'!$B$15,Paramètres!$A$1:$I$89,5,0)</f>
        <v>148.78343999999998</v>
      </c>
      <c r="EL67" s="13">
        <f t="shared" si="45"/>
        <v>38.301987100118879</v>
      </c>
      <c r="EM67" s="20">
        <f t="shared" si="19"/>
        <v>325.84045219937366</v>
      </c>
      <c r="EN67" s="59">
        <f t="shared" si="20"/>
        <v>589.26480435892836</v>
      </c>
      <c r="EO67" s="59">
        <f ca="1">AVERAGE(OFFSET($EN$3,0,0,'Données projet'!$E$15+1,1))-AVERAGE(OFFSET($H$3,0,0,'Données projet'!$E$15+1,1))</f>
        <v>321.44781099085594</v>
      </c>
      <c r="EP67" s="59">
        <f t="shared" si="46"/>
        <v>201.22243186578183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9.157511970452326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9.157511970452326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3.4</v>
      </c>
      <c r="FE67" s="12">
        <f>IF('Données projet'!$A$218&gt;35,FE66+FD67-FM66,IF(A67&lt;'Données projet'!$A$218,$FB$205^A67,IF(A67='Données projet'!$A$218,'Données projet'!$B$218,FE66+FD67-FM66)))</f>
        <v>198.60000000000002</v>
      </c>
      <c r="FF67" s="17">
        <f>FE67*VLOOKUP('Données projet'!$B$16,Paramètres!$A$1:$I$89,3,0)*VLOOKUP('Données projet'!$B$16,Paramètres!$A$1:$I$89,5,0)</f>
        <v>173.49696000000003</v>
      </c>
      <c r="FG67" s="13">
        <f t="shared" si="47"/>
        <v>43.872295751131787</v>
      </c>
      <c r="FH67" s="20">
        <f t="shared" si="22"/>
        <v>378.58478709988793</v>
      </c>
      <c r="FI67" s="59">
        <f t="shared" si="23"/>
        <v>642.00913925944269</v>
      </c>
      <c r="FJ67" s="59">
        <f ca="1">AVERAGE(OFFSET($FI$3,0,0,'Données projet'!$E$16+1,1))-AVERAGE(OFFSET($H$3,0,0,'Données projet'!$E$16+1,1))</f>
        <v>285.8437404763045</v>
      </c>
      <c r="FK67" s="59">
        <f t="shared" si="48"/>
        <v>276.01618888357268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9.5437225290405383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9.5437225290405383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4.4000000000000004</v>
      </c>
      <c r="FZ67" s="12">
        <f>IF('Données projet'!$A$244&gt;35,FZ66+FY67-GH66,IF(A67&lt;'Données projet'!$A$244,$FW$205^A67,IF(A67='Données projet'!$A$244,'Données projet'!$B$244,FZ66+FY67-GH66)))</f>
        <v>250.59999999999985</v>
      </c>
      <c r="GA67" s="17">
        <f>FZ67*VLOOKUP('Données projet'!$B$17,Paramètres!$A$1:$I$89,3,0)*VLOOKUP('Données projet'!$B$17,Paramètres!$A$1:$I$89,5,0)</f>
        <v>199.3773599999999</v>
      </c>
      <c r="GB67" s="13">
        <f t="shared" si="49"/>
        <v>49.607305476717762</v>
      </c>
      <c r="GC67" s="20">
        <f t="shared" si="25"/>
        <v>433.64829237194994</v>
      </c>
      <c r="GD67" s="59">
        <f t="shared" si="26"/>
        <v>697.07264453150469</v>
      </c>
      <c r="GE67" s="59">
        <f ca="1">AVERAGE(OFFSET($GD$3,0,0,'Données projet'!$E$17+1,1))-AVERAGE(OFFSET($H$3,0,0,'Données projet'!$E$17+1,1))</f>
        <v>323.01113210765487</v>
      </c>
      <c r="GF67" s="59">
        <f t="shared" si="50"/>
        <v>311.68541696405975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11.101473251673694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11.101473251673694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3.4</v>
      </c>
      <c r="GU67" s="12">
        <f>IF('Données projet'!$A$270&gt;35,GU66+GT67-HC66,IF(A67&lt;'Données projet'!$A$270,$GR$205^A67,IF(A67='Données projet'!$A$270,'Données projet'!$B$270,GU66+GT67-HC66)))</f>
        <v>198.60000000000002</v>
      </c>
      <c r="GV67" s="17">
        <f>GU67*VLOOKUP('Données projet'!$B$18,Paramètres!$A$1:$I$89,3,0)*VLOOKUP('Données projet'!$B$18,Paramètres!$A$1:$I$89,5,0)</f>
        <v>173.49696000000003</v>
      </c>
      <c r="GW67" s="13">
        <f t="shared" si="51"/>
        <v>43.872295751131787</v>
      </c>
      <c r="GX67" s="20">
        <f t="shared" si="28"/>
        <v>378.58478709988793</v>
      </c>
      <c r="GY67" s="59">
        <f t="shared" si="29"/>
        <v>642.00913925944269</v>
      </c>
      <c r="GZ67" s="59">
        <f ca="1">AVERAGE(OFFSET($GY$3,0,0,'Données projet'!$E$18+1,1))-AVERAGE(OFFSET($H$3,0,0,'Données projet'!$E$18+1,1))</f>
        <v>285.8437404763045</v>
      </c>
      <c r="HA67" s="59">
        <f t="shared" si="52"/>
        <v>276.01618888357268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9.5437225290405383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9.5437225290405383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161</v>
      </c>
      <c r="L68" s="12">
        <f>VLOOKUP(A68,'Données projet'!$A$35:$I$55,9,0)</f>
        <v>5.4</v>
      </c>
      <c r="M68" s="12">
        <f t="array" ref="M68">INDEX(L:L,MIN(IF(ISNUMBER(L68:L264),ROW(L68:L264),"")))</f>
        <v>5.4</v>
      </c>
      <c r="N68" s="13">
        <f>IF('Données projet'!$A$36&gt;35,N67+M68-V67,IF(A68&lt;'Données projet'!$A$36,$K$205^A68,IF(A68='Données projet'!$A$36,'Données projet'!$B$36,N67+M68-V67)))</f>
        <v>161</v>
      </c>
      <c r="O68" s="13">
        <f>N68*VLOOKUP('Données projet'!$B$9,Paramètres!$A$1:$I$89,3,0)*VLOOKUP('Données projet'!$B$9,Paramètres!$A$1:$I$89,5,0)</f>
        <v>145.6728</v>
      </c>
      <c r="P68" s="13">
        <f t="shared" si="33"/>
        <v>37.593544857919731</v>
      </c>
      <c r="Q68" s="20">
        <f t="shared" si="54"/>
        <v>319.18888396087686</v>
      </c>
      <c r="R68" s="59">
        <f t="shared" si="55"/>
        <v>583.13209007733212</v>
      </c>
      <c r="S68" s="59">
        <f ca="1">AVERAGE(OFFSET($R$3,0,0,'Données projet'!$E$9+1,1))-AVERAGE(OFFSET($H$3,0,0,'Données projet'!$E$9+1,1))</f>
        <v>315.34103933739129</v>
      </c>
      <c r="T68" s="59">
        <f t="shared" si="34"/>
        <v>165.80901858372513</v>
      </c>
      <c r="U68" s="15">
        <f>IF(ISNA(VLOOKUP(A68,'Données projet'!$A$35:$I$55,3,0)),0,VLOOKUP(A68,'Données projet'!$A$35:$I$55,3,0))</f>
        <v>9</v>
      </c>
      <c r="V68" s="15">
        <f>IF(ISNA(VLOOKUP(A68,'Données projet'!$A$35:$I$55,4,0)),0,VLOOKUP(A68,'Données projet'!$A$35:$I$55,4,0))</f>
        <v>14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7.9657377972721637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7.9657377972721637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-3.4106051316484809E-13</v>
      </c>
      <c r="AJ68" s="13">
        <f>AI68*VLOOKUP('Données projet'!$B$10,Paramètres!$A$1:$I$89,3,0)*VLOOKUP('Données projet'!$B$10,Paramètres!$A$1:$I$89,5,0)</f>
        <v>-2.0395418687257919E-13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317.328615425664</v>
      </c>
      <c r="AO68" s="59">
        <f t="shared" si="36"/>
        <v>324.95872842255744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158.9836266362712</v>
      </c>
      <c r="AV68" s="21">
        <f>EXP(-LN(2)/25)*AV67+(1-EXP(-LN(2)/25))/(LN(2)/25)*Calculateur!AQ68*Calculateur!AS68*VLOOKUP('Données projet'!$B$10,Paramètres!$A$1:$I$89,3,0)*0.475*44/12</f>
        <v>29.45870833521764</v>
      </c>
      <c r="AW68" s="21">
        <f>EXP(-LN(2)/2)*AW67+(1-EXP(-LN(2)/2))/(LN(2)/2)*AQ68*AT68*VLOOKUP('Données projet'!$B$10,Paramètres!$A$1:$I$89,3,0)*0.475*44/12</f>
        <v>4.7548095915159481</v>
      </c>
      <c r="AX68" s="21">
        <f t="shared" ref="AX68:AX131" si="60">SUM(AU68:AW68)</f>
        <v>193.19714456300477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-5.6843418860808015E-14</v>
      </c>
      <c r="BE68" s="13">
        <f>BD68*VLOOKUP('Données projet'!$B$11,Paramètres!$A$1:$I$89,3,0)*VLOOKUP('Données projet'!$B$11,Paramètres!$A$1:$I$89,5,0)</f>
        <v>-6.5483618527650828E-14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418.31716673276725</v>
      </c>
      <c r="BJ68" s="59">
        <f t="shared" si="38"/>
        <v>472.37891533957929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124.03500601874229</v>
      </c>
      <c r="BQ68" s="21">
        <f>EXP(-LN(2)/25)*BQ67+(1-EXP(-LN(2)/25))/(LN(2)/25)*Calculateur!BL68*Calculateur!BN68*VLOOKUP('Données projet'!$B$11,Paramètres!$A$1:$I$89,3,0)*0.475*44/12</f>
        <v>26.87269551304146</v>
      </c>
      <c r="BR68" s="21">
        <f>EXP(-LN(2)/2)*BR67+(1-EXP(-LN(2)/2))/(LN(2)/2)*BL68*BO68*VLOOKUP('Données projet'!$B$11,Paramètres!$A$1:$I$89,3,0)*0.475*44/12</f>
        <v>7.3746689053799628</v>
      </c>
      <c r="BS68" s="22">
        <f t="shared" ref="BS68:BS131" si="63">SUM(BP68:BR68)</f>
        <v>158.28237043716371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5.2199999999999989</v>
      </c>
      <c r="BY68" s="12">
        <f>IF('Données projet'!$A$114&gt;35,BY67+BX68-CG67,IF(A68&lt;'Données projet'!$A$114,$BV$205^A68,IF(A68='Données projet'!$A$114,'Données projet'!$B$114,BY67+BX68-CG67)))</f>
        <v>167.06000000000012</v>
      </c>
      <c r="BZ68" s="13">
        <f>BY68*VLOOKUP('Données projet'!$B$12,Paramètres!$A$1:$I$89,3,0)*VLOOKUP('Données projet'!$B$12,Paramètres!$A$1:$I$89,5,0)</f>
        <v>97.730100000000064</v>
      </c>
      <c r="CA68" s="13">
        <f t="shared" si="39"/>
        <v>26.42050466183381</v>
      </c>
      <c r="CB68" s="20">
        <f t="shared" ref="CB68:CB131" si="64">(BZ68+CA68)*0.475*44/12</f>
        <v>216.22896978602731</v>
      </c>
      <c r="CC68" s="59">
        <f t="shared" ref="CC68:CC131" si="65">CB68+(BT68+BU68)*44/12</f>
        <v>480.17217590248254</v>
      </c>
      <c r="CD68" s="59">
        <f ca="1">AVERAGE(OFFSET($CC$3,0,0,'Données projet'!$E$12+1,1))-AVERAGE(OFFSET($H$3,0,0,'Données projet'!$E$12+1,1))</f>
        <v>184.11352167663844</v>
      </c>
      <c r="CE68" s="59">
        <f t="shared" si="40"/>
        <v>145.86653500981791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8.6991514354599104</v>
      </c>
      <c r="CL68" s="21">
        <f>EXP(-LN(2)/25)*CL67+(1-EXP(-LN(2)/25))/(LN(2)/25)*Calculateur!CG68*Calculateur!CI68*VLOOKUP('Données projet'!$B$12,Paramètres!$A$1:$I$89,3,0)*0.475*44/12</f>
        <v>7.8047251929874504</v>
      </c>
      <c r="CM68" s="21">
        <f>EXP(-LN(2)/2)*CM67+(1-EXP(-LN(2)/2))/(LN(2)/2)*CG68*CJ68*VLOOKUP('Données projet'!$B$12,Paramètres!$A$1:$I$89,3,0)*0.475*44/12</f>
        <v>0.13347898535122801</v>
      </c>
      <c r="CN68" s="22">
        <f t="shared" ref="CN68:CN131" si="66">SUM(CK68:CM68)</f>
        <v>16.63735561379859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8.3828571428571443</v>
      </c>
      <c r="CT68" s="12">
        <f>IF('Données projet'!$A$140&gt;35,CT67+CS68-DB67,IF(A68&lt;'Données projet'!$A$140,$CQ$205^A68,IF(A68='Données projet'!$A$140,'Données projet'!$B$140,CT67+CS68-DB67)))</f>
        <v>320.34428571428566</v>
      </c>
      <c r="CU68" s="17">
        <f>CT68*VLOOKUP('Données projet'!$B$13,Paramètres!$A$1:$I$89,3,0)*VLOOKUP('Données projet'!$B$13,Paramètres!$A$1:$I$89,5,0)</f>
        <v>154.08560142857141</v>
      </c>
      <c r="CV68" s="13">
        <f t="shared" si="41"/>
        <v>39.505596093744501</v>
      </c>
      <c r="CW68" s="20">
        <f t="shared" ref="CW68:CW131" si="67">(CU68+CV68)*0.475*44/12</f>
        <v>337.17133568470018</v>
      </c>
      <c r="CX68" s="59">
        <f t="shared" ref="CX68:CX131" si="68">CW68+(CO68+CP68)*44/12</f>
        <v>601.11454180115538</v>
      </c>
      <c r="CY68" s="59">
        <f ca="1">AVERAGE(OFFSET($CX$3,0,0,'Données projet'!$E$13+1,1))-AVERAGE(OFFSET($H$3,0,0,'Données projet'!$E$13+1,1))</f>
        <v>303.76035885073708</v>
      </c>
      <c r="CZ68" s="59">
        <f t="shared" si="42"/>
        <v>127.43112562890414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5.6843418860808015E-14</v>
      </c>
      <c r="DP68" s="17">
        <f>DO68*VLOOKUP('Données projet'!$B$14,Paramètres!$A$1:$I$89,3,0)*VLOOKUP('Données projet'!$B$14,Paramètres!$A$1:$I$89,5,0)</f>
        <v>3.2810021366458389E-14</v>
      </c>
      <c r="DQ68" s="13">
        <f t="shared" si="43"/>
        <v>5.6117125884464641E-13</v>
      </c>
      <c r="DR68" s="20">
        <f t="shared" ref="DR68:DR131" si="70">(DP68+DQ68)*0.475*44/12</f>
        <v>1.0345173963676741E-12</v>
      </c>
      <c r="DS68" s="59">
        <f t="shared" ref="DS68:DS131" si="71">DR68+(DJ68+DK68)*44/12</f>
        <v>263.94320611645622</v>
      </c>
      <c r="DT68" s="59">
        <f ca="1">AVERAGE(OFFSET($DS$3,0,0,'Données projet'!$E$14+1,1))-AVERAGE(OFFSET($H$3,0,0,'Données projet'!$E$14+1,1))</f>
        <v>243.65374431792841</v>
      </c>
      <c r="DU68" s="59">
        <f t="shared" si="44"/>
        <v>271.60754570002939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53.92011272528481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53.92011272528481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229</v>
      </c>
      <c r="EH68" s="12">
        <f>VLOOKUP(A68,'Données projet'!$A$191:$I$211,9,0)</f>
        <v>7.2</v>
      </c>
      <c r="EI68" s="12">
        <f t="array" ref="EI68">INDEX(EH:EH,MIN(IF(ISNUMBER(EH68:EH264),ROW(EH68:EH264),"")))</f>
        <v>7.2</v>
      </c>
      <c r="EJ68" s="12">
        <f>IF('Données projet'!$A$192&gt;35,EJ67+EI68-ER67,IF(A68&lt;'Données projet'!$A$192,$EG$205^A68,IF(A68='Données projet'!$A$192,'Données projet'!$B$192,EJ67+EI68-ER67)))</f>
        <v>228.99999999999994</v>
      </c>
      <c r="EK68" s="17">
        <f>EJ68*VLOOKUP('Données projet'!$B$15,Paramètres!$A$1:$I$89,3,0)*VLOOKUP('Données projet'!$B$15,Paramètres!$A$1:$I$89,5,0)</f>
        <v>153.61319999999995</v>
      </c>
      <c r="EL68" s="13">
        <f t="shared" si="45"/>
        <v>39.398557339898318</v>
      </c>
      <c r="EM68" s="20">
        <f t="shared" ref="EM68:EM131" si="73">(EK68+EL68)*0.475*44/12</f>
        <v>336.16214403365615</v>
      </c>
      <c r="EN68" s="59">
        <f t="shared" ref="EN68:EN131" si="74">EM68+(EE68+EF68)*44/12</f>
        <v>600.10535015011135</v>
      </c>
      <c r="EO68" s="59">
        <f ca="1">AVERAGE(OFFSET($EN$3,0,0,'Données projet'!$E$15+1,1))-AVERAGE(OFFSET($H$3,0,0,'Données projet'!$E$15+1,1))</f>
        <v>321.44781099085594</v>
      </c>
      <c r="EP68" s="59">
        <f t="shared" si="46"/>
        <v>201.22243186578183</v>
      </c>
      <c r="EQ68" s="15">
        <f>IF(ISNA(VLOOKUP(A68,'Données projet'!$A$191:$I$211,3,0)),0,VLOOKUP(A68,'Données projet'!$A$191:$I$211,3,0))</f>
        <v>10</v>
      </c>
      <c r="ER68" s="15">
        <f>IF(ISNA(VLOOKUP(A68,'Données projet'!$A$191:$I$211,4,0)),0,VLOOKUP(A68,'Données projet'!$A$191:$I$211,4,0))</f>
        <v>21</v>
      </c>
      <c r="ES68" s="16">
        <f>IF(ISNA(VLOOKUP(A68,'Données projet'!$A$191:$I$211,5,0)),0%,VLOOKUP(A68,'Données projet'!$A$191:$I$211,5,0)*VLOOKUP('Données projet'!$B$15,Paramètres!$A$1:$I$89,7,0))</f>
        <v>0.21200000000000002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12.279317256432343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12.279317256432343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202</v>
      </c>
      <c r="FC68" s="12">
        <f>VLOOKUP(A68,'Données projet'!$A$217:$I$237,9,0)</f>
        <v>3.4</v>
      </c>
      <c r="FD68" s="12">
        <f t="array" ref="FD68">INDEX(FC:FC,MIN(IF(ISNUMBER(FC68:FC264),ROW(FC68:FC264),"")))</f>
        <v>3.4</v>
      </c>
      <c r="FE68" s="12">
        <f>IF('Données projet'!$A$218&gt;35,FE67+FD68-FM67,IF(A68&lt;'Données projet'!$A$218,$FB$205^A68,IF(A68='Données projet'!$A$218,'Données projet'!$B$218,FE67+FD68-FM67)))</f>
        <v>202.00000000000003</v>
      </c>
      <c r="FF68" s="17">
        <f>FE68*VLOOKUP('Données projet'!$B$16,Paramètres!$A$1:$I$89,3,0)*VLOOKUP('Données projet'!$B$16,Paramètres!$A$1:$I$89,5,0)</f>
        <v>176.46720000000005</v>
      </c>
      <c r="FG68" s="13">
        <f t="shared" si="47"/>
        <v>44.535298821989393</v>
      </c>
      <c r="FH68" s="20">
        <f t="shared" ref="FH68:FH131" si="76">(FF68+FG68)*0.475*44/12</f>
        <v>384.91268544829819</v>
      </c>
      <c r="FI68" s="59">
        <f t="shared" ref="FI68:FI131" si="77">FH68+(EZ68+FA68)*44/12</f>
        <v>648.85589156475339</v>
      </c>
      <c r="FJ68" s="59">
        <f ca="1">AVERAGE(OFFSET($FI$3,0,0,'Données projet'!$E$16+1,1))-AVERAGE(OFFSET($H$3,0,0,'Données projet'!$E$16+1,1))</f>
        <v>285.8437404763045</v>
      </c>
      <c r="FK68" s="59">
        <f t="shared" si="48"/>
        <v>276.01618888357268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8</v>
      </c>
      <c r="FN68" s="16">
        <f>IF(ISNA(VLOOKUP(A68,'Données projet'!$A$217:$I$237,5,0)),0%,VLOOKUP(A68,'Données projet'!$A$217:$I$237,5,0)*VLOOKUP('Données projet'!$B$16,Paramètres!$A$1:$I$89,7,0))</f>
        <v>0.26500000000000001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11.403942469289179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11.403942469289179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255</v>
      </c>
      <c r="FX68" s="12">
        <f>VLOOKUP(A68,'Données projet'!$A$243:$I$263,9,0)</f>
        <v>4.4000000000000004</v>
      </c>
      <c r="FY68" s="12">
        <f t="array" ref="FY68">INDEX(FX:FX,MIN(IF(ISNUMBER(FX68:FX264),ROW(FX68:FX264),"")))</f>
        <v>4.4000000000000004</v>
      </c>
      <c r="FZ68" s="12">
        <f>IF('Données projet'!$A$244&gt;35,FZ67+FY68-GH67,IF(A68&lt;'Données projet'!$A$244,$FW$205^A68,IF(A68='Données projet'!$A$244,'Données projet'!$B$244,FZ67+FY68-GH67)))</f>
        <v>254.99999999999986</v>
      </c>
      <c r="GA68" s="17">
        <f>FZ68*VLOOKUP('Données projet'!$B$17,Paramètres!$A$1:$I$89,3,0)*VLOOKUP('Données projet'!$B$17,Paramètres!$A$1:$I$89,5,0)</f>
        <v>202.8779999999999</v>
      </c>
      <c r="GB68" s="13">
        <f t="shared" si="49"/>
        <v>50.376138116990084</v>
      </c>
      <c r="GC68" s="20">
        <f t="shared" ref="GC68:GC131" si="79">(GA68+GB68)*0.475*44/12</f>
        <v>441.08429055375751</v>
      </c>
      <c r="GD68" s="59">
        <f t="shared" ref="GD68:GD131" si="80">GC68+(FU68+FV68)*44/12</f>
        <v>705.02749667021271</v>
      </c>
      <c r="GE68" s="59">
        <f ca="1">AVERAGE(OFFSET($GD$3,0,0,'Données projet'!$E$17+1,1))-AVERAGE(OFFSET($H$3,0,0,'Données projet'!$E$17+1,1))</f>
        <v>323.01113210765487</v>
      </c>
      <c r="GF68" s="59">
        <f t="shared" si="50"/>
        <v>311.68541696405975</v>
      </c>
      <c r="GG68" s="15">
        <f>IF(ISNA(VLOOKUP(A68,'Données projet'!$A$243:$I$263,3,0)),0,VLOOKUP(A68,'Données projet'!$A$243:$I$263,3,0))</f>
        <v>11</v>
      </c>
      <c r="GH68" s="15">
        <f>IF(ISNA(VLOOKUP(A68,'Données projet'!$A$243:$I$263,4,0)),0,VLOOKUP(A68,'Données projet'!$A$243:$I$263,4,0))</f>
        <v>11</v>
      </c>
      <c r="GI68" s="16">
        <f>IF(ISNA(VLOOKUP(A68,'Données projet'!$A$243:$I$263,5,0)),0%,VLOOKUP(A68,'Données projet'!$A$243:$I$263,5,0)*VLOOKUP('Données projet'!$B$17,Paramètres!$A$1:$I$89,7,0))</f>
        <v>0.26500000000000001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13.447558294421404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13.447558294421404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202</v>
      </c>
      <c r="GS68" s="12">
        <f>VLOOKUP(A68,'Données projet'!$A$269:$I$289,9,0)</f>
        <v>3.4</v>
      </c>
      <c r="GT68" s="12">
        <f t="array" ref="GT68">INDEX(GS:GS,MIN(IF(ISNUMBER(GS68:GS264),ROW(GS68:GS264),"")))</f>
        <v>3.4</v>
      </c>
      <c r="GU68" s="12">
        <f>IF('Données projet'!$A$270&gt;35,GU67+GT68-HC67,IF(A68&lt;'Données projet'!$A$270,$GR$205^A68,IF(A68='Données projet'!$A$270,'Données projet'!$B$270,GU67+GT68-HC67)))</f>
        <v>202.00000000000003</v>
      </c>
      <c r="GV68" s="17">
        <f>GU68*VLOOKUP('Données projet'!$B$18,Paramètres!$A$1:$I$89,3,0)*VLOOKUP('Données projet'!$B$18,Paramètres!$A$1:$I$89,5,0)</f>
        <v>176.46720000000005</v>
      </c>
      <c r="GW68" s="13">
        <f t="shared" si="51"/>
        <v>44.535298821989393</v>
      </c>
      <c r="GX68" s="20">
        <f t="shared" ref="GX68:GX131" si="82">(GV68+GW68)*0.475*44/12</f>
        <v>384.91268544829819</v>
      </c>
      <c r="GY68" s="59">
        <f t="shared" ref="GY68:GY131" si="83">GX68+(GP68+GQ68)*44/12</f>
        <v>648.85589156475339</v>
      </c>
      <c r="GZ68" s="59">
        <f ca="1">AVERAGE(OFFSET($GY$3,0,0,'Données projet'!$E$18+1,1))-AVERAGE(OFFSET($H$3,0,0,'Données projet'!$E$18+1,1))</f>
        <v>285.8437404763045</v>
      </c>
      <c r="HA68" s="59">
        <f t="shared" si="52"/>
        <v>276.01618888357268</v>
      </c>
      <c r="HB68" s="15">
        <f>IF(ISNA(VLOOKUP(A68,'Données projet'!$A$269:$I$289,3,0)),0,VLOOKUP(A68,'Données projet'!$A$269:$I$289,3,0))</f>
        <v>11</v>
      </c>
      <c r="HC68" s="15">
        <f>IF(ISNA(VLOOKUP(A68,'Données projet'!$A$269:$I$289,4,0)),0,VLOOKUP(A68,'Données projet'!$A$269:$I$289,4,0))</f>
        <v>8</v>
      </c>
      <c r="HD68" s="16">
        <f>IF(ISNA(VLOOKUP(A68,'Données projet'!$A$269:$I$289,5,0)),0%,VLOOKUP(A68,'Données projet'!$A$269:$I$289,5,0)*VLOOKUP('Données projet'!$B$18,Paramètres!$A$1:$I$89,7,0))</f>
        <v>0.26500000000000001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11.403942469289179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11.403942469289179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</v>
      </c>
      <c r="N69" s="13">
        <f>IF('Données projet'!$A$36&gt;35,N68+M69-V68,IF(A69&lt;'Données projet'!$A$36,$K$205^A69,IF(A69='Données projet'!$A$36,'Données projet'!$B$36,N68+M69-V68)))</f>
        <v>152</v>
      </c>
      <c r="O69" s="13">
        <f>N69*VLOOKUP('Données projet'!$B$9,Paramètres!$A$1:$I$89,3,0)*VLOOKUP('Données projet'!$B$9,Paramètres!$A$1:$I$89,5,0)</f>
        <v>137.52959999999999</v>
      </c>
      <c r="P69" s="13">
        <f t="shared" ref="P69:P132" si="87">EXP(-1.0587+0.8836*LN(O69)+0.284)</f>
        <v>35.730486489800548</v>
      </c>
      <c r="Q69" s="20">
        <f t="shared" si="54"/>
        <v>301.76131730306923</v>
      </c>
      <c r="R69" s="59">
        <f t="shared" si="55"/>
        <v>566.21437642025626</v>
      </c>
      <c r="S69" s="59">
        <f ca="1">AVERAGE(OFFSET($R$3,0,0,'Données projet'!$E$9+1,1))-AVERAGE(OFFSET($H$3,0,0,'Données projet'!$E$9+1,1))</f>
        <v>315.34103933739129</v>
      </c>
      <c r="T69" s="59">
        <f t="shared" ref="T69:T132" si="88">$T$3</f>
        <v>165.80901858372513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7.8095345376879637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7.8095345376879637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-3.4106051316484809E-13</v>
      </c>
      <c r="AJ69" s="13">
        <f>AI69*VLOOKUP('Données projet'!$B$10,Paramètres!$A$1:$I$89,3,0)*VLOOKUP('Données projet'!$B$10,Paramètres!$A$1:$I$89,5,0)</f>
        <v>-2.0395418687257919E-13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317.328615425664</v>
      </c>
      <c r="AO69" s="59">
        <f t="shared" ref="AO69:AO132" si="90">$AO$3</f>
        <v>324.95872842255744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155.86605468837112</v>
      </c>
      <c r="AV69" s="21">
        <f>EXP(-LN(2)/25)*AV68+(1-EXP(-LN(2)/25))/(LN(2)/25)*Calculateur!AQ69*Calculateur!AS69*VLOOKUP('Données projet'!$B$10,Paramètres!$A$1:$I$89,3,0)*0.475*44/12</f>
        <v>28.653158406624971</v>
      </c>
      <c r="AW69" s="21">
        <f>EXP(-LN(2)/2)*AW68+(1-EXP(-LN(2)/2))/(LN(2)/2)*AQ69*AT69*VLOOKUP('Données projet'!$B$10,Paramètres!$A$1:$I$89,3,0)*0.475*44/12</f>
        <v>3.3621581054117651</v>
      </c>
      <c r="AX69" s="21">
        <f t="shared" si="60"/>
        <v>187.88137120040787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-5.6843418860808015E-14</v>
      </c>
      <c r="BE69" s="13">
        <f>BD69*VLOOKUP('Données projet'!$B$11,Paramètres!$A$1:$I$89,3,0)*VLOOKUP('Données projet'!$B$11,Paramètres!$A$1:$I$89,5,0)</f>
        <v>-6.5483618527650828E-14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418.31716673276725</v>
      </c>
      <c r="BJ69" s="59">
        <f t="shared" ref="BJ69:BJ132" si="92">$BJ$3</f>
        <v>472.37891533957929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121.60275520459822</v>
      </c>
      <c r="BQ69" s="21">
        <f>EXP(-LN(2)/25)*BQ68+(1-EXP(-LN(2)/25))/(LN(2)/25)*Calculateur!BL69*Calculateur!BN69*VLOOKUP('Données projet'!$B$11,Paramètres!$A$1:$I$89,3,0)*0.475*44/12</f>
        <v>26.137860241063702</v>
      </c>
      <c r="BR69" s="21">
        <f>EXP(-LN(2)/2)*BR68+(1-EXP(-LN(2)/2))/(LN(2)/2)*BL69*BO69*VLOOKUP('Données projet'!$B$11,Paramètres!$A$1:$I$89,3,0)*0.475*44/12</f>
        <v>5.2146783919997457</v>
      </c>
      <c r="BS69" s="22">
        <f t="shared" si="63"/>
        <v>152.95529383766166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5.2199999999999989</v>
      </c>
      <c r="BY69" s="12">
        <f>IF('Données projet'!$A$114&gt;35,BY68+BX69-CG68,IF(A69&lt;'Données projet'!$A$114,$BV$205^A69,IF(A69='Données projet'!$A$114,'Données projet'!$B$114,BY68+BX69-CG68)))</f>
        <v>172.28000000000011</v>
      </c>
      <c r="BZ69" s="13">
        <f>BY69*VLOOKUP('Données projet'!$B$12,Paramètres!$A$1:$I$89,3,0)*VLOOKUP('Données projet'!$B$12,Paramètres!$A$1:$I$89,5,0)</f>
        <v>100.78380000000007</v>
      </c>
      <c r="CA69" s="13">
        <f t="shared" ref="CA69:CA132" si="93">EXP(-1.0587+0.8836*LN(BZ69)+0.284)</f>
        <v>27.148642156727664</v>
      </c>
      <c r="CB69" s="20">
        <f t="shared" si="64"/>
        <v>222.8156700896341</v>
      </c>
      <c r="CC69" s="59">
        <f t="shared" si="65"/>
        <v>487.26872920682115</v>
      </c>
      <c r="CD69" s="59">
        <f ca="1">AVERAGE(OFFSET($CC$3,0,0,'Données projet'!$E$12+1,1))-AVERAGE(OFFSET($H$3,0,0,'Données projet'!$E$12+1,1))</f>
        <v>184.11352167663844</v>
      </c>
      <c r="CE69" s="59">
        <f t="shared" ref="CE69:CE132" si="94">$CE$3</f>
        <v>145.86653500981791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8.5285663817689965</v>
      </c>
      <c r="CL69" s="21">
        <f>EXP(-LN(2)/25)*CL68+(1-EXP(-LN(2)/25))/(LN(2)/25)*Calculateur!CG69*Calculateur!CI69*VLOOKUP('Données projet'!$B$12,Paramètres!$A$1:$I$89,3,0)*0.475*44/12</f>
        <v>7.5913045721525485</v>
      </c>
      <c r="CM69" s="21">
        <f>EXP(-LN(2)/2)*CM68+(1-EXP(-LN(2)/2))/(LN(2)/2)*CG69*CJ69*VLOOKUP('Données projet'!$B$12,Paramètres!$A$1:$I$89,3,0)*0.475*44/12</f>
        <v>9.4383895687753169E-2</v>
      </c>
      <c r="CN69" s="22">
        <f t="shared" si="66"/>
        <v>16.214254849609297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8.3828571428571443</v>
      </c>
      <c r="CT69" s="12">
        <f>IF('Données projet'!$A$140&gt;35,CT68+CS69-DB68,IF(A69&lt;'Données projet'!$A$140,$CQ$205^A69,IF(A69='Données projet'!$A$140,'Données projet'!$B$140,CT68+CS69-DB68)))</f>
        <v>328.72714285714278</v>
      </c>
      <c r="CU69" s="17">
        <f>CT69*VLOOKUP('Données projet'!$B$13,Paramètres!$A$1:$I$89,3,0)*VLOOKUP('Données projet'!$B$13,Paramètres!$A$1:$I$89,5,0)</f>
        <v>158.11775571428566</v>
      </c>
      <c r="CV69" s="13">
        <f t="shared" ref="CV69:CV132" si="95">EXP(-1.0587+0.8836*LN(CU69)+0.284)</f>
        <v>40.417678001613289</v>
      </c>
      <c r="CW69" s="20">
        <f t="shared" si="67"/>
        <v>345.78254705519066</v>
      </c>
      <c r="CX69" s="59">
        <f t="shared" si="68"/>
        <v>610.23560617237774</v>
      </c>
      <c r="CY69" s="59">
        <f ca="1">AVERAGE(OFFSET($CX$3,0,0,'Données projet'!$E$13+1,1))-AVERAGE(OFFSET($H$3,0,0,'Données projet'!$E$13+1,1))</f>
        <v>303.76035885073708</v>
      </c>
      <c r="CZ69" s="59">
        <f t="shared" ref="CZ69:CZ132" si="96">$CZ$3</f>
        <v>127.43112562890414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5.6843418860808015E-14</v>
      </c>
      <c r="DP69" s="17">
        <f>DO69*VLOOKUP('Données projet'!$B$14,Paramètres!$A$1:$I$89,3,0)*VLOOKUP('Données projet'!$B$14,Paramètres!$A$1:$I$89,5,0)</f>
        <v>3.2810021366458389E-14</v>
      </c>
      <c r="DQ69" s="13">
        <f t="shared" ref="DQ69:DQ132" si="97">EXP(-1.0587+0.8836*LN(DP69)+0.284)</f>
        <v>5.6117125884464641E-13</v>
      </c>
      <c r="DR69" s="20">
        <f t="shared" si="70"/>
        <v>1.0345173963676741E-12</v>
      </c>
      <c r="DS69" s="59">
        <f t="shared" si="71"/>
        <v>264.4530591171881</v>
      </c>
      <c r="DT69" s="59">
        <f ca="1">AVERAGE(OFFSET($DS$3,0,0,'Données projet'!$E$14+1,1))-AVERAGE(OFFSET($H$3,0,0,'Données projet'!$E$14+1,1))</f>
        <v>243.65374431792841</v>
      </c>
      <c r="DU69" s="59">
        <f t="shared" ref="DU69:DU132" si="98">$DU$3</f>
        <v>271.60754570002939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52.862772202763317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52.862772202763317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6.8</v>
      </c>
      <c r="EJ69" s="12">
        <f>IF('Données projet'!$A$192&gt;35,EJ68+EI69-ER68,IF(A69&lt;'Données projet'!$A$192,$EG$205^A69,IF(A69='Données projet'!$A$192,'Données projet'!$B$192,EJ68+EI69-ER68)))</f>
        <v>214.79999999999995</v>
      </c>
      <c r="EK69" s="17">
        <f>EJ69*VLOOKUP('Données projet'!$B$15,Paramètres!$A$1:$I$89,3,0)*VLOOKUP('Données projet'!$B$15,Paramètres!$A$1:$I$89,5,0)</f>
        <v>144.08783999999997</v>
      </c>
      <c r="EL69" s="13">
        <f t="shared" ref="EL69:EL132" si="99">EXP(-1.0587+0.8836*LN(EK69)+0.284)</f>
        <v>37.231897858558654</v>
      </c>
      <c r="EM69" s="20">
        <f t="shared" si="73"/>
        <v>315.79854343698958</v>
      </c>
      <c r="EN69" s="59">
        <f t="shared" si="74"/>
        <v>580.25160255417666</v>
      </c>
      <c r="EO69" s="59">
        <f ca="1">AVERAGE(OFFSET($EN$3,0,0,'Données projet'!$E$15+1,1))-AVERAGE(OFFSET($H$3,0,0,'Données projet'!$E$15+1,1))</f>
        <v>321.44781099085594</v>
      </c>
      <c r="EP69" s="59">
        <f t="shared" ref="EP69:EP132" si="100">$EP$3</f>
        <v>201.22243186578183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12.03852733467769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12.03852733467769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3</v>
      </c>
      <c r="FE69" s="12">
        <f>IF('Données projet'!$A$218&gt;35,FE68+FD69-FM68,IF(A69&lt;'Données projet'!$A$218,$FB$205^A69,IF(A69='Données projet'!$A$218,'Données projet'!$B$218,FE68+FD69-FM68)))</f>
        <v>197.00000000000003</v>
      </c>
      <c r="FF69" s="17">
        <f>FE69*VLOOKUP('Données projet'!$B$16,Paramètres!$A$1:$I$89,3,0)*VLOOKUP('Données projet'!$B$16,Paramètres!$A$1:$I$89,5,0)</f>
        <v>172.09920000000005</v>
      </c>
      <c r="FG69" s="13">
        <f t="shared" ref="FG69:FG132" si="101">EXP(-1.0587+0.8836*LN(FF69)+0.284)</f>
        <v>43.559838214506989</v>
      </c>
      <c r="FH69" s="20">
        <f t="shared" si="76"/>
        <v>375.60615822359978</v>
      </c>
      <c r="FI69" s="59">
        <f t="shared" si="77"/>
        <v>640.05921734078686</v>
      </c>
      <c r="FJ69" s="59">
        <f ca="1">AVERAGE(OFFSET($FI$3,0,0,'Données projet'!$E$16+1,1))-AVERAGE(OFFSET($H$3,0,0,'Données projet'!$E$16+1,1))</f>
        <v>285.8437404763045</v>
      </c>
      <c r="FK69" s="59">
        <f t="shared" ref="FK69:FK132" si="102">$FK$3</f>
        <v>276.01618888357268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11.180318113184505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11.180318113184505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3.8</v>
      </c>
      <c r="FZ69" s="12">
        <f>IF('Données projet'!$A$244&gt;35,FZ68+FY69-GH68,IF(A69&lt;'Données projet'!$A$244,$FW$205^A69,IF(A69='Données projet'!$A$244,'Données projet'!$B$244,FZ68+FY69-GH68)))</f>
        <v>247.79999999999984</v>
      </c>
      <c r="GA69" s="17">
        <f>FZ69*VLOOKUP('Données projet'!$B$17,Paramètres!$A$1:$I$89,3,0)*VLOOKUP('Données projet'!$B$17,Paramètres!$A$1:$I$89,5,0)</f>
        <v>197.14967999999988</v>
      </c>
      <c r="GB69" s="13">
        <f t="shared" ref="GB69:GB132" si="103">EXP(-1.0587+0.8836*LN(GA69)+0.284)</f>
        <v>49.11723130862363</v>
      </c>
      <c r="GC69" s="20">
        <f t="shared" si="79"/>
        <v>428.91487052918592</v>
      </c>
      <c r="GD69" s="59">
        <f t="shared" si="80"/>
        <v>693.367929646373</v>
      </c>
      <c r="GE69" s="59">
        <f ca="1">AVERAGE(OFFSET($GD$3,0,0,'Données projet'!$E$17+1,1))-AVERAGE(OFFSET($H$3,0,0,'Données projet'!$E$17+1,1))</f>
        <v>323.01113210765487</v>
      </c>
      <c r="GF69" s="59">
        <f t="shared" ref="GF69:GF132" si="104">$GF$3</f>
        <v>311.68541696405975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13.183859878468459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13.183859878468459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3</v>
      </c>
      <c r="GU69" s="12">
        <f>IF('Données projet'!$A$270&gt;35,GU68+GT69-HC68,IF(A69&lt;'Données projet'!$A$270,$GR$205^A69,IF(A69='Données projet'!$A$270,'Données projet'!$B$270,GU68+GT69-HC68)))</f>
        <v>197.00000000000003</v>
      </c>
      <c r="GV69" s="17">
        <f>GU69*VLOOKUP('Données projet'!$B$18,Paramètres!$A$1:$I$89,3,0)*VLOOKUP('Données projet'!$B$18,Paramètres!$A$1:$I$89,5,0)</f>
        <v>172.09920000000005</v>
      </c>
      <c r="GW69" s="13">
        <f t="shared" ref="GW69:GW132" si="105">EXP(-1.0587+0.8836*LN(GV69)+0.284)</f>
        <v>43.559838214506989</v>
      </c>
      <c r="GX69" s="20">
        <f t="shared" si="82"/>
        <v>375.60615822359978</v>
      </c>
      <c r="GY69" s="59">
        <f t="shared" si="83"/>
        <v>640.05921734078686</v>
      </c>
      <c r="GZ69" s="59">
        <f ca="1">AVERAGE(OFFSET($GY$3,0,0,'Données projet'!$E$18+1,1))-AVERAGE(OFFSET($H$3,0,0,'Données projet'!$E$18+1,1))</f>
        <v>285.8437404763045</v>
      </c>
      <c r="HA69" s="59">
        <f t="shared" ref="HA69:HA132" si="106">$HA$3</f>
        <v>276.01618888357268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11.180318113184505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11.180318113184505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</v>
      </c>
      <c r="N70" s="13">
        <f>IF('Données projet'!$A$36&gt;35,N69+M70-V69,IF(A70&lt;'Données projet'!$A$36,$K$205^A70,IF(A70='Données projet'!$A$36,'Données projet'!$B$36,N69+M70-V69)))</f>
        <v>157</v>
      </c>
      <c r="O70" s="13">
        <f>N70*VLOOKUP('Données projet'!$B$9,Paramètres!$A$1:$I$89,3,0)*VLOOKUP('Données projet'!$B$9,Paramètres!$A$1:$I$89,5,0)</f>
        <v>142.05359999999999</v>
      </c>
      <c r="P70" s="13">
        <f t="shared" si="87"/>
        <v>36.767056963845924</v>
      </c>
      <c r="Q70" s="20">
        <f t="shared" si="54"/>
        <v>311.445977545365</v>
      </c>
      <c r="R70" s="59">
        <f t="shared" si="55"/>
        <v>576.4000448535819</v>
      </c>
      <c r="S70" s="59">
        <f ca="1">AVERAGE(OFFSET($R$3,0,0,'Données projet'!$E$9+1,1))-AVERAGE(OFFSET($H$3,0,0,'Données projet'!$E$9+1,1))</f>
        <v>315.34103933739129</v>
      </c>
      <c r="T70" s="59">
        <f t="shared" si="88"/>
        <v>165.80901858372513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7.656394328749629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7.656394328749629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-3.4106051316484809E-13</v>
      </c>
      <c r="AJ70" s="13">
        <f>AI70*VLOOKUP('Données projet'!$B$10,Paramètres!$A$1:$I$89,3,0)*VLOOKUP('Données projet'!$B$10,Paramètres!$A$1:$I$89,5,0)</f>
        <v>-2.0395418687257919E-13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317.328615425664</v>
      </c>
      <c r="AO70" s="59">
        <f t="shared" si="90"/>
        <v>324.95872842255744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152.80961642483825</v>
      </c>
      <c r="AV70" s="21">
        <f>EXP(-LN(2)/25)*AV69+(1-EXP(-LN(2)/25))/(LN(2)/25)*Calculateur!AQ70*Calculateur!AS70*VLOOKUP('Données projet'!$B$10,Paramètres!$A$1:$I$89,3,0)*0.475*44/12</f>
        <v>27.869636283191699</v>
      </c>
      <c r="AW70" s="21">
        <f>EXP(-LN(2)/2)*AW69+(1-EXP(-LN(2)/2))/(LN(2)/2)*AQ70*AT70*VLOOKUP('Données projet'!$B$10,Paramètres!$A$1:$I$89,3,0)*0.475*44/12</f>
        <v>2.3774047957579745</v>
      </c>
      <c r="AX70" s="21">
        <f t="shared" si="60"/>
        <v>183.05665750378793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-5.6843418860808015E-14</v>
      </c>
      <c r="BE70" s="13">
        <f>BD70*VLOOKUP('Données projet'!$B$11,Paramètres!$A$1:$I$89,3,0)*VLOOKUP('Données projet'!$B$11,Paramètres!$A$1:$I$89,5,0)</f>
        <v>-6.5483618527650828E-14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418.31716673276725</v>
      </c>
      <c r="BJ70" s="59">
        <f t="shared" si="92"/>
        <v>472.37891533957929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119.21819934539302</v>
      </c>
      <c r="BQ70" s="21">
        <f>EXP(-LN(2)/25)*BQ69+(1-EXP(-LN(2)/25))/(LN(2)/25)*Calculateur!BL70*Calculateur!BN70*VLOOKUP('Données projet'!$B$11,Paramètres!$A$1:$I$89,3,0)*0.475*44/12</f>
        <v>25.423119078241484</v>
      </c>
      <c r="BR70" s="21">
        <f>EXP(-LN(2)/2)*BR69+(1-EXP(-LN(2)/2))/(LN(2)/2)*BL70*BO70*VLOOKUP('Données projet'!$B$11,Paramètres!$A$1:$I$89,3,0)*0.475*44/12</f>
        <v>3.6873344526899818</v>
      </c>
      <c r="BS70" s="22">
        <f t="shared" si="63"/>
        <v>148.3286528763245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5.2199999999999989</v>
      </c>
      <c r="BY70" s="12">
        <f>IF('Données projet'!$A$114&gt;35,BY69+BX70-CG69,IF(A70&lt;'Données projet'!$A$114,$BV$205^A70,IF(A70='Données projet'!$A$114,'Données projet'!$B$114,BY69+BX70-CG69)))</f>
        <v>177.50000000000011</v>
      </c>
      <c r="BZ70" s="13">
        <f>BY70*VLOOKUP('Données projet'!$B$12,Paramètres!$A$1:$I$89,3,0)*VLOOKUP('Données projet'!$B$12,Paramètres!$A$1:$I$89,5,0)</f>
        <v>103.83750000000008</v>
      </c>
      <c r="CA70" s="13">
        <f t="shared" si="93"/>
        <v>27.874215718998588</v>
      </c>
      <c r="CB70" s="20">
        <f t="shared" si="64"/>
        <v>229.397904877256</v>
      </c>
      <c r="CC70" s="59">
        <f t="shared" si="65"/>
        <v>494.3519721854729</v>
      </c>
      <c r="CD70" s="59">
        <f ca="1">AVERAGE(OFFSET($CC$3,0,0,'Données projet'!$E$12+1,1))-AVERAGE(OFFSET($H$3,0,0,'Données projet'!$E$12+1,1))</f>
        <v>184.11352167663844</v>
      </c>
      <c r="CE70" s="59">
        <f t="shared" si="94"/>
        <v>145.86653500981791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8.3613263969343539</v>
      </c>
      <c r="CL70" s="21">
        <f>EXP(-LN(2)/25)*CL69+(1-EXP(-LN(2)/25))/(LN(2)/25)*Calculateur!CG70*Calculateur!CI70*VLOOKUP('Données projet'!$B$12,Paramètres!$A$1:$I$89,3,0)*0.475*44/12</f>
        <v>7.3837199494176797</v>
      </c>
      <c r="CM70" s="21">
        <f>EXP(-LN(2)/2)*CM69+(1-EXP(-LN(2)/2))/(LN(2)/2)*CG70*CJ70*VLOOKUP('Données projet'!$B$12,Paramètres!$A$1:$I$89,3,0)*0.475*44/12</f>
        <v>6.6739492675614007E-2</v>
      </c>
      <c r="CN70" s="22">
        <f t="shared" si="66"/>
        <v>15.811785839027648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projet'!$A$139:$I$159,2,0)</f>
        <v>337.11</v>
      </c>
      <c r="CR70" s="12">
        <f>VLOOKUP(A70,'Données projet'!$A$139:$I$159,9,0)</f>
        <v>8.3828571428571443</v>
      </c>
      <c r="CS70" s="12">
        <f t="array" ref="CS70">INDEX(CR:CR,MIN(IF(ISNUMBER(CR70:CR266),ROW(CR70:CR266),"")))</f>
        <v>8.3828571428571443</v>
      </c>
      <c r="CT70" s="12">
        <f>IF('Données projet'!$A$140&gt;35,CT69+CS70-DB69,IF(A70&lt;'Données projet'!$A$140,$CQ$205^A70,IF(A70='Données projet'!$A$140,'Données projet'!$B$140,CT69+CS70-DB69)))</f>
        <v>337.1099999999999</v>
      </c>
      <c r="CU70" s="17">
        <f>CT70*VLOOKUP('Données projet'!$B$13,Paramètres!$A$1:$I$89,3,0)*VLOOKUP('Données projet'!$B$13,Paramètres!$A$1:$I$89,5,0)</f>
        <v>162.14990999999995</v>
      </c>
      <c r="CV70" s="13">
        <f t="shared" si="95"/>
        <v>41.327056270704546</v>
      </c>
      <c r="CW70" s="20">
        <f t="shared" si="67"/>
        <v>354.38904958814368</v>
      </c>
      <c r="CX70" s="59">
        <f t="shared" si="68"/>
        <v>619.34311689636058</v>
      </c>
      <c r="CY70" s="59">
        <f ca="1">AVERAGE(OFFSET($CX$3,0,0,'Données projet'!$E$13+1,1))-AVERAGE(OFFSET($H$3,0,0,'Données projet'!$E$13+1,1))</f>
        <v>303.76035885073708</v>
      </c>
      <c r="CZ70" s="59">
        <f t="shared" si="96"/>
        <v>127.43112562890414</v>
      </c>
      <c r="DA70" s="15">
        <f>IF(ISNA(VLOOKUP(A70,'Données projet'!$A$139:$I$159,3,0)),0,VLOOKUP(A70,'Données projet'!$A$139:$I$159,3,0))</f>
        <v>6</v>
      </c>
      <c r="DB70" s="15">
        <f>IF(ISNA(VLOOKUP(A70,'Données projet'!$A$139:$I$159,4,0)),0,VLOOKUP(A70,'Données projet'!$A$139:$I$159,4,0))</f>
        <v>122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0.30800000000000005</v>
      </c>
      <c r="DE70" s="16">
        <f>IF(ISNA(VLOOKUP(A70,'Données projet'!$A$139:$I$159,7,0)),0%,VLOOKUP(A70,'Données projet'!$A$139:$I$159,7,0))</f>
        <v>0.44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23.881996031694218</v>
      </c>
      <c r="DH70" s="21">
        <f>EXP(-LN(2)/2)*DH69+(1-EXP(-LN(2)/2))/(LN(2)/2)*DB70*DE70*VLOOKUP('Données projet'!$B$13,Paramètres!$A$1:$I$89,3,0)*0.475*44/12</f>
        <v>29.234328500717154</v>
      </c>
      <c r="DI70" s="22">
        <f t="shared" si="69"/>
        <v>53.116324532411369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5.6843418860808015E-14</v>
      </c>
      <c r="DP70" s="17">
        <f>DO70*VLOOKUP('Données projet'!$B$14,Paramètres!$A$1:$I$89,3,0)*VLOOKUP('Données projet'!$B$14,Paramètres!$A$1:$I$89,5,0)</f>
        <v>3.2810021366458389E-14</v>
      </c>
      <c r="DQ70" s="13">
        <f t="shared" si="97"/>
        <v>5.6117125884464641E-13</v>
      </c>
      <c r="DR70" s="20">
        <f t="shared" si="70"/>
        <v>1.0345173963676741E-12</v>
      </c>
      <c r="DS70" s="59">
        <f t="shared" si="71"/>
        <v>264.95406730821793</v>
      </c>
      <c r="DT70" s="59">
        <f ca="1">AVERAGE(OFFSET($DS$3,0,0,'Données projet'!$E$14+1,1))-AVERAGE(OFFSET($H$3,0,0,'Données projet'!$E$14+1,1))</f>
        <v>243.65374431792841</v>
      </c>
      <c r="DU70" s="59">
        <f t="shared" si="98"/>
        <v>271.60754570002939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51.826165482974432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51.826165482974432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6.8</v>
      </c>
      <c r="EJ70" s="12">
        <f>IF('Données projet'!$A$192&gt;35,EJ69+EI70-ER69,IF(A70&lt;'Données projet'!$A$192,$EG$205^A70,IF(A70='Données projet'!$A$192,'Données projet'!$B$192,EJ69+EI70-ER69)))</f>
        <v>221.59999999999997</v>
      </c>
      <c r="EK70" s="17">
        <f>EJ70*VLOOKUP('Données projet'!$B$15,Paramètres!$A$1:$I$89,3,0)*VLOOKUP('Données projet'!$B$15,Paramètres!$A$1:$I$89,5,0)</f>
        <v>148.64927999999998</v>
      </c>
      <c r="EL70" s="13">
        <f t="shared" si="99"/>
        <v>38.271468243038449</v>
      </c>
      <c r="EM70" s="20">
        <f t="shared" si="73"/>
        <v>325.55363652329191</v>
      </c>
      <c r="EN70" s="59">
        <f t="shared" si="74"/>
        <v>590.50770383150882</v>
      </c>
      <c r="EO70" s="59">
        <f ca="1">AVERAGE(OFFSET($EN$3,0,0,'Données projet'!$E$15+1,1))-AVERAGE(OFFSET($H$3,0,0,'Données projet'!$E$15+1,1))</f>
        <v>321.44781099085594</v>
      </c>
      <c r="EP70" s="59">
        <f t="shared" si="100"/>
        <v>201.22243186578183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11.802459156421296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11.802459156421296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3</v>
      </c>
      <c r="FE70" s="12">
        <f>IF('Données projet'!$A$218&gt;35,FE69+FD70-FM69,IF(A70&lt;'Données projet'!$A$218,$FB$205^A70,IF(A70='Données projet'!$A$218,'Données projet'!$B$218,FE69+FD70-FM69)))</f>
        <v>200.00000000000003</v>
      </c>
      <c r="FF70" s="17">
        <f>FE70*VLOOKUP('Données projet'!$B$16,Paramètres!$A$1:$I$89,3,0)*VLOOKUP('Données projet'!$B$16,Paramètres!$A$1:$I$89,5,0)</f>
        <v>174.72000000000006</v>
      </c>
      <c r="FG70" s="13">
        <f t="shared" si="101"/>
        <v>44.145455754865246</v>
      </c>
      <c r="FH70" s="20">
        <f t="shared" si="76"/>
        <v>381.19066877305704</v>
      </c>
      <c r="FI70" s="59">
        <f t="shared" si="77"/>
        <v>646.144736081274</v>
      </c>
      <c r="FJ70" s="59">
        <f ca="1">AVERAGE(OFFSET($FI$3,0,0,'Données projet'!$E$16+1,1))-AVERAGE(OFFSET($H$3,0,0,'Données projet'!$E$16+1,1))</f>
        <v>285.8437404763045</v>
      </c>
      <c r="FK70" s="59">
        <f t="shared" si="102"/>
        <v>276.01618888357268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10.961078894305654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10.961078894305654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3.8</v>
      </c>
      <c r="FZ70" s="12">
        <f>IF('Données projet'!$A$244&gt;35,FZ69+FY70-GH69,IF(A70&lt;'Données projet'!$A$244,$FW$205^A70,IF(A70='Données projet'!$A$244,'Données projet'!$B$244,FZ69+FY70-GH69)))</f>
        <v>251.59999999999985</v>
      </c>
      <c r="GA70" s="17">
        <f>FZ70*VLOOKUP('Données projet'!$B$17,Paramètres!$A$1:$I$89,3,0)*VLOOKUP('Données projet'!$B$17,Paramètres!$A$1:$I$89,5,0)</f>
        <v>200.17295999999988</v>
      </c>
      <c r="GB70" s="13">
        <f t="shared" si="103"/>
        <v>49.782177185855986</v>
      </c>
      <c r="GC70" s="20">
        <f t="shared" si="79"/>
        <v>435.33853059869892</v>
      </c>
      <c r="GD70" s="59">
        <f t="shared" si="80"/>
        <v>700.29259790691583</v>
      </c>
      <c r="GE70" s="59">
        <f ca="1">AVERAGE(OFFSET($GD$3,0,0,'Données projet'!$E$17+1,1))-AVERAGE(OFFSET($H$3,0,0,'Données projet'!$E$17+1,1))</f>
        <v>323.01113210765487</v>
      </c>
      <c r="GF70" s="59">
        <f t="shared" si="104"/>
        <v>311.68541696405975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12.925332427612199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12.925332427612199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3</v>
      </c>
      <c r="GU70" s="12">
        <f>IF('Données projet'!$A$270&gt;35,GU69+GT70-HC69,IF(A70&lt;'Données projet'!$A$270,$GR$205^A70,IF(A70='Données projet'!$A$270,'Données projet'!$B$270,GU69+GT70-HC69)))</f>
        <v>200.00000000000003</v>
      </c>
      <c r="GV70" s="17">
        <f>GU70*VLOOKUP('Données projet'!$B$18,Paramètres!$A$1:$I$89,3,0)*VLOOKUP('Données projet'!$B$18,Paramètres!$A$1:$I$89,5,0)</f>
        <v>174.72000000000006</v>
      </c>
      <c r="GW70" s="13">
        <f t="shared" si="105"/>
        <v>44.145455754865246</v>
      </c>
      <c r="GX70" s="20">
        <f t="shared" si="82"/>
        <v>381.19066877305704</v>
      </c>
      <c r="GY70" s="59">
        <f t="shared" si="83"/>
        <v>646.144736081274</v>
      </c>
      <c r="GZ70" s="59">
        <f ca="1">AVERAGE(OFFSET($GY$3,0,0,'Données projet'!$E$18+1,1))-AVERAGE(OFFSET($H$3,0,0,'Données projet'!$E$18+1,1))</f>
        <v>285.8437404763045</v>
      </c>
      <c r="HA70" s="59">
        <f t="shared" si="106"/>
        <v>276.01618888357268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10.961078894305654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10.961078894305654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</v>
      </c>
      <c r="N71" s="13">
        <f>IF('Données projet'!$A$36&gt;35,N70+M71-V70,IF(A71&lt;'Données projet'!$A$36,$K$205^A71,IF(A71='Données projet'!$A$36,'Données projet'!$B$36,N70+M71-V70)))</f>
        <v>162</v>
      </c>
      <c r="O71" s="13">
        <f>N71*VLOOKUP('Données projet'!$B$9,Paramètres!$A$1:$I$89,3,0)*VLOOKUP('Données projet'!$B$9,Paramètres!$A$1:$I$89,5,0)</f>
        <v>146.57759999999999</v>
      </c>
      <c r="P71" s="13">
        <f t="shared" si="87"/>
        <v>37.799791292871248</v>
      </c>
      <c r="Q71" s="20">
        <f t="shared" si="54"/>
        <v>321.12395650175074</v>
      </c>
      <c r="R71" s="59">
        <f t="shared" si="55"/>
        <v>586.57034062896957</v>
      </c>
      <c r="S71" s="59">
        <f ca="1">AVERAGE(OFFSET($R$3,0,0,'Données projet'!$E$9+1,1))-AVERAGE(OFFSET($H$3,0,0,'Données projet'!$E$9+1,1))</f>
        <v>315.34103933739129</v>
      </c>
      <c r="T71" s="59">
        <f t="shared" si="88"/>
        <v>165.80901858372513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7.5062571059022707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7.5062571059022707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-3.4106051316484809E-13</v>
      </c>
      <c r="AJ71" s="13">
        <f>AI71*VLOOKUP('Données projet'!$B$10,Paramètres!$A$1:$I$89,3,0)*VLOOKUP('Données projet'!$B$10,Paramètres!$A$1:$I$89,5,0)</f>
        <v>-2.0395418687257919E-13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317.328615425664</v>
      </c>
      <c r="AO71" s="59">
        <f t="shared" si="90"/>
        <v>324.95872842255744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149.81311305141</v>
      </c>
      <c r="AV71" s="21">
        <f>EXP(-LN(2)/25)*AV70+(1-EXP(-LN(2)/25))/(LN(2)/25)*Calculateur!AQ71*Calculateur!AS71*VLOOKUP('Données projet'!$B$10,Paramètres!$A$1:$I$89,3,0)*0.475*44/12</f>
        <v>27.107539613427345</v>
      </c>
      <c r="AW71" s="21">
        <f>EXP(-LN(2)/2)*AW70+(1-EXP(-LN(2)/2))/(LN(2)/2)*AQ71*AT71*VLOOKUP('Données projet'!$B$10,Paramètres!$A$1:$I$89,3,0)*0.475*44/12</f>
        <v>1.681079052705883</v>
      </c>
      <c r="AX71" s="21">
        <f t="shared" si="60"/>
        <v>178.60173171754323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-5.6843418860808015E-14</v>
      </c>
      <c r="BE71" s="13">
        <f>BD71*VLOOKUP('Données projet'!$B$11,Paramètres!$A$1:$I$89,3,0)*VLOOKUP('Données projet'!$B$11,Paramètres!$A$1:$I$89,5,0)</f>
        <v>-6.5483618527650828E-14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418.31716673276725</v>
      </c>
      <c r="BJ71" s="59">
        <f t="shared" si="92"/>
        <v>472.37891533957929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116.88040317215136</v>
      </c>
      <c r="BQ71" s="21">
        <f>EXP(-LN(2)/25)*BQ70+(1-EXP(-LN(2)/25))/(LN(2)/25)*Calculateur!BL71*Calculateur!BN71*VLOOKUP('Données projet'!$B$11,Paramètres!$A$1:$I$89,3,0)*0.475*44/12</f>
        <v>24.727922550103244</v>
      </c>
      <c r="BR71" s="21">
        <f>EXP(-LN(2)/2)*BR70+(1-EXP(-LN(2)/2))/(LN(2)/2)*BL71*BO71*VLOOKUP('Données projet'!$B$11,Paramètres!$A$1:$I$89,3,0)*0.475*44/12</f>
        <v>2.6073391959998733</v>
      </c>
      <c r="BS71" s="22">
        <f t="shared" si="63"/>
        <v>144.2156649182545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5.2199999999999989</v>
      </c>
      <c r="BY71" s="12">
        <f>IF('Données projet'!$A$114&gt;35,BY70+BX71-CG70,IF(A71&lt;'Données projet'!$A$114,$BV$205^A71,IF(A71='Données projet'!$A$114,'Données projet'!$B$114,BY70+BX71-CG70)))</f>
        <v>182.72000000000011</v>
      </c>
      <c r="BZ71" s="13">
        <f>BY71*VLOOKUP('Données projet'!$B$12,Paramètres!$A$1:$I$89,3,0)*VLOOKUP('Données projet'!$B$12,Paramètres!$A$1:$I$89,5,0)</f>
        <v>106.89120000000007</v>
      </c>
      <c r="CA71" s="13">
        <f t="shared" si="93"/>
        <v>28.597309407293611</v>
      </c>
      <c r="CB71" s="20">
        <f t="shared" si="64"/>
        <v>235.97582055103649</v>
      </c>
      <c r="CC71" s="59">
        <f t="shared" si="65"/>
        <v>501.4222046782553</v>
      </c>
      <c r="CD71" s="59">
        <f ca="1">AVERAGE(OFFSET($CC$3,0,0,'Données projet'!$E$12+1,1))-AVERAGE(OFFSET($H$3,0,0,'Données projet'!$E$12+1,1))</f>
        <v>184.11352167663844</v>
      </c>
      <c r="CE71" s="59">
        <f t="shared" si="94"/>
        <v>145.86653500981791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8.1973658861959997</v>
      </c>
      <c r="CL71" s="21">
        <f>EXP(-LN(2)/25)*CL70+(1-EXP(-LN(2)/25))/(LN(2)/25)*Calculateur!CG71*Calculateur!CI71*VLOOKUP('Données projet'!$B$12,Paramètres!$A$1:$I$89,3,0)*0.475*44/12</f>
        <v>7.1818117391078973</v>
      </c>
      <c r="CM71" s="21">
        <f>EXP(-LN(2)/2)*CM70+(1-EXP(-LN(2)/2))/(LN(2)/2)*CG71*CJ71*VLOOKUP('Données projet'!$B$12,Paramètres!$A$1:$I$89,3,0)*0.475*44/12</f>
        <v>4.7191947843876585E-2</v>
      </c>
      <c r="CN71" s="22">
        <f t="shared" si="66"/>
        <v>15.426369573147772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6.8575000000000017</v>
      </c>
      <c r="CT71" s="12">
        <f>IF('Données projet'!$A$140&gt;35,CT70+CS71-DB70,IF(A71&lt;'Données projet'!$A$140,$CQ$205^A71,IF(A71='Données projet'!$A$140,'Données projet'!$B$140,CT70+CS71-DB70)))</f>
        <v>221.96749999999992</v>
      </c>
      <c r="CU71" s="17">
        <f>CT71*VLOOKUP('Données projet'!$B$13,Paramètres!$A$1:$I$89,3,0)*VLOOKUP('Données projet'!$B$13,Paramètres!$A$1:$I$89,5,0)</f>
        <v>106.76636749999996</v>
      </c>
      <c r="CV71" s="13">
        <f t="shared" si="95"/>
        <v>28.567797578200398</v>
      </c>
      <c r="CW71" s="20">
        <f t="shared" si="67"/>
        <v>235.70700417786563</v>
      </c>
      <c r="CX71" s="59">
        <f t="shared" si="68"/>
        <v>501.15338830508449</v>
      </c>
      <c r="CY71" s="59">
        <f ca="1">AVERAGE(OFFSET($CX$3,0,0,'Données projet'!$E$13+1,1))-AVERAGE(OFFSET($H$3,0,0,'Données projet'!$E$13+1,1))</f>
        <v>303.76035885073708</v>
      </c>
      <c r="CZ71" s="59">
        <f t="shared" si="96"/>
        <v>127.43112562890414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23.228941594307951</v>
      </c>
      <c r="DH71" s="21">
        <f>EXP(-LN(2)/2)*DH70+(1-EXP(-LN(2)/2))/(LN(2)/2)*DB71*DE71*VLOOKUP('Données projet'!$B$13,Paramètres!$A$1:$I$89,3,0)*0.475*44/12</f>
        <v>20.671791926292258</v>
      </c>
      <c r="DI71" s="22">
        <f t="shared" si="69"/>
        <v>43.900733520600213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5.6843418860808015E-14</v>
      </c>
      <c r="DP71" s="17">
        <f>DO71*VLOOKUP('Données projet'!$B$14,Paramètres!$A$1:$I$89,3,0)*VLOOKUP('Données projet'!$B$14,Paramètres!$A$1:$I$89,5,0)</f>
        <v>3.2810021366458389E-14</v>
      </c>
      <c r="DQ71" s="13">
        <f t="shared" si="97"/>
        <v>5.6117125884464641E-13</v>
      </c>
      <c r="DR71" s="20">
        <f t="shared" si="70"/>
        <v>1.0345173963676741E-12</v>
      </c>
      <c r="DS71" s="59">
        <f t="shared" si="71"/>
        <v>265.44638412721986</v>
      </c>
      <c r="DT71" s="59">
        <f ca="1">AVERAGE(OFFSET($DS$3,0,0,'Données projet'!$E$14+1,1))-AVERAGE(OFFSET($H$3,0,0,'Données projet'!$E$14+1,1))</f>
        <v>243.65374431792841</v>
      </c>
      <c r="DU71" s="59">
        <f t="shared" si="98"/>
        <v>271.60754570002939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50.809885988692933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50.809885988692933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6.8</v>
      </c>
      <c r="EJ71" s="12">
        <f>IF('Données projet'!$A$192&gt;35,EJ70+EI71-ER70,IF(A71&lt;'Données projet'!$A$192,$EG$205^A71,IF(A71='Données projet'!$A$192,'Données projet'!$B$192,EJ70+EI71-ER70)))</f>
        <v>228.39999999999998</v>
      </c>
      <c r="EK71" s="17">
        <f>EJ71*VLOOKUP('Données projet'!$B$15,Paramètres!$A$1:$I$89,3,0)*VLOOKUP('Données projet'!$B$15,Paramètres!$A$1:$I$89,5,0)</f>
        <v>153.21071999999998</v>
      </c>
      <c r="EL71" s="13">
        <f t="shared" si="99"/>
        <v>39.307331456095298</v>
      </c>
      <c r="EM71" s="20">
        <f t="shared" si="73"/>
        <v>335.3022729526993</v>
      </c>
      <c r="EN71" s="59">
        <f t="shared" si="74"/>
        <v>600.74865707991808</v>
      </c>
      <c r="EO71" s="59">
        <f ca="1">AVERAGE(OFFSET($EN$3,0,0,'Données projet'!$E$15+1,1))-AVERAGE(OFFSET($H$3,0,0,'Données projet'!$E$15+1,1))</f>
        <v>321.44781099085594</v>
      </c>
      <c r="EP71" s="59">
        <f t="shared" si="100"/>
        <v>201.22243186578183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11.571020131153139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11.571020131153139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3</v>
      </c>
      <c r="FE71" s="12">
        <f>IF('Données projet'!$A$218&gt;35,FE70+FD71-FM70,IF(A71&lt;'Données projet'!$A$218,$FB$205^A71,IF(A71='Données projet'!$A$218,'Données projet'!$B$218,FE70+FD71-FM70)))</f>
        <v>203.00000000000003</v>
      </c>
      <c r="FF71" s="17">
        <f>FE71*VLOOKUP('Données projet'!$B$16,Paramètres!$A$1:$I$89,3,0)*VLOOKUP('Données projet'!$B$16,Paramètres!$A$1:$I$89,5,0)</f>
        <v>177.34080000000003</v>
      </c>
      <c r="FG71" s="13">
        <f t="shared" si="101"/>
        <v>44.730051658603102</v>
      </c>
      <c r="FH71" s="20">
        <f t="shared" si="76"/>
        <v>386.77339997206712</v>
      </c>
      <c r="FI71" s="59">
        <f t="shared" si="77"/>
        <v>652.21978409928602</v>
      </c>
      <c r="FJ71" s="59">
        <f ca="1">AVERAGE(OFFSET($FI$3,0,0,'Données projet'!$E$16+1,1))-AVERAGE(OFFSET($H$3,0,0,'Données projet'!$E$16+1,1))</f>
        <v>285.8437404763045</v>
      </c>
      <c r="FK71" s="59">
        <f t="shared" si="102"/>
        <v>276.01618888357268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10.746138822786298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10.746138822786298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3.8</v>
      </c>
      <c r="FZ71" s="12">
        <f>IF('Données projet'!$A$244&gt;35,FZ70+FY71-GH70,IF(A71&lt;'Données projet'!$A$244,$FW$205^A71,IF(A71='Données projet'!$A$244,'Données projet'!$B$244,FZ70+FY71-GH70)))</f>
        <v>255.39999999999986</v>
      </c>
      <c r="GA71" s="17">
        <f>FZ71*VLOOKUP('Données projet'!$B$17,Paramètres!$A$1:$I$89,3,0)*VLOOKUP('Données projet'!$B$17,Paramètres!$A$1:$I$89,5,0)</f>
        <v>203.1962399999999</v>
      </c>
      <c r="GB71" s="13">
        <f t="shared" si="103"/>
        <v>50.445955049216174</v>
      </c>
      <c r="GC71" s="20">
        <f t="shared" si="79"/>
        <v>441.76015637738465</v>
      </c>
      <c r="GD71" s="59">
        <f t="shared" si="80"/>
        <v>707.20654050460348</v>
      </c>
      <c r="GE71" s="59">
        <f ca="1">AVERAGE(OFFSET($GD$3,0,0,'Données projet'!$E$17+1,1))-AVERAGE(OFFSET($H$3,0,0,'Données projet'!$E$17+1,1))</f>
        <v>323.01113210765487</v>
      </c>
      <c r="GF71" s="59">
        <f t="shared" si="104"/>
        <v>311.68541696405975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12.671874542381056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12.671874542381056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3</v>
      </c>
      <c r="GU71" s="12">
        <f>IF('Données projet'!$A$270&gt;35,GU70+GT71-HC70,IF(A71&lt;'Données projet'!$A$270,$GR$205^A71,IF(A71='Données projet'!$A$270,'Données projet'!$B$270,GU70+GT71-HC70)))</f>
        <v>203.00000000000003</v>
      </c>
      <c r="GV71" s="17">
        <f>GU71*VLOOKUP('Données projet'!$B$18,Paramètres!$A$1:$I$89,3,0)*VLOOKUP('Données projet'!$B$18,Paramètres!$A$1:$I$89,5,0)</f>
        <v>177.34080000000003</v>
      </c>
      <c r="GW71" s="13">
        <f t="shared" si="105"/>
        <v>44.730051658603102</v>
      </c>
      <c r="GX71" s="20">
        <f t="shared" si="82"/>
        <v>386.77339997206712</v>
      </c>
      <c r="GY71" s="59">
        <f t="shared" si="83"/>
        <v>652.21978409928602</v>
      </c>
      <c r="GZ71" s="59">
        <f ca="1">AVERAGE(OFFSET($GY$3,0,0,'Données projet'!$E$18+1,1))-AVERAGE(OFFSET($H$3,0,0,'Données projet'!$E$18+1,1))</f>
        <v>285.8437404763045</v>
      </c>
      <c r="HA71" s="59">
        <f t="shared" si="106"/>
        <v>276.01618888357268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10.746138822786298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10.746138822786298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</v>
      </c>
      <c r="N72" s="13">
        <f>IF('Données projet'!$A$36&gt;35,N71+M72-V71,IF(A72&lt;'Données projet'!$A$36,$K$205^A72,IF(A72='Données projet'!$A$36,'Données projet'!$B$36,N71+M72-V71)))</f>
        <v>167</v>
      </c>
      <c r="O72" s="13">
        <f>N72*VLOOKUP('Données projet'!$B$9,Paramètres!$A$1:$I$89,3,0)*VLOOKUP('Données projet'!$B$9,Paramètres!$A$1:$I$89,5,0)</f>
        <v>151.10159999999999</v>
      </c>
      <c r="P72" s="13">
        <f t="shared" si="87"/>
        <v>38.82882146347977</v>
      </c>
      <c r="Q72" s="20">
        <f t="shared" si="54"/>
        <v>330.79548404889391</v>
      </c>
      <c r="R72" s="59">
        <f t="shared" si="55"/>
        <v>596.72564439896041</v>
      </c>
      <c r="S72" s="59">
        <f ca="1">AVERAGE(OFFSET($R$3,0,0,'Données projet'!$E$9+1,1))-AVERAGE(OFFSET($H$3,0,0,'Données projet'!$E$9+1,1))</f>
        <v>315.34103933739129</v>
      </c>
      <c r="T72" s="59">
        <f t="shared" si="88"/>
        <v>165.80901858372513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7.3590639824202855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7.3590639824202855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-3.4106051316484809E-13</v>
      </c>
      <c r="AJ72" s="13">
        <f>AI72*VLOOKUP('Données projet'!$B$10,Paramètres!$A$1:$I$89,3,0)*VLOOKUP('Données projet'!$B$10,Paramètres!$A$1:$I$89,5,0)</f>
        <v>-2.0395418687257919E-13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317.328615425664</v>
      </c>
      <c r="AO72" s="59">
        <f t="shared" si="90"/>
        <v>324.95872842255744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146.87536928144809</v>
      </c>
      <c r="AV72" s="21">
        <f>EXP(-LN(2)/25)*AV71+(1-EXP(-LN(2)/25))/(LN(2)/25)*Calculateur!AQ72*Calculateur!AS72*VLOOKUP('Données projet'!$B$10,Paramètres!$A$1:$I$89,3,0)*0.475*44/12</f>
        <v>26.366282517174621</v>
      </c>
      <c r="AW72" s="21">
        <f>EXP(-LN(2)/2)*AW71+(1-EXP(-LN(2)/2))/(LN(2)/2)*AQ72*AT72*VLOOKUP('Données projet'!$B$10,Paramètres!$A$1:$I$89,3,0)*0.475*44/12</f>
        <v>1.1887023978789875</v>
      </c>
      <c r="AX72" s="21">
        <f t="shared" si="60"/>
        <v>174.4303541965017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-5.6843418860808015E-14</v>
      </c>
      <c r="BE72" s="13">
        <f>BD72*VLOOKUP('Données projet'!$B$11,Paramètres!$A$1:$I$89,3,0)*VLOOKUP('Données projet'!$B$11,Paramètres!$A$1:$I$89,5,0)</f>
        <v>-6.5483618527650828E-14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418.31716673276725</v>
      </c>
      <c r="BJ72" s="59">
        <f t="shared" si="92"/>
        <v>472.37891533957929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114.5884497559521</v>
      </c>
      <c r="BQ72" s="21">
        <f>EXP(-LN(2)/25)*BQ71+(1-EXP(-LN(2)/25))/(LN(2)/25)*Calculateur!BL72*Calculateur!BN72*VLOOKUP('Données projet'!$B$11,Paramètres!$A$1:$I$89,3,0)*0.475*44/12</f>
        <v>24.051736207585741</v>
      </c>
      <c r="BR72" s="21">
        <f>EXP(-LN(2)/2)*BR71+(1-EXP(-LN(2)/2))/(LN(2)/2)*BL72*BO72*VLOOKUP('Données projet'!$B$11,Paramètres!$A$1:$I$89,3,0)*0.475*44/12</f>
        <v>1.8436672263449914</v>
      </c>
      <c r="BS72" s="22">
        <f t="shared" si="63"/>
        <v>140.48385318988284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5.2199999999999989</v>
      </c>
      <c r="BY72" s="12">
        <f>IF('Données projet'!$A$114&gt;35,BY71+BX72-CG71,IF(A72&lt;'Données projet'!$A$114,$BV$205^A72,IF(A72='Données projet'!$A$114,'Données projet'!$B$114,BY71+BX72-CG71)))</f>
        <v>187.94000000000011</v>
      </c>
      <c r="BZ72" s="13">
        <f>BY72*VLOOKUP('Données projet'!$B$12,Paramètres!$A$1:$I$89,3,0)*VLOOKUP('Données projet'!$B$12,Paramètres!$A$1:$I$89,5,0)</f>
        <v>109.94490000000008</v>
      </c>
      <c r="CA72" s="13">
        <f t="shared" si="93"/>
        <v>29.318002204261585</v>
      </c>
      <c r="CB72" s="20">
        <f t="shared" si="64"/>
        <v>242.54955467242237</v>
      </c>
      <c r="CC72" s="59">
        <f t="shared" si="65"/>
        <v>508.4797150224889</v>
      </c>
      <c r="CD72" s="59">
        <f ca="1">AVERAGE(OFFSET($CC$3,0,0,'Données projet'!$E$12+1,1))-AVERAGE(OFFSET($H$3,0,0,'Données projet'!$E$12+1,1))</f>
        <v>184.11352167663844</v>
      </c>
      <c r="CE72" s="59">
        <f t="shared" si="94"/>
        <v>145.86653500981791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8.0366205410671885</v>
      </c>
      <c r="CL72" s="21">
        <f>EXP(-LN(2)/25)*CL71+(1-EXP(-LN(2)/25))/(LN(2)/25)*Calculateur!CG72*Calculateur!CI72*VLOOKUP('Données projet'!$B$12,Paramètres!$A$1:$I$89,3,0)*0.475*44/12</f>
        <v>6.985424719426927</v>
      </c>
      <c r="CM72" s="21">
        <f>EXP(-LN(2)/2)*CM71+(1-EXP(-LN(2)/2))/(LN(2)/2)*CG72*CJ72*VLOOKUP('Données projet'!$B$12,Paramètres!$A$1:$I$89,3,0)*0.475*44/12</f>
        <v>3.3369746337807003E-2</v>
      </c>
      <c r="CN72" s="22">
        <f t="shared" si="66"/>
        <v>15.055415006831922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6.8575000000000017</v>
      </c>
      <c r="CT72" s="12">
        <f>IF('Données projet'!$A$140&gt;35,CT71+CS72-DB71,IF(A72&lt;'Données projet'!$A$140,$CQ$205^A72,IF(A72='Données projet'!$A$140,'Données projet'!$B$140,CT71+CS72-DB71)))</f>
        <v>228.82499999999993</v>
      </c>
      <c r="CU72" s="17">
        <f>CT72*VLOOKUP('Données projet'!$B$13,Paramètres!$A$1:$I$89,3,0)*VLOOKUP('Données projet'!$B$13,Paramètres!$A$1:$I$89,5,0)</f>
        <v>110.06482499999997</v>
      </c>
      <c r="CV72" s="13">
        <f t="shared" si="95"/>
        <v>29.346257324442519</v>
      </c>
      <c r="CW72" s="20">
        <f t="shared" si="67"/>
        <v>242.80763504840397</v>
      </c>
      <c r="CX72" s="59">
        <f t="shared" si="68"/>
        <v>508.73779539847055</v>
      </c>
      <c r="CY72" s="59">
        <f ca="1">AVERAGE(OFFSET($CX$3,0,0,'Données projet'!$E$13+1,1))-AVERAGE(OFFSET($H$3,0,0,'Données projet'!$E$13+1,1))</f>
        <v>303.76035885073708</v>
      </c>
      <c r="CZ72" s="59">
        <f t="shared" si="96"/>
        <v>127.43112562890414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22.593744964854654</v>
      </c>
      <c r="DH72" s="21">
        <f>EXP(-LN(2)/2)*DH71+(1-EXP(-LN(2)/2))/(LN(2)/2)*DB72*DE72*VLOOKUP('Données projet'!$B$13,Paramètres!$A$1:$I$89,3,0)*0.475*44/12</f>
        <v>14.617164250358581</v>
      </c>
      <c r="DI72" s="22">
        <f t="shared" si="69"/>
        <v>37.210909215213235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5.6843418860808015E-14</v>
      </c>
      <c r="DP72" s="17">
        <f>DO72*VLOOKUP('Données projet'!$B$14,Paramètres!$A$1:$I$89,3,0)*VLOOKUP('Données projet'!$B$14,Paramètres!$A$1:$I$89,5,0)</f>
        <v>3.2810021366458389E-14</v>
      </c>
      <c r="DQ72" s="13">
        <f t="shared" si="97"/>
        <v>5.6117125884464641E-13</v>
      </c>
      <c r="DR72" s="20">
        <f t="shared" si="70"/>
        <v>1.0345173963676741E-12</v>
      </c>
      <c r="DS72" s="59">
        <f t="shared" si="71"/>
        <v>265.93016035006758</v>
      </c>
      <c r="DT72" s="59">
        <f ca="1">AVERAGE(OFFSET($DS$3,0,0,'Données projet'!$E$14+1,1))-AVERAGE(OFFSET($H$3,0,0,'Données projet'!$E$14+1,1))</f>
        <v>243.65374431792841</v>
      </c>
      <c r="DU72" s="59">
        <f t="shared" si="98"/>
        <v>271.60754570002939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49.813535115425012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49.813535115425012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6.8</v>
      </c>
      <c r="EJ72" s="12">
        <f>IF('Données projet'!$A$192&gt;35,EJ71+EI72-ER71,IF(A72&lt;'Données projet'!$A$192,$EG$205^A72,IF(A72='Données projet'!$A$192,'Données projet'!$B$192,EJ71+EI72-ER71)))</f>
        <v>235.2</v>
      </c>
      <c r="EK72" s="17">
        <f>EJ72*VLOOKUP('Données projet'!$B$15,Paramètres!$A$1:$I$89,3,0)*VLOOKUP('Données projet'!$B$15,Paramètres!$A$1:$I$89,5,0)</f>
        <v>157.77215999999999</v>
      </c>
      <c r="EL72" s="13">
        <f t="shared" si="99"/>
        <v>40.339610539653599</v>
      </c>
      <c r="EM72" s="20">
        <f t="shared" si="73"/>
        <v>345.04466702322998</v>
      </c>
      <c r="EN72" s="59">
        <f t="shared" si="74"/>
        <v>610.97482737329653</v>
      </c>
      <c r="EO72" s="59">
        <f ca="1">AVERAGE(OFFSET($EN$3,0,0,'Données projet'!$E$15+1,1))-AVERAGE(OFFSET($H$3,0,0,'Données projet'!$E$15+1,1))</f>
        <v>321.44781099085594</v>
      </c>
      <c r="EP72" s="59">
        <f t="shared" si="100"/>
        <v>201.22243186578183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11.344119484006622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11.344119484006622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3</v>
      </c>
      <c r="FE72" s="12">
        <f>IF('Données projet'!$A$218&gt;35,FE71+FD72-FM71,IF(A72&lt;'Données projet'!$A$218,$FB$205^A72,IF(A72='Données projet'!$A$218,'Données projet'!$B$218,FE71+FD72-FM71)))</f>
        <v>206.00000000000003</v>
      </c>
      <c r="FF72" s="17">
        <f>FE72*VLOOKUP('Données projet'!$B$16,Paramètres!$A$1:$I$89,3,0)*VLOOKUP('Données projet'!$B$16,Paramètres!$A$1:$I$89,5,0)</f>
        <v>179.96160000000006</v>
      </c>
      <c r="FG72" s="13">
        <f t="shared" si="101"/>
        <v>45.313642767960104</v>
      </c>
      <c r="FH72" s="20">
        <f t="shared" si="76"/>
        <v>392.3543811541972</v>
      </c>
      <c r="FI72" s="59">
        <f t="shared" si="77"/>
        <v>658.28454150426376</v>
      </c>
      <c r="FJ72" s="59">
        <f ca="1">AVERAGE(OFFSET($FI$3,0,0,'Données projet'!$E$16+1,1))-AVERAGE(OFFSET($H$3,0,0,'Données projet'!$E$16+1,1))</f>
        <v>285.8437404763045</v>
      </c>
      <c r="FK72" s="59">
        <f t="shared" si="102"/>
        <v>276.01618888357268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10.535413594968938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10.535413594968938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3.8</v>
      </c>
      <c r="FZ72" s="12">
        <f>IF('Données projet'!$A$244&gt;35,FZ71+FY72-GH71,IF(A72&lt;'Données projet'!$A$244,$FW$205^A72,IF(A72='Données projet'!$A$244,'Données projet'!$B$244,FZ71+FY72-GH71)))</f>
        <v>259.19999999999987</v>
      </c>
      <c r="GA72" s="17">
        <f>FZ72*VLOOKUP('Données projet'!$B$17,Paramètres!$A$1:$I$89,3,0)*VLOOKUP('Données projet'!$B$17,Paramètres!$A$1:$I$89,5,0)</f>
        <v>206.21951999999993</v>
      </c>
      <c r="GB72" s="13">
        <f t="shared" si="103"/>
        <v>51.10858428464028</v>
      </c>
      <c r="GC72" s="20">
        <f t="shared" si="79"/>
        <v>448.17978162908167</v>
      </c>
      <c r="GD72" s="59">
        <f t="shared" si="80"/>
        <v>714.10994197914829</v>
      </c>
      <c r="GE72" s="59">
        <f ca="1">AVERAGE(OFFSET($GD$3,0,0,'Données projet'!$E$17+1,1))-AVERAGE(OFFSET($H$3,0,0,'Données projet'!$E$17+1,1))</f>
        <v>323.01113210765487</v>
      </c>
      <c r="GF72" s="59">
        <f t="shared" si="104"/>
        <v>311.68541696405975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12.423386811685251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12.423386811685251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3</v>
      </c>
      <c r="GU72" s="12">
        <f>IF('Données projet'!$A$270&gt;35,GU71+GT72-HC71,IF(A72&lt;'Données projet'!$A$270,$GR$205^A72,IF(A72='Données projet'!$A$270,'Données projet'!$B$270,GU71+GT72-HC71)))</f>
        <v>206.00000000000003</v>
      </c>
      <c r="GV72" s="17">
        <f>GU72*VLOOKUP('Données projet'!$B$18,Paramètres!$A$1:$I$89,3,0)*VLOOKUP('Données projet'!$B$18,Paramètres!$A$1:$I$89,5,0)</f>
        <v>179.96160000000006</v>
      </c>
      <c r="GW72" s="13">
        <f t="shared" si="105"/>
        <v>45.313642767960104</v>
      </c>
      <c r="GX72" s="20">
        <f t="shared" si="82"/>
        <v>392.3543811541972</v>
      </c>
      <c r="GY72" s="59">
        <f t="shared" si="83"/>
        <v>658.28454150426376</v>
      </c>
      <c r="GZ72" s="59">
        <f ca="1">AVERAGE(OFFSET($GY$3,0,0,'Données projet'!$E$18+1,1))-AVERAGE(OFFSET($H$3,0,0,'Données projet'!$E$18+1,1))</f>
        <v>285.8437404763045</v>
      </c>
      <c r="HA72" s="59">
        <f t="shared" si="106"/>
        <v>276.01618888357268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10.535413594968938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10.535413594968938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172</v>
      </c>
      <c r="L73" s="12">
        <f>VLOOKUP(A73,'Données projet'!$A$35:$I$55,9,0)</f>
        <v>5</v>
      </c>
      <c r="M73" s="12">
        <f t="array" ref="M73">INDEX(L:L,MIN(IF(ISNUMBER(L73:L269),ROW(L73:L269),"")))</f>
        <v>5</v>
      </c>
      <c r="N73" s="13">
        <f>IF('Données projet'!$A$36&gt;35,N72+M73-V72,IF(A73&lt;'Données projet'!$A$36,$K$205^A73,IF(A73='Données projet'!$A$36,'Données projet'!$B$36,N72+M73-V72)))</f>
        <v>172</v>
      </c>
      <c r="O73" s="13">
        <f>N73*VLOOKUP('Données projet'!$B$9,Paramètres!$A$1:$I$89,3,0)*VLOOKUP('Données projet'!$B$9,Paramètres!$A$1:$I$89,5,0)</f>
        <v>155.62559999999999</v>
      </c>
      <c r="P73" s="13">
        <f t="shared" si="87"/>
        <v>39.854271109683118</v>
      </c>
      <c r="Q73" s="20">
        <f t="shared" si="54"/>
        <v>340.46077551603139</v>
      </c>
      <c r="R73" s="59">
        <f t="shared" si="55"/>
        <v>606.86631965304082</v>
      </c>
      <c r="S73" s="59">
        <f ca="1">AVERAGE(OFFSET($R$3,0,0,'Données projet'!$E$9+1,1))-AVERAGE(OFFSET($H$3,0,0,'Données projet'!$E$9+1,1))</f>
        <v>315.34103933739129</v>
      </c>
      <c r="T73" s="59">
        <f t="shared" si="88"/>
        <v>165.80901858372513</v>
      </c>
      <c r="U73" s="15">
        <f>IF(ISNA(VLOOKUP(A73,'Données projet'!$A$35:$I$55,3,0)),0,VLOOKUP(A73,'Données projet'!$A$35:$I$55,3,0))</f>
        <v>10</v>
      </c>
      <c r="V73" s="15">
        <f>IF(ISNA(VLOOKUP(A73,'Données projet'!$A$35:$I$55,4,0)),0,VLOOKUP(A73,'Données projet'!$A$35:$I$55,4,0))</f>
        <v>14</v>
      </c>
      <c r="W73" s="16">
        <f>IF(ISNA(VLOOKUP(A73,'Données projet'!$A$35:$I$55,5,0)),0%,VLOOKUP(A73,'Données projet'!$A$35:$I$55,5,0)*VLOOKUP('Données projet'!$B$9,Paramètres!$A$1:$I$89,7,0))</f>
        <v>0.17200000000000001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9.6233101016694444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9.6233101016694444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-3.4106051316484809E-13</v>
      </c>
      <c r="AJ73" s="13">
        <f>AI73*VLOOKUP('Données projet'!$B$10,Paramètres!$A$1:$I$89,3,0)*VLOOKUP('Données projet'!$B$10,Paramètres!$A$1:$I$89,5,0)</f>
        <v>-2.0395418687257919E-13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317.328615425664</v>
      </c>
      <c r="AO73" s="59">
        <f t="shared" si="90"/>
        <v>324.95872842255744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143.99523287496837</v>
      </c>
      <c r="AV73" s="21">
        <f>EXP(-LN(2)/25)*AV72+(1-EXP(-LN(2)/25))/(LN(2)/25)*Calculateur!AQ73*Calculateur!AS73*VLOOKUP('Données projet'!$B$10,Paramètres!$A$1:$I$89,3,0)*0.475*44/12</f>
        <v>25.645295135199945</v>
      </c>
      <c r="AW73" s="21">
        <f>EXP(-LN(2)/2)*AW72+(1-EXP(-LN(2)/2))/(LN(2)/2)*AQ73*AT73*VLOOKUP('Données projet'!$B$10,Paramètres!$A$1:$I$89,3,0)*0.475*44/12</f>
        <v>0.8405395263529416</v>
      </c>
      <c r="AX73" s="21">
        <f t="shared" si="60"/>
        <v>170.48106753652127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-5.6843418860808015E-14</v>
      </c>
      <c r="BE73" s="13">
        <f>BD73*VLOOKUP('Données projet'!$B$11,Paramètres!$A$1:$I$89,3,0)*VLOOKUP('Données projet'!$B$11,Paramètres!$A$1:$I$89,5,0)</f>
        <v>-6.5483618527650828E-14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418.31716673276725</v>
      </c>
      <c r="BJ73" s="59">
        <f t="shared" si="92"/>
        <v>472.37891533957929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112.34144014829096</v>
      </c>
      <c r="BQ73" s="21">
        <f>EXP(-LN(2)/25)*BQ72+(1-EXP(-LN(2)/25))/(LN(2)/25)*Calculateur!BL73*Calculateur!BN73*VLOOKUP('Données projet'!$B$11,Paramètres!$A$1:$I$89,3,0)*0.475*44/12</f>
        <v>23.394040216163472</v>
      </c>
      <c r="BR73" s="21">
        <f>EXP(-LN(2)/2)*BR72+(1-EXP(-LN(2)/2))/(LN(2)/2)*BL73*BO73*VLOOKUP('Données projet'!$B$11,Paramètres!$A$1:$I$89,3,0)*0.475*44/12</f>
        <v>1.3036695979999369</v>
      </c>
      <c r="BS73" s="22">
        <f t="shared" si="63"/>
        <v>137.03914996245436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193.16</v>
      </c>
      <c r="BW73" s="12">
        <f>VLOOKUP(A73,'Données projet'!$A$113:$I$133,9,0)</f>
        <v>5.2199999999999989</v>
      </c>
      <c r="BX73" s="12">
        <f t="array" ref="BX73">INDEX(BW:BW,MIN(IF(ISNUMBER(BW73:BW269),ROW(BW73:BW269),"")))</f>
        <v>5.2199999999999989</v>
      </c>
      <c r="BY73" s="12">
        <f>IF('Données projet'!$A$114&gt;35,BY72+BX73-CG72,IF(A73&lt;'Données projet'!$A$114,$BV$205^A73,IF(A73='Données projet'!$A$114,'Données projet'!$B$114,BY72+BX73-CG72)))</f>
        <v>193.16000000000011</v>
      </c>
      <c r="BZ73" s="13">
        <f>BY73*VLOOKUP('Données projet'!$B$12,Paramètres!$A$1:$I$89,3,0)*VLOOKUP('Données projet'!$B$12,Paramètres!$A$1:$I$89,5,0)</f>
        <v>112.99860000000007</v>
      </c>
      <c r="CA73" s="13">
        <f t="shared" si="93"/>
        <v>30.036368455437831</v>
      </c>
      <c r="CB73" s="20">
        <f t="shared" si="64"/>
        <v>249.11923672655436</v>
      </c>
      <c r="CC73" s="59">
        <f t="shared" si="65"/>
        <v>515.52478086356382</v>
      </c>
      <c r="CD73" s="59">
        <f ca="1">AVERAGE(OFFSET($CC$3,0,0,'Données projet'!$E$12+1,1))-AVERAGE(OFFSET($H$3,0,0,'Données projet'!$E$12+1,1))</f>
        <v>184.11352167663844</v>
      </c>
      <c r="CE73" s="59">
        <f t="shared" si="94"/>
        <v>145.86653500981791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0.18000000000000002</v>
      </c>
      <c r="CI73" s="16">
        <f>IF(ISNA(VLOOKUP(A73,'Données projet'!$A$113:$I$133,6,0)),0%,VLOOKUP(A73,'Données projet'!$A$113:$I$133,6,0)*VLOOKUP('Données projet'!$B$12,Paramètres!$A$1:$I$89,7,0))</f>
        <v>0.15300000000000002</v>
      </c>
      <c r="CJ73" s="16">
        <f>IF(ISNA(VLOOKUP(A73,'Données projet'!$A$113:$I$133,7,0)),0%,VLOOKUP(A73,'Données projet'!$A$113:$I$133,7,0))</f>
        <v>0.26</v>
      </c>
      <c r="CK73" s="21">
        <f>EXP(-LN(2)/35)*CK72+(1-EXP(-LN(2)/35))/(LN(2)/35)*CG73*CH73*VLOOKUP('Données projet'!$B$12,Paramètres!$A$1:$I$89,3,0)*0.475*44/12</f>
        <v>7.8790273141113731</v>
      </c>
      <c r="CL73" s="21">
        <f>EXP(-LN(2)/25)*CL72+(1-EXP(-LN(2)/25))/(LN(2)/25)*Calculateur!CG73*Calculateur!CI73*VLOOKUP('Données projet'!$B$12,Paramètres!$A$1:$I$89,3,0)*0.475*44/12</f>
        <v>6.794407913126677</v>
      </c>
      <c r="CM73" s="21">
        <f>EXP(-LN(2)/2)*CM72+(1-EXP(-LN(2)/2))/(LN(2)/2)*CG73*CJ73*VLOOKUP('Données projet'!$B$12,Paramètres!$A$1:$I$89,3,0)*0.475*44/12</f>
        <v>2.3595973921938292E-2</v>
      </c>
      <c r="CN73" s="22">
        <f t="shared" si="66"/>
        <v>14.697031201159989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6.8575000000000017</v>
      </c>
      <c r="CT73" s="12">
        <f>IF('Données projet'!$A$140&gt;35,CT72+CS73-DB72,IF(A73&lt;'Données projet'!$A$140,$CQ$205^A73,IF(A73='Données projet'!$A$140,'Données projet'!$B$140,CT72+CS73-DB72)))</f>
        <v>235.68249999999995</v>
      </c>
      <c r="CU73" s="17">
        <f>CT73*VLOOKUP('Données projet'!$B$13,Paramètres!$A$1:$I$89,3,0)*VLOOKUP('Données projet'!$B$13,Paramètres!$A$1:$I$89,5,0)</f>
        <v>113.36328249999998</v>
      </c>
      <c r="CV73" s="13">
        <f t="shared" si="95"/>
        <v>30.122005862173083</v>
      </c>
      <c r="CW73" s="20">
        <f t="shared" si="67"/>
        <v>249.90354389745141</v>
      </c>
      <c r="CX73" s="59">
        <f t="shared" si="68"/>
        <v>516.30908803446096</v>
      </c>
      <c r="CY73" s="59">
        <f ca="1">AVERAGE(OFFSET($CX$3,0,0,'Données projet'!$E$13+1,1))-AVERAGE(OFFSET($H$3,0,0,'Données projet'!$E$13+1,1))</f>
        <v>303.76035885073708</v>
      </c>
      <c r="CZ73" s="59">
        <f t="shared" si="96"/>
        <v>127.43112562890414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21.975917820637296</v>
      </c>
      <c r="DH73" s="21">
        <f>EXP(-LN(2)/2)*DH72+(1-EXP(-LN(2)/2))/(LN(2)/2)*DB73*DE73*VLOOKUP('Données projet'!$B$13,Paramètres!$A$1:$I$89,3,0)*0.475*44/12</f>
        <v>10.335895963146131</v>
      </c>
      <c r="DI73" s="22">
        <f t="shared" si="69"/>
        <v>32.311813783783428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5.6843418860808015E-14</v>
      </c>
      <c r="DP73" s="17">
        <f>DO73*VLOOKUP('Données projet'!$B$14,Paramètres!$A$1:$I$89,3,0)*VLOOKUP('Données projet'!$B$14,Paramètres!$A$1:$I$89,5,0)</f>
        <v>3.2810021366458389E-14</v>
      </c>
      <c r="DQ73" s="13">
        <f t="shared" si="97"/>
        <v>5.6117125884464641E-13</v>
      </c>
      <c r="DR73" s="20">
        <f t="shared" si="70"/>
        <v>1.0345173963676741E-12</v>
      </c>
      <c r="DS73" s="59">
        <f t="shared" si="71"/>
        <v>266.40554413701051</v>
      </c>
      <c r="DT73" s="59">
        <f ca="1">AVERAGE(OFFSET($DS$3,0,0,'Données projet'!$E$14+1,1))-AVERAGE(OFFSET($H$3,0,0,'Données projet'!$E$14+1,1))</f>
        <v>243.65374431792841</v>
      </c>
      <c r="DU73" s="59">
        <f t="shared" si="98"/>
        <v>271.60754570002939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48.836722075067847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48.836722075067847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242</v>
      </c>
      <c r="EH73" s="12">
        <f>VLOOKUP(A73,'Données projet'!$A$191:$I$211,9,0)</f>
        <v>6.8</v>
      </c>
      <c r="EI73" s="12">
        <f t="array" ref="EI73">INDEX(EH:EH,MIN(IF(ISNUMBER(EH73:EH269),ROW(EH73:EH269),"")))</f>
        <v>6.8</v>
      </c>
      <c r="EJ73" s="12">
        <f>IF('Données projet'!$A$192&gt;35,EJ72+EI73-ER72,IF(A73&lt;'Données projet'!$A$192,$EG$205^A73,IF(A73='Données projet'!$A$192,'Données projet'!$B$192,EJ72+EI73-ER72)))</f>
        <v>242</v>
      </c>
      <c r="EK73" s="17">
        <f>EJ73*VLOOKUP('Données projet'!$B$15,Paramètres!$A$1:$I$89,3,0)*VLOOKUP('Données projet'!$B$15,Paramètres!$A$1:$I$89,5,0)</f>
        <v>162.33360000000002</v>
      </c>
      <c r="EL73" s="13">
        <f t="shared" si="99"/>
        <v>41.368421016378349</v>
      </c>
      <c r="EM73" s="20">
        <f t="shared" si="73"/>
        <v>354.78101993685891</v>
      </c>
      <c r="EN73" s="59">
        <f t="shared" si="74"/>
        <v>621.18656407386834</v>
      </c>
      <c r="EO73" s="59">
        <f ca="1">AVERAGE(OFFSET($EN$3,0,0,'Données projet'!$E$15+1,1))-AVERAGE(OFFSET($H$3,0,0,'Données projet'!$E$15+1,1))</f>
        <v>321.44781099085594</v>
      </c>
      <c r="EP73" s="59">
        <f t="shared" si="100"/>
        <v>201.22243186578183</v>
      </c>
      <c r="EQ73" s="15">
        <f>IF(ISNA(VLOOKUP(A73,'Données projet'!$A$191:$I$211,3,0)),0,VLOOKUP(A73,'Données projet'!$A$191:$I$211,3,0))</f>
        <v>11</v>
      </c>
      <c r="ER73" s="15">
        <f>IF(ISNA(VLOOKUP(A73,'Données projet'!$A$191:$I$211,4,0)),0,VLOOKUP(A73,'Données projet'!$A$191:$I$211,4,0))</f>
        <v>21</v>
      </c>
      <c r="ES73" s="16">
        <f>IF(ISNA(VLOOKUP(A73,'Données projet'!$A$191:$I$211,5,0)),0%,VLOOKUP(A73,'Données projet'!$A$191:$I$211,5,0)*VLOOKUP('Données projet'!$B$15,Paramètres!$A$1:$I$89,7,0))</f>
        <v>0.26500000000000001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15.248391357892181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15.248391357892181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209</v>
      </c>
      <c r="FC73" s="12">
        <f>VLOOKUP(A73,'Données projet'!$A$217:$I$237,9,0)</f>
        <v>3</v>
      </c>
      <c r="FD73" s="12">
        <f t="array" ref="FD73">INDEX(FC:FC,MIN(IF(ISNUMBER(FC73:FC269),ROW(FC73:FC269),"")))</f>
        <v>3</v>
      </c>
      <c r="FE73" s="12">
        <f>IF('Données projet'!$A$218&gt;35,FE72+FD73-FM72,IF(A73&lt;'Données projet'!$A$218,$FB$205^A73,IF(A73='Données projet'!$A$218,'Données projet'!$B$218,FE72+FD73-FM72)))</f>
        <v>209.00000000000003</v>
      </c>
      <c r="FF73" s="17">
        <f>FE73*VLOOKUP('Données projet'!$B$16,Paramètres!$A$1:$I$89,3,0)*VLOOKUP('Données projet'!$B$16,Paramètres!$A$1:$I$89,5,0)</f>
        <v>182.58240000000004</v>
      </c>
      <c r="FG73" s="13">
        <f t="shared" si="101"/>
        <v>45.896245406460288</v>
      </c>
      <c r="FH73" s="20">
        <f t="shared" si="76"/>
        <v>397.93364074958504</v>
      </c>
      <c r="FI73" s="59">
        <f t="shared" si="77"/>
        <v>664.33918488659447</v>
      </c>
      <c r="FJ73" s="59">
        <f ca="1">AVERAGE(OFFSET($FI$3,0,0,'Données projet'!$E$16+1,1))-AVERAGE(OFFSET($H$3,0,0,'Données projet'!$E$16+1,1))</f>
        <v>285.8437404763045</v>
      </c>
      <c r="FK73" s="59">
        <f t="shared" si="102"/>
        <v>276.01618888357268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8</v>
      </c>
      <c r="FN73" s="16">
        <f>IF(ISNA(VLOOKUP(A73,'Données projet'!$A$217:$I$237,5,0)),0%,VLOOKUP(A73,'Données projet'!$A$217:$I$237,5,0)*VLOOKUP('Données projet'!$B$16,Paramètres!$A$1:$I$89,7,0))</f>
        <v>0.26500000000000001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12.376187078286547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12.376187078286547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263</v>
      </c>
      <c r="FX73" s="12">
        <f>VLOOKUP(A73,'Données projet'!$A$243:$I$263,9,0)</f>
        <v>3.8</v>
      </c>
      <c r="FY73" s="12">
        <f t="array" ref="FY73">INDEX(FX:FX,MIN(IF(ISNUMBER(FX73:FX269),ROW(FX73:FX269),"")))</f>
        <v>3.8</v>
      </c>
      <c r="FZ73" s="12">
        <f>IF('Données projet'!$A$244&gt;35,FZ72+FY73-GH72,IF(A73&lt;'Données projet'!$A$244,$FW$205^A73,IF(A73='Données projet'!$A$244,'Données projet'!$B$244,FZ72+FY73-GH72)))</f>
        <v>262.99999999999989</v>
      </c>
      <c r="GA73" s="17">
        <f>FZ73*VLOOKUP('Données projet'!$B$17,Paramètres!$A$1:$I$89,3,0)*VLOOKUP('Données projet'!$B$17,Paramètres!$A$1:$I$89,5,0)</f>
        <v>209.2427999999999</v>
      </c>
      <c r="GB73" s="13">
        <f t="shared" si="103"/>
        <v>51.770083677016814</v>
      </c>
      <c r="GC73" s="20">
        <f t="shared" si="79"/>
        <v>454.59743907080406</v>
      </c>
      <c r="GD73" s="59">
        <f t="shared" si="80"/>
        <v>721.00298320781349</v>
      </c>
      <c r="GE73" s="59">
        <f ca="1">AVERAGE(OFFSET($GD$3,0,0,'Données projet'!$E$17+1,1))-AVERAGE(OFFSET($H$3,0,0,'Données projet'!$E$17+1,1))</f>
        <v>323.01113210765487</v>
      </c>
      <c r="GF73" s="59">
        <f t="shared" si="104"/>
        <v>311.68541696405975</v>
      </c>
      <c r="GG73" s="15">
        <f>IF(ISNA(VLOOKUP(A73,'Données projet'!$A$243:$I$263,3,0)),0,VLOOKUP(A73,'Données projet'!$A$243:$I$263,3,0))</f>
        <v>12</v>
      </c>
      <c r="GH73" s="15">
        <f>IF(ISNA(VLOOKUP(A73,'Données projet'!$A$243:$I$263,4,0)),0,VLOOKUP(A73,'Données projet'!$A$243:$I$263,4,0))</f>
        <v>10</v>
      </c>
      <c r="GI73" s="16">
        <f>IF(ISNA(VLOOKUP(A73,'Données projet'!$A$243:$I$263,5,0)),0%,VLOOKUP(A73,'Données projet'!$A$243:$I$263,5,0)*VLOOKUP('Données projet'!$B$17,Paramètres!$A$1:$I$89,7,0))</f>
        <v>0.26500000000000001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14.510479193810342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14.510479193810342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209</v>
      </c>
      <c r="GS73" s="12">
        <f>VLOOKUP(A73,'Données projet'!$A$269:$I$289,9,0)</f>
        <v>3</v>
      </c>
      <c r="GT73" s="12">
        <f t="array" ref="GT73">INDEX(GS:GS,MIN(IF(ISNUMBER(GS73:GS269),ROW(GS73:GS269),"")))</f>
        <v>3</v>
      </c>
      <c r="GU73" s="12">
        <f>IF('Données projet'!$A$270&gt;35,GU72+GT73-HC72,IF(A73&lt;'Données projet'!$A$270,$GR$205^A73,IF(A73='Données projet'!$A$270,'Données projet'!$B$270,GU72+GT73-HC72)))</f>
        <v>209.00000000000003</v>
      </c>
      <c r="GV73" s="17">
        <f>GU73*VLOOKUP('Données projet'!$B$18,Paramètres!$A$1:$I$89,3,0)*VLOOKUP('Données projet'!$B$18,Paramètres!$A$1:$I$89,5,0)</f>
        <v>182.58240000000004</v>
      </c>
      <c r="GW73" s="13">
        <f t="shared" si="105"/>
        <v>45.896245406460288</v>
      </c>
      <c r="GX73" s="20">
        <f t="shared" si="82"/>
        <v>397.93364074958504</v>
      </c>
      <c r="GY73" s="59">
        <f t="shared" si="83"/>
        <v>664.33918488659447</v>
      </c>
      <c r="GZ73" s="59">
        <f ca="1">AVERAGE(OFFSET($GY$3,0,0,'Données projet'!$E$18+1,1))-AVERAGE(OFFSET($H$3,0,0,'Données projet'!$E$18+1,1))</f>
        <v>285.8437404763045</v>
      </c>
      <c r="HA73" s="59">
        <f t="shared" si="106"/>
        <v>276.01618888357268</v>
      </c>
      <c r="HB73" s="15">
        <f>IF(ISNA(VLOOKUP(A73,'Données projet'!$A$269:$I$289,3,0)),0,VLOOKUP(A73,'Données projet'!$A$269:$I$289,3,0))</f>
        <v>12</v>
      </c>
      <c r="HC73" s="15">
        <f>IF(ISNA(VLOOKUP(A73,'Données projet'!$A$269:$I$289,4,0)),0,VLOOKUP(A73,'Données projet'!$A$269:$I$289,4,0))</f>
        <v>8</v>
      </c>
      <c r="HD73" s="16">
        <f>IF(ISNA(VLOOKUP(A73,'Données projet'!$A$269:$I$289,5,0)),0%,VLOOKUP(A73,'Données projet'!$A$269:$I$289,5,0)*VLOOKUP('Données projet'!$B$18,Paramètres!$A$1:$I$89,7,0))</f>
        <v>0.26500000000000001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12.376187078286547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12.376187078286547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5</v>
      </c>
      <c r="N74" s="13">
        <f>IF('Données projet'!$A$36&gt;35,N73+M74-V73,IF(A74&lt;'Données projet'!$A$36,$K$205^A74,IF(A74='Données projet'!$A$36,'Données projet'!$B$36,N73+M74-V73)))</f>
        <v>163</v>
      </c>
      <c r="O74" s="13">
        <f>N74*VLOOKUP('Données projet'!$B$9,Paramètres!$A$1:$I$89,3,0)*VLOOKUP('Données projet'!$B$9,Paramètres!$A$1:$I$89,5,0)</f>
        <v>147.48239999999998</v>
      </c>
      <c r="P74" s="13">
        <f t="shared" si="87"/>
        <v>38.005889588171215</v>
      </c>
      <c r="Q74" s="20">
        <f t="shared" si="54"/>
        <v>323.0587710327315</v>
      </c>
      <c r="R74" s="59">
        <f t="shared" si="55"/>
        <v>589.93145211077945</v>
      </c>
      <c r="S74" s="59">
        <f ca="1">AVERAGE(OFFSET($R$3,0,0,'Données projet'!$E$9+1,1))-AVERAGE(OFFSET($H$3,0,0,'Données projet'!$E$9+1,1))</f>
        <v>315.34103933739129</v>
      </c>
      <c r="T74" s="59">
        <f t="shared" si="88"/>
        <v>165.80901858372513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9.4346028602152892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9.4346028602152892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-3.4106051316484809E-13</v>
      </c>
      <c r="AJ74" s="13">
        <f>AI74*VLOOKUP('Données projet'!$B$10,Paramètres!$A$1:$I$89,3,0)*VLOOKUP('Données projet'!$B$10,Paramètres!$A$1:$I$89,5,0)</f>
        <v>-2.0395418687257919E-13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317.328615425664</v>
      </c>
      <c r="AO74" s="59">
        <f t="shared" si="90"/>
        <v>324.95872842255744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141.17157418670996</v>
      </c>
      <c r="AV74" s="21">
        <f>EXP(-LN(2)/25)*AV73+(1-EXP(-LN(2)/25))/(LN(2)/25)*Calculateur!AQ74*Calculateur!AS74*VLOOKUP('Données projet'!$B$10,Paramètres!$A$1:$I$89,3,0)*0.475*44/12</f>
        <v>24.944023191100445</v>
      </c>
      <c r="AW74" s="21">
        <f>EXP(-LN(2)/2)*AW73+(1-EXP(-LN(2)/2))/(LN(2)/2)*AQ74*AT74*VLOOKUP('Données projet'!$B$10,Paramètres!$A$1:$I$89,3,0)*0.475*44/12</f>
        <v>0.59435119893949384</v>
      </c>
      <c r="AX74" s="21">
        <f t="shared" si="60"/>
        <v>166.70994857674992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-5.6843418860808015E-14</v>
      </c>
      <c r="BE74" s="13">
        <f>BD74*VLOOKUP('Données projet'!$B$11,Paramètres!$A$1:$I$89,3,0)*VLOOKUP('Données projet'!$B$11,Paramètres!$A$1:$I$89,5,0)</f>
        <v>-6.5483618527650828E-14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418.31716673276725</v>
      </c>
      <c r="BJ74" s="59">
        <f t="shared" si="92"/>
        <v>472.37891533957929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110.13849302849552</v>
      </c>
      <c r="BQ74" s="21">
        <f>EXP(-LN(2)/25)*BQ73+(1-EXP(-LN(2)/25))/(LN(2)/25)*Calculateur!BL74*Calculateur!BN74*VLOOKUP('Données projet'!$B$11,Paramètres!$A$1:$I$89,3,0)*0.475*44/12</f>
        <v>22.754328956213374</v>
      </c>
      <c r="BR74" s="21">
        <f>EXP(-LN(2)/2)*BR73+(1-EXP(-LN(2)/2))/(LN(2)/2)*BL74*BO74*VLOOKUP('Données projet'!$B$11,Paramètres!$A$1:$I$89,3,0)*0.475*44/12</f>
        <v>0.92183361317249579</v>
      </c>
      <c r="BS74" s="22">
        <f t="shared" si="63"/>
        <v>133.8146555978814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5.2749999999999986</v>
      </c>
      <c r="BY74" s="12">
        <f>IF('Données projet'!$A$114&gt;35,BY73+BX74-CG73,IF(A74&lt;'Données projet'!$A$114,$BV$205^A74,IF(A74='Données projet'!$A$114,'Données projet'!$B$114,BY73+BX74-CG73)))</f>
        <v>198.43500000000012</v>
      </c>
      <c r="BZ74" s="13">
        <f>BY74*VLOOKUP('Données projet'!$B$12,Paramètres!$A$1:$I$89,3,0)*VLOOKUP('Données projet'!$B$12,Paramètres!$A$1:$I$89,5,0)</f>
        <v>116.08447500000007</v>
      </c>
      <c r="CA74" s="13">
        <f t="shared" si="93"/>
        <v>30.760011704387228</v>
      </c>
      <c r="CB74" s="20">
        <f t="shared" si="64"/>
        <v>255.75414767680783</v>
      </c>
      <c r="CC74" s="59">
        <f t="shared" si="65"/>
        <v>522.62682875485575</v>
      </c>
      <c r="CD74" s="59">
        <f ca="1">AVERAGE(OFFSET($CC$3,0,0,'Données projet'!$E$12+1,1))-AVERAGE(OFFSET($H$3,0,0,'Données projet'!$E$12+1,1))</f>
        <v>184.11352167663844</v>
      </c>
      <c r="CE74" s="59">
        <f t="shared" si="94"/>
        <v>145.86653500981791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7.724524394213784</v>
      </c>
      <c r="CL74" s="21">
        <f>EXP(-LN(2)/25)*CL73+(1-EXP(-LN(2)/25))/(LN(2)/25)*Calculateur!CG74*Calculateur!CI74*VLOOKUP('Données projet'!$B$12,Paramètres!$A$1:$I$89,3,0)*0.475*44/12</f>
        <v>6.6086144714398447</v>
      </c>
      <c r="CM74" s="21">
        <f>EXP(-LN(2)/2)*CM73+(1-EXP(-LN(2)/2))/(LN(2)/2)*CG74*CJ74*VLOOKUP('Données projet'!$B$12,Paramètres!$A$1:$I$89,3,0)*0.475*44/12</f>
        <v>1.6684873168903502E-2</v>
      </c>
      <c r="CN74" s="22">
        <f t="shared" si="66"/>
        <v>14.349823738822533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6.8575000000000017</v>
      </c>
      <c r="CT74" s="12">
        <f>IF('Données projet'!$A$140&gt;35,CT73+CS74-DB73,IF(A74&lt;'Données projet'!$A$140,$CQ$205^A74,IF(A74='Données projet'!$A$140,'Données projet'!$B$140,CT73+CS74-DB73)))</f>
        <v>242.53999999999996</v>
      </c>
      <c r="CU74" s="17">
        <f>CT74*VLOOKUP('Données projet'!$B$13,Paramètres!$A$1:$I$89,3,0)*VLOOKUP('Données projet'!$B$13,Paramètres!$A$1:$I$89,5,0)</f>
        <v>116.66173999999999</v>
      </c>
      <c r="CV74" s="13">
        <f t="shared" si="95"/>
        <v>30.895131136204292</v>
      </c>
      <c r="CW74" s="20">
        <f t="shared" si="67"/>
        <v>256.99488389555574</v>
      </c>
      <c r="CX74" s="59">
        <f t="shared" si="68"/>
        <v>523.86756497360375</v>
      </c>
      <c r="CY74" s="59">
        <f ca="1">AVERAGE(OFFSET($CX$3,0,0,'Données projet'!$E$13+1,1))-AVERAGE(OFFSET($H$3,0,0,'Données projet'!$E$13+1,1))</f>
        <v>303.76035885073708</v>
      </c>
      <c r="CZ74" s="59">
        <f t="shared" si="96"/>
        <v>127.43112562890414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21.374985192168676</v>
      </c>
      <c r="DH74" s="21">
        <f>EXP(-LN(2)/2)*DH73+(1-EXP(-LN(2)/2))/(LN(2)/2)*DB74*DE74*VLOOKUP('Données projet'!$B$13,Paramètres!$A$1:$I$89,3,0)*0.475*44/12</f>
        <v>7.3085821251792913</v>
      </c>
      <c r="DI74" s="22">
        <f t="shared" si="69"/>
        <v>28.683567317347968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5.6843418860808015E-14</v>
      </c>
      <c r="DP74" s="17">
        <f>DO74*VLOOKUP('Données projet'!$B$14,Paramètres!$A$1:$I$89,3,0)*VLOOKUP('Données projet'!$B$14,Paramètres!$A$1:$I$89,5,0)</f>
        <v>3.2810021366458389E-14</v>
      </c>
      <c r="DQ74" s="13">
        <f t="shared" si="97"/>
        <v>5.6117125884464641E-13</v>
      </c>
      <c r="DR74" s="20">
        <f t="shared" si="70"/>
        <v>1.0345173963676741E-12</v>
      </c>
      <c r="DS74" s="59">
        <f t="shared" si="71"/>
        <v>266.87268107804897</v>
      </c>
      <c r="DT74" s="59">
        <f ca="1">AVERAGE(OFFSET($DS$3,0,0,'Données projet'!$E$14+1,1))-AVERAGE(OFFSET($H$3,0,0,'Données projet'!$E$14+1,1))</f>
        <v>243.65374431792841</v>
      </c>
      <c r="DU74" s="59">
        <f t="shared" si="98"/>
        <v>271.60754570002939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47.879063742634962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47.879063742634962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6.2</v>
      </c>
      <c r="EJ74" s="12">
        <f>IF('Données projet'!$A$192&gt;35,EJ73+EI74-ER73,IF(A74&lt;'Données projet'!$A$192,$EG$205^A74,IF(A74='Données projet'!$A$192,'Données projet'!$B$192,EJ73+EI74-ER73)))</f>
        <v>227.2</v>
      </c>
      <c r="EK74" s="17">
        <f>EJ74*VLOOKUP('Données projet'!$B$15,Paramètres!$A$1:$I$89,3,0)*VLOOKUP('Données projet'!$B$15,Paramètres!$A$1:$I$89,5,0)</f>
        <v>152.40576000000001</v>
      </c>
      <c r="EL74" s="13">
        <f t="shared" si="99"/>
        <v>39.124795908571521</v>
      </c>
      <c r="EM74" s="20">
        <f t="shared" si="73"/>
        <v>333.5823848740954</v>
      </c>
      <c r="EN74" s="59">
        <f t="shared" si="74"/>
        <v>600.45506595214329</v>
      </c>
      <c r="EO74" s="59">
        <f ca="1">AVERAGE(OFFSET($EN$3,0,0,'Données projet'!$E$15+1,1))-AVERAGE(OFFSET($H$3,0,0,'Données projet'!$E$15+1,1))</f>
        <v>321.44781099085594</v>
      </c>
      <c r="EP74" s="59">
        <f t="shared" si="100"/>
        <v>201.22243186578183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14.949379703964286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14.949379703964286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2.6</v>
      </c>
      <c r="FE74" s="12">
        <f>IF('Données projet'!$A$218&gt;35,FE73+FD74-FM73,IF(A74&lt;'Données projet'!$A$218,$FB$205^A74,IF(A74='Données projet'!$A$218,'Données projet'!$B$218,FE73+FD74-FM73)))</f>
        <v>203.60000000000002</v>
      </c>
      <c r="FF74" s="17">
        <f>FE74*VLOOKUP('Données projet'!$B$16,Paramètres!$A$1:$I$89,3,0)*VLOOKUP('Données projet'!$B$16,Paramètres!$A$1:$I$89,5,0)</f>
        <v>177.86496000000002</v>
      </c>
      <c r="FG74" s="13">
        <f t="shared" si="101"/>
        <v>44.846849734353761</v>
      </c>
      <c r="FH74" s="20">
        <f t="shared" si="76"/>
        <v>387.88973528733283</v>
      </c>
      <c r="FI74" s="59">
        <f t="shared" si="77"/>
        <v>654.76241636538077</v>
      </c>
      <c r="FJ74" s="59">
        <f ca="1">AVERAGE(OFFSET($FI$3,0,0,'Données projet'!$E$16+1,1))-AVERAGE(OFFSET($H$3,0,0,'Données projet'!$E$16+1,1))</f>
        <v>285.8437404763045</v>
      </c>
      <c r="FK74" s="59">
        <f t="shared" si="102"/>
        <v>276.01618888357268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12.13349759841009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12.13349759841009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3.4</v>
      </c>
      <c r="FZ74" s="12">
        <f>IF('Données projet'!$A$244&gt;35,FZ73+FY74-GH73,IF(A74&lt;'Données projet'!$A$244,$FW$205^A74,IF(A74='Données projet'!$A$244,'Données projet'!$B$244,FZ73+FY74-GH73)))</f>
        <v>256.39999999999986</v>
      </c>
      <c r="GA74" s="17">
        <f>FZ74*VLOOKUP('Données projet'!$B$17,Paramètres!$A$1:$I$89,3,0)*VLOOKUP('Données projet'!$B$17,Paramètres!$A$1:$I$89,5,0)</f>
        <v>203.99183999999988</v>
      </c>
      <c r="GB74" s="13">
        <f t="shared" si="103"/>
        <v>50.620441749347997</v>
      </c>
      <c r="GC74" s="20">
        <f t="shared" si="79"/>
        <v>443.44972404678083</v>
      </c>
      <c r="GD74" s="59">
        <f t="shared" si="80"/>
        <v>710.32240512482872</v>
      </c>
      <c r="GE74" s="59">
        <f ca="1">AVERAGE(OFFSET($GD$3,0,0,'Données projet'!$E$17+1,1))-AVERAGE(OFFSET($H$3,0,0,'Données projet'!$E$17+1,1))</f>
        <v>323.01113210765487</v>
      </c>
      <c r="GF74" s="59">
        <f t="shared" si="104"/>
        <v>311.68541696405975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14.225937547338113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14.225937547338113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2.6</v>
      </c>
      <c r="GU74" s="12">
        <f>IF('Données projet'!$A$270&gt;35,GU73+GT74-HC73,IF(A74&lt;'Données projet'!$A$270,$GR$205^A74,IF(A74='Données projet'!$A$270,'Données projet'!$B$270,GU73+GT74-HC73)))</f>
        <v>203.60000000000002</v>
      </c>
      <c r="GV74" s="17">
        <f>GU74*VLOOKUP('Données projet'!$B$18,Paramètres!$A$1:$I$89,3,0)*VLOOKUP('Données projet'!$B$18,Paramètres!$A$1:$I$89,5,0)</f>
        <v>177.86496000000002</v>
      </c>
      <c r="GW74" s="13">
        <f t="shared" si="105"/>
        <v>44.846849734353761</v>
      </c>
      <c r="GX74" s="20">
        <f t="shared" si="82"/>
        <v>387.88973528733283</v>
      </c>
      <c r="GY74" s="59">
        <f t="shared" si="83"/>
        <v>654.76241636538077</v>
      </c>
      <c r="GZ74" s="59">
        <f ca="1">AVERAGE(OFFSET($GY$3,0,0,'Données projet'!$E$18+1,1))-AVERAGE(OFFSET($H$3,0,0,'Données projet'!$E$18+1,1))</f>
        <v>285.8437404763045</v>
      </c>
      <c r="HA74" s="59">
        <f t="shared" si="106"/>
        <v>276.01618888357268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12.13349759841009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12.13349759841009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5</v>
      </c>
      <c r="N75" s="13">
        <f>IF('Données projet'!$A$36&gt;35,N74+M75-V74,IF(A75&lt;'Données projet'!$A$36,$K$205^A75,IF(A75='Données projet'!$A$36,'Données projet'!$B$36,N74+M75-V74)))</f>
        <v>168</v>
      </c>
      <c r="O75" s="13">
        <f>N75*VLOOKUP('Données projet'!$B$9,Paramètres!$A$1:$I$89,3,0)*VLOOKUP('Données projet'!$B$9,Paramètres!$A$1:$I$89,5,0)</f>
        <v>152.00640000000001</v>
      </c>
      <c r="P75" s="13">
        <f t="shared" si="87"/>
        <v>39.03419401656145</v>
      </c>
      <c r="Q75" s="20">
        <f t="shared" si="54"/>
        <v>332.72903457884451</v>
      </c>
      <c r="R75" s="59">
        <f t="shared" si="55"/>
        <v>600.06074881636562</v>
      </c>
      <c r="S75" s="59">
        <f ca="1">AVERAGE(OFFSET($R$3,0,0,'Données projet'!$E$9+1,1))-AVERAGE(OFFSET($H$3,0,0,'Données projet'!$E$9+1,1))</f>
        <v>315.34103933739129</v>
      </c>
      <c r="T75" s="59">
        <f t="shared" si="88"/>
        <v>165.80901858372513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9.2495960526659982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9.2495960526659982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-3.4106051316484809E-13</v>
      </c>
      <c r="AJ75" s="13">
        <f>AI75*VLOOKUP('Données projet'!$B$10,Paramètres!$A$1:$I$89,3,0)*VLOOKUP('Données projet'!$B$10,Paramètres!$A$1:$I$89,5,0)</f>
        <v>-2.0395418687257919E-13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317.328615425664</v>
      </c>
      <c r="AO75" s="59">
        <f t="shared" si="90"/>
        <v>324.95872842255744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138.40328572306655</v>
      </c>
      <c r="AV75" s="21">
        <f>EXP(-LN(2)/25)*AV74+(1-EXP(-LN(2)/25))/(LN(2)/25)*Calculateur!AQ75*Calculateur!AS75*VLOOKUP('Données projet'!$B$10,Paramètres!$A$1:$I$89,3,0)*0.475*44/12</f>
        <v>24.261927565190636</v>
      </c>
      <c r="AW75" s="21">
        <f>EXP(-LN(2)/2)*AW74+(1-EXP(-LN(2)/2))/(LN(2)/2)*AQ75*AT75*VLOOKUP('Données projet'!$B$10,Paramètres!$A$1:$I$89,3,0)*0.475*44/12</f>
        <v>0.42026976317647086</v>
      </c>
      <c r="AX75" s="21">
        <f t="shared" si="60"/>
        <v>163.08548305143364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-5.6843418860808015E-14</v>
      </c>
      <c r="BE75" s="13">
        <f>BD75*VLOOKUP('Données projet'!$B$11,Paramètres!$A$1:$I$89,3,0)*VLOOKUP('Données projet'!$B$11,Paramètres!$A$1:$I$89,5,0)</f>
        <v>-6.5483618527650828E-14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418.31716673276725</v>
      </c>
      <c r="BJ75" s="59">
        <f t="shared" si="92"/>
        <v>472.37891533957929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107.9787443580542</v>
      </c>
      <c r="BQ75" s="21">
        <f>EXP(-LN(2)/25)*BQ74+(1-EXP(-LN(2)/25))/(LN(2)/25)*Calculateur!BL75*Calculateur!BN75*VLOOKUP('Données projet'!$B$11,Paramètres!$A$1:$I$89,3,0)*0.475*44/12</f>
        <v>22.132110634307566</v>
      </c>
      <c r="BR75" s="21">
        <f>EXP(-LN(2)/2)*BR74+(1-EXP(-LN(2)/2))/(LN(2)/2)*BL75*BO75*VLOOKUP('Données projet'!$B$11,Paramètres!$A$1:$I$89,3,0)*0.475*44/12</f>
        <v>0.65183479899996855</v>
      </c>
      <c r="BS75" s="22">
        <f t="shared" si="63"/>
        <v>130.76268979136174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5.2749999999999986</v>
      </c>
      <c r="BY75" s="12">
        <f>IF('Données projet'!$A$114&gt;35,BY74+BX75-CG74,IF(A75&lt;'Données projet'!$A$114,$BV$205^A75,IF(A75='Données projet'!$A$114,'Données projet'!$B$114,BY74+BX75-CG74)))</f>
        <v>203.71000000000012</v>
      </c>
      <c r="BZ75" s="13">
        <f>BY75*VLOOKUP('Données projet'!$B$12,Paramètres!$A$1:$I$89,3,0)*VLOOKUP('Données projet'!$B$12,Paramètres!$A$1:$I$89,5,0)</f>
        <v>119.17035000000007</v>
      </c>
      <c r="CA75" s="13">
        <f t="shared" si="93"/>
        <v>31.481418993482961</v>
      </c>
      <c r="CB75" s="20">
        <f t="shared" si="64"/>
        <v>262.38516433031623</v>
      </c>
      <c r="CC75" s="59">
        <f t="shared" si="65"/>
        <v>529.71687856783728</v>
      </c>
      <c r="CD75" s="59">
        <f ca="1">AVERAGE(OFFSET($CC$3,0,0,'Données projet'!$E$12+1,1))-AVERAGE(OFFSET($H$3,0,0,'Données projet'!$E$12+1,1))</f>
        <v>184.11352167663844</v>
      </c>
      <c r="CE75" s="59">
        <f t="shared" si="94"/>
        <v>145.86653500981791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7.5730511823379105</v>
      </c>
      <c r="CL75" s="21">
        <f>EXP(-LN(2)/25)*CL74+(1-EXP(-LN(2)/25))/(LN(2)/25)*Calculateur!CG75*Calculateur!CI75*VLOOKUP('Données projet'!$B$12,Paramètres!$A$1:$I$89,3,0)*0.475*44/12</f>
        <v>6.427901561186391</v>
      </c>
      <c r="CM75" s="21">
        <f>EXP(-LN(2)/2)*CM74+(1-EXP(-LN(2)/2))/(LN(2)/2)*CG75*CJ75*VLOOKUP('Données projet'!$B$12,Paramètres!$A$1:$I$89,3,0)*0.475*44/12</f>
        <v>1.1797986960969146E-2</v>
      </c>
      <c r="CN75" s="22">
        <f t="shared" si="66"/>
        <v>14.012750730485271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6.8575000000000017</v>
      </c>
      <c r="CT75" s="12">
        <f>IF('Données projet'!$A$140&gt;35,CT74+CS75-DB74,IF(A75&lt;'Données projet'!$A$140,$CQ$205^A75,IF(A75='Données projet'!$A$140,'Données projet'!$B$140,CT74+CS75-DB74)))</f>
        <v>249.39749999999998</v>
      </c>
      <c r="CU75" s="17">
        <f>CT75*VLOOKUP('Données projet'!$B$13,Paramètres!$A$1:$I$89,3,0)*VLOOKUP('Données projet'!$B$13,Paramètres!$A$1:$I$89,5,0)</f>
        <v>119.96019749999999</v>
      </c>
      <c r="CV75" s="13">
        <f t="shared" si="95"/>
        <v>31.665715835400764</v>
      </c>
      <c r="CW75" s="20">
        <f t="shared" si="67"/>
        <v>264.08179905915631</v>
      </c>
      <c r="CX75" s="59">
        <f t="shared" si="68"/>
        <v>531.41351329667737</v>
      </c>
      <c r="CY75" s="59">
        <f ca="1">AVERAGE(OFFSET($CX$3,0,0,'Données projet'!$E$13+1,1))-AVERAGE(OFFSET($H$3,0,0,'Données projet'!$E$13+1,1))</f>
        <v>303.76035885073708</v>
      </c>
      <c r="CZ75" s="59">
        <f t="shared" si="96"/>
        <v>127.43112562890414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20.790485098027204</v>
      </c>
      <c r="DH75" s="21">
        <f>EXP(-LN(2)/2)*DH74+(1-EXP(-LN(2)/2))/(LN(2)/2)*DB75*DE75*VLOOKUP('Données projet'!$B$13,Paramètres!$A$1:$I$89,3,0)*0.475*44/12</f>
        <v>5.1679479815730662</v>
      </c>
      <c r="DI75" s="22">
        <f t="shared" si="69"/>
        <v>25.958433079600269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5.6843418860808015E-14</v>
      </c>
      <c r="DP75" s="17">
        <f>DO75*VLOOKUP('Données projet'!$B$14,Paramètres!$A$1:$I$89,3,0)*VLOOKUP('Données projet'!$B$14,Paramètres!$A$1:$I$89,5,0)</f>
        <v>3.2810021366458389E-14</v>
      </c>
      <c r="DQ75" s="13">
        <f t="shared" si="97"/>
        <v>5.6117125884464641E-13</v>
      </c>
      <c r="DR75" s="20">
        <f t="shared" si="70"/>
        <v>1.0345173963676741E-12</v>
      </c>
      <c r="DS75" s="59">
        <f t="shared" si="71"/>
        <v>267.33171423752214</v>
      </c>
      <c r="DT75" s="59">
        <f ca="1">AVERAGE(OFFSET($DS$3,0,0,'Données projet'!$E$14+1,1))-AVERAGE(OFFSET($H$3,0,0,'Données projet'!$E$14+1,1))</f>
        <v>243.65374431792841</v>
      </c>
      <c r="DU75" s="59">
        <f t="shared" si="98"/>
        <v>271.60754570002939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46.940184505987183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46.940184505987183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6.2</v>
      </c>
      <c r="EJ75" s="12">
        <f>IF('Données projet'!$A$192&gt;35,EJ74+EI75-ER74,IF(A75&lt;'Données projet'!$A$192,$EG$205^A75,IF(A75='Données projet'!$A$192,'Données projet'!$B$192,EJ74+EI75-ER74)))</f>
        <v>233.39999999999998</v>
      </c>
      <c r="EK75" s="17">
        <f>EJ75*VLOOKUP('Données projet'!$B$15,Paramètres!$A$1:$I$89,3,0)*VLOOKUP('Données projet'!$B$15,Paramètres!$A$1:$I$89,5,0)</f>
        <v>156.56471999999999</v>
      </c>
      <c r="EL75" s="13">
        <f t="shared" si="99"/>
        <v>40.066702365401426</v>
      </c>
      <c r="EM75" s="20">
        <f t="shared" si="73"/>
        <v>342.46639395307415</v>
      </c>
      <c r="EN75" s="59">
        <f t="shared" si="74"/>
        <v>609.79810819059526</v>
      </c>
      <c r="EO75" s="59">
        <f ca="1">AVERAGE(OFFSET($EN$3,0,0,'Données projet'!$E$15+1,1))-AVERAGE(OFFSET($H$3,0,0,'Données projet'!$E$15+1,1))</f>
        <v>321.44781099085594</v>
      </c>
      <c r="EP75" s="59">
        <f t="shared" si="100"/>
        <v>201.22243186578183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14.656231486190817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14.656231486190817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2.6</v>
      </c>
      <c r="FE75" s="12">
        <f>IF('Données projet'!$A$218&gt;35,FE74+FD75-FM74,IF(A75&lt;'Données projet'!$A$218,$FB$205^A75,IF(A75='Données projet'!$A$218,'Données projet'!$B$218,FE74+FD75-FM74)))</f>
        <v>206.20000000000002</v>
      </c>
      <c r="FF75" s="17">
        <f>FE75*VLOOKUP('Données projet'!$B$16,Paramètres!$A$1:$I$89,3,0)*VLOOKUP('Données projet'!$B$16,Paramètres!$A$1:$I$89,5,0)</f>
        <v>180.13632000000004</v>
      </c>
      <c r="FG75" s="13">
        <f t="shared" si="101"/>
        <v>45.352513518602144</v>
      </c>
      <c r="FH75" s="20">
        <f t="shared" si="76"/>
        <v>392.72638504489879</v>
      </c>
      <c r="FI75" s="59">
        <f t="shared" si="77"/>
        <v>660.0580992824199</v>
      </c>
      <c r="FJ75" s="59">
        <f ca="1">AVERAGE(OFFSET($FI$3,0,0,'Données projet'!$E$16+1,1))-AVERAGE(OFFSET($H$3,0,0,'Données projet'!$E$16+1,1))</f>
        <v>285.8437404763045</v>
      </c>
      <c r="FK75" s="59">
        <f t="shared" si="102"/>
        <v>276.01618888357268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11.895567111208043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11.895567111208043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3.4</v>
      </c>
      <c r="FZ75" s="12">
        <f>IF('Données projet'!$A$244&gt;35,FZ74+FY75-GH74,IF(A75&lt;'Données projet'!$A$244,$FW$205^A75,IF(A75='Données projet'!$A$244,'Données projet'!$B$244,FZ74+FY75-GH74)))</f>
        <v>259.79999999999984</v>
      </c>
      <c r="GA75" s="17">
        <f>FZ75*VLOOKUP('Données projet'!$B$17,Paramètres!$A$1:$I$89,3,0)*VLOOKUP('Données projet'!$B$17,Paramètres!$A$1:$I$89,5,0)</f>
        <v>206.69687999999991</v>
      </c>
      <c r="GB75" s="13">
        <f t="shared" si="103"/>
        <v>51.213106197404436</v>
      </c>
      <c r="GC75" s="20">
        <f t="shared" si="79"/>
        <v>449.1932259604792</v>
      </c>
      <c r="GD75" s="59">
        <f t="shared" si="80"/>
        <v>716.52494019800031</v>
      </c>
      <c r="GE75" s="59">
        <f ca="1">AVERAGE(OFFSET($GD$3,0,0,'Données projet'!$E$17+1,1))-AVERAGE(OFFSET($H$3,0,0,'Données projet'!$E$17+1,1))</f>
        <v>323.01113210765487</v>
      </c>
      <c r="GF75" s="59">
        <f t="shared" si="104"/>
        <v>311.68541696405975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13.946975588999937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13.946975588999937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2.6</v>
      </c>
      <c r="GU75" s="12">
        <f>IF('Données projet'!$A$270&gt;35,GU74+GT75-HC74,IF(A75&lt;'Données projet'!$A$270,$GR$205^A75,IF(A75='Données projet'!$A$270,'Données projet'!$B$270,GU74+GT75-HC74)))</f>
        <v>206.20000000000002</v>
      </c>
      <c r="GV75" s="17">
        <f>GU75*VLOOKUP('Données projet'!$B$18,Paramètres!$A$1:$I$89,3,0)*VLOOKUP('Données projet'!$B$18,Paramètres!$A$1:$I$89,5,0)</f>
        <v>180.13632000000004</v>
      </c>
      <c r="GW75" s="13">
        <f t="shared" si="105"/>
        <v>45.352513518602144</v>
      </c>
      <c r="GX75" s="20">
        <f t="shared" si="82"/>
        <v>392.72638504489879</v>
      </c>
      <c r="GY75" s="59">
        <f t="shared" si="83"/>
        <v>660.0580992824199</v>
      </c>
      <c r="GZ75" s="59">
        <f ca="1">AVERAGE(OFFSET($GY$3,0,0,'Données projet'!$E$18+1,1))-AVERAGE(OFFSET($H$3,0,0,'Données projet'!$E$18+1,1))</f>
        <v>285.8437404763045</v>
      </c>
      <c r="HA75" s="59">
        <f t="shared" si="106"/>
        <v>276.01618888357268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11.895567111208043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11.895567111208043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5</v>
      </c>
      <c r="N76" s="13">
        <f>IF('Données projet'!$A$36&gt;35,N75+M76-V75,IF(A76&lt;'Données projet'!$A$36,$K$205^A76,IF(A76='Données projet'!$A$36,'Données projet'!$B$36,N75+M76-V75)))</f>
        <v>173</v>
      </c>
      <c r="O76" s="13">
        <f>N76*VLOOKUP('Données projet'!$B$9,Paramètres!$A$1:$I$89,3,0)*VLOOKUP('Données projet'!$B$9,Paramètres!$A$1:$I$89,5,0)</f>
        <v>156.53039999999999</v>
      </c>
      <c r="P76" s="13">
        <f t="shared" si="87"/>
        <v>40.058941713182037</v>
      </c>
      <c r="Q76" s="20">
        <f t="shared" si="54"/>
        <v>342.393103483792</v>
      </c>
      <c r="R76" s="59">
        <f t="shared" si="55"/>
        <v>610.17588768171379</v>
      </c>
      <c r="S76" s="59">
        <f ca="1">AVERAGE(OFFSET($R$3,0,0,'Données projet'!$E$9+1,1))-AVERAGE(OFFSET($H$3,0,0,'Données projet'!$E$9+1,1))</f>
        <v>315.34103933739129</v>
      </c>
      <c r="T76" s="59">
        <f t="shared" si="88"/>
        <v>165.80901858372513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9.0682171157697393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9.0682171157697393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-3.4106051316484809E-13</v>
      </c>
      <c r="AJ76" s="13">
        <f>AI76*VLOOKUP('Données projet'!$B$10,Paramètres!$A$1:$I$89,3,0)*VLOOKUP('Données projet'!$B$10,Paramètres!$A$1:$I$89,5,0)</f>
        <v>-2.0395418687257919E-13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317.328615425664</v>
      </c>
      <c r="AO76" s="59">
        <f t="shared" si="90"/>
        <v>324.95872842255744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135.68928170770596</v>
      </c>
      <c r="AV76" s="21">
        <f>EXP(-LN(2)/25)*AV75+(1-EXP(-LN(2)/25))/(LN(2)/25)*Calculateur!AQ76*Calculateur!AS76*VLOOKUP('Données projet'!$B$10,Paramètres!$A$1:$I$89,3,0)*0.475*44/12</f>
        <v>23.598483880041179</v>
      </c>
      <c r="AW76" s="21">
        <f>EXP(-LN(2)/2)*AW75+(1-EXP(-LN(2)/2))/(LN(2)/2)*AQ76*AT76*VLOOKUP('Données projet'!$B$10,Paramètres!$A$1:$I$89,3,0)*0.475*44/12</f>
        <v>0.29717559946974692</v>
      </c>
      <c r="AX76" s="21">
        <f t="shared" si="60"/>
        <v>159.58494118721688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-5.6843418860808015E-14</v>
      </c>
      <c r="BE76" s="13">
        <f>BD76*VLOOKUP('Données projet'!$B$11,Paramètres!$A$1:$I$89,3,0)*VLOOKUP('Données projet'!$B$11,Paramètres!$A$1:$I$89,5,0)</f>
        <v>-6.5483618527650828E-14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418.31716673276725</v>
      </c>
      <c r="BJ76" s="59">
        <f t="shared" si="92"/>
        <v>472.37891533957929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105.86134704172363</v>
      </c>
      <c r="BQ76" s="21">
        <f>EXP(-LN(2)/25)*BQ75+(1-EXP(-LN(2)/25))/(LN(2)/25)*Calculateur!BL76*Calculateur!BN76*VLOOKUP('Données projet'!$B$11,Paramètres!$A$1:$I$89,3,0)*0.475*44/12</f>
        <v>21.526906905135309</v>
      </c>
      <c r="BR76" s="21">
        <f>EXP(-LN(2)/2)*BR75+(1-EXP(-LN(2)/2))/(LN(2)/2)*BL76*BO76*VLOOKUP('Données projet'!$B$11,Paramètres!$A$1:$I$89,3,0)*0.475*44/12</f>
        <v>0.46091680658624795</v>
      </c>
      <c r="BS76" s="22">
        <f t="shared" si="63"/>
        <v>127.84917075344519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5.2749999999999986</v>
      </c>
      <c r="BY76" s="12">
        <f>IF('Données projet'!$A$114&gt;35,BY75+BX76-CG75,IF(A76&lt;'Données projet'!$A$114,$BV$205^A76,IF(A76='Données projet'!$A$114,'Données projet'!$B$114,BY75+BX76-CG75)))</f>
        <v>208.98500000000013</v>
      </c>
      <c r="BZ76" s="13">
        <f>BY76*VLOOKUP('Données projet'!$B$12,Paramètres!$A$1:$I$89,3,0)*VLOOKUP('Données projet'!$B$12,Paramètres!$A$1:$I$89,5,0)</f>
        <v>122.25622500000007</v>
      </c>
      <c r="CA76" s="13">
        <f t="shared" si="93"/>
        <v>32.200654878906946</v>
      </c>
      <c r="CB76" s="20">
        <f t="shared" si="64"/>
        <v>269.01239912242971</v>
      </c>
      <c r="CC76" s="59">
        <f t="shared" si="65"/>
        <v>536.7951833203515</v>
      </c>
      <c r="CD76" s="59">
        <f ca="1">AVERAGE(OFFSET($CC$3,0,0,'Données projet'!$E$12+1,1))-AVERAGE(OFFSET($H$3,0,0,'Données projet'!$E$12+1,1))</f>
        <v>184.11352167663844</v>
      </c>
      <c r="CE76" s="59">
        <f t="shared" si="94"/>
        <v>145.86653500981791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7.4245482677573866</v>
      </c>
      <c r="CL76" s="21">
        <f>EXP(-LN(2)/25)*CL75+(1-EXP(-LN(2)/25))/(LN(2)/25)*Calculateur!CG76*Calculateur!CI76*VLOOKUP('Données projet'!$B$12,Paramètres!$A$1:$I$89,3,0)*0.475*44/12</f>
        <v>6.2521302549670974</v>
      </c>
      <c r="CM76" s="21">
        <f>EXP(-LN(2)/2)*CM75+(1-EXP(-LN(2)/2))/(LN(2)/2)*CG76*CJ76*VLOOKUP('Données projet'!$B$12,Paramètres!$A$1:$I$89,3,0)*0.475*44/12</f>
        <v>8.3424365844517508E-3</v>
      </c>
      <c r="CN76" s="22">
        <f t="shared" si="66"/>
        <v>13.685020959308934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6.8575000000000017</v>
      </c>
      <c r="CT76" s="12">
        <f>IF('Données projet'!$A$140&gt;35,CT75+CS76-DB75,IF(A76&lt;'Données projet'!$A$140,$CQ$205^A76,IF(A76='Données projet'!$A$140,'Données projet'!$B$140,CT75+CS76-DB75)))</f>
        <v>256.255</v>
      </c>
      <c r="CU76" s="17">
        <f>CT76*VLOOKUP('Données projet'!$B$13,Paramètres!$A$1:$I$89,3,0)*VLOOKUP('Données projet'!$B$13,Paramètres!$A$1:$I$89,5,0)</f>
        <v>123.25865499999999</v>
      </c>
      <c r="CV76" s="13">
        <f t="shared" si="95"/>
        <v>32.433837842567861</v>
      </c>
      <c r="CW76" s="20">
        <f t="shared" si="67"/>
        <v>271.16442503413901</v>
      </c>
      <c r="CX76" s="59">
        <f t="shared" si="68"/>
        <v>538.9472092320608</v>
      </c>
      <c r="CY76" s="59">
        <f ca="1">AVERAGE(OFFSET($CX$3,0,0,'Données projet'!$E$13+1,1))-AVERAGE(OFFSET($H$3,0,0,'Données projet'!$E$13+1,1))</f>
        <v>303.76035885073708</v>
      </c>
      <c r="CZ76" s="59">
        <f t="shared" si="96"/>
        <v>127.43112562890414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20.221968189697556</v>
      </c>
      <c r="DH76" s="21">
        <f>EXP(-LN(2)/2)*DH75+(1-EXP(-LN(2)/2))/(LN(2)/2)*DB76*DE76*VLOOKUP('Données projet'!$B$13,Paramètres!$A$1:$I$89,3,0)*0.475*44/12</f>
        <v>3.6542910625896465</v>
      </c>
      <c r="DI76" s="22">
        <f t="shared" si="69"/>
        <v>23.876259252287202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5.6843418860808015E-14</v>
      </c>
      <c r="DP76" s="17">
        <f>DO76*VLOOKUP('Données projet'!$B$14,Paramètres!$A$1:$I$89,3,0)*VLOOKUP('Données projet'!$B$14,Paramètres!$A$1:$I$89,5,0)</f>
        <v>3.2810021366458389E-14</v>
      </c>
      <c r="DQ76" s="13">
        <f t="shared" si="97"/>
        <v>5.6117125884464641E-13</v>
      </c>
      <c r="DR76" s="20">
        <f t="shared" si="70"/>
        <v>1.0345173963676741E-12</v>
      </c>
      <c r="DS76" s="59">
        <f t="shared" si="71"/>
        <v>267.78278419792281</v>
      </c>
      <c r="DT76" s="59">
        <f ca="1">AVERAGE(OFFSET($DS$3,0,0,'Données projet'!$E$14+1,1))-AVERAGE(OFFSET($H$3,0,0,'Données projet'!$E$14+1,1))</f>
        <v>243.65374431792841</v>
      </c>
      <c r="DU76" s="59">
        <f t="shared" si="98"/>
        <v>271.60754570002939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46.019716118510274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46.019716118510274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6.2</v>
      </c>
      <c r="EJ76" s="12">
        <f>IF('Données projet'!$A$192&gt;35,EJ75+EI76-ER75,IF(A76&lt;'Données projet'!$A$192,$EG$205^A76,IF(A76='Données projet'!$A$192,'Données projet'!$B$192,EJ75+EI76-ER75)))</f>
        <v>239.59999999999997</v>
      </c>
      <c r="EK76" s="17">
        <f>EJ76*VLOOKUP('Données projet'!$B$15,Paramètres!$A$1:$I$89,3,0)*VLOOKUP('Données projet'!$B$15,Paramètres!$A$1:$I$89,5,0)</f>
        <v>160.72367999999997</v>
      </c>
      <c r="EL76" s="13">
        <f t="shared" si="99"/>
        <v>41.005700554955503</v>
      </c>
      <c r="EM76" s="20">
        <f t="shared" si="73"/>
        <v>351.34533779988072</v>
      </c>
      <c r="EN76" s="59">
        <f t="shared" si="74"/>
        <v>619.12812199780251</v>
      </c>
      <c r="EO76" s="59">
        <f ca="1">AVERAGE(OFFSET($EN$3,0,0,'Données projet'!$E$15+1,1))-AVERAGE(OFFSET($H$3,0,0,'Données projet'!$E$15+1,1))</f>
        <v>321.44781099085594</v>
      </c>
      <c r="EP76" s="59">
        <f t="shared" si="100"/>
        <v>201.22243186578183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14.368831726165128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14.368831726165128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2.6</v>
      </c>
      <c r="FE76" s="12">
        <f>IF('Données projet'!$A$218&gt;35,FE75+FD76-FM75,IF(A76&lt;'Données projet'!$A$218,$FB$205^A76,IF(A76='Données projet'!$A$218,'Données projet'!$B$218,FE75+FD76-FM75)))</f>
        <v>208.8</v>
      </c>
      <c r="FF76" s="17">
        <f>FE76*VLOOKUP('Données projet'!$B$16,Paramètres!$A$1:$I$89,3,0)*VLOOKUP('Données projet'!$B$16,Paramètres!$A$1:$I$89,5,0)</f>
        <v>182.40768000000003</v>
      </c>
      <c r="FG76" s="13">
        <f t="shared" si="101"/>
        <v>45.857435663065921</v>
      </c>
      <c r="FH76" s="20">
        <f t="shared" si="76"/>
        <v>397.56174311317318</v>
      </c>
      <c r="FI76" s="59">
        <f t="shared" si="77"/>
        <v>665.34452731109491</v>
      </c>
      <c r="FJ76" s="59">
        <f ca="1">AVERAGE(OFFSET($FI$3,0,0,'Données projet'!$E$16+1,1))-AVERAGE(OFFSET($H$3,0,0,'Données projet'!$E$16+1,1))</f>
        <v>285.8437404763045</v>
      </c>
      <c r="FK76" s="59">
        <f t="shared" si="102"/>
        <v>276.01618888357268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11.662302295736762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11.662302295736762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3.4</v>
      </c>
      <c r="FZ76" s="12">
        <f>IF('Données projet'!$A$244&gt;35,FZ75+FY76-GH75,IF(A76&lt;'Données projet'!$A$244,$FW$205^A76,IF(A76='Données projet'!$A$244,'Données projet'!$B$244,FZ75+FY76-GH75)))</f>
        <v>263.19999999999982</v>
      </c>
      <c r="GA76" s="17">
        <f>FZ76*VLOOKUP('Données projet'!$B$17,Paramètres!$A$1:$I$89,3,0)*VLOOKUP('Données projet'!$B$17,Paramètres!$A$1:$I$89,5,0)</f>
        <v>209.40191999999988</v>
      </c>
      <c r="GB76" s="13">
        <f t="shared" si="103"/>
        <v>51.804868484579039</v>
      </c>
      <c r="GC76" s="20">
        <f t="shared" si="79"/>
        <v>454.93515661064157</v>
      </c>
      <c r="GD76" s="59">
        <f t="shared" si="80"/>
        <v>722.7179408085633</v>
      </c>
      <c r="GE76" s="59">
        <f ca="1">AVERAGE(OFFSET($GD$3,0,0,'Données projet'!$E$17+1,1))-AVERAGE(OFFSET($H$3,0,0,'Données projet'!$E$17+1,1))</f>
        <v>323.01113210765487</v>
      </c>
      <c r="GF76" s="59">
        <f t="shared" si="104"/>
        <v>311.68541696405975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13.673483904514779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13.673483904514779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2.6</v>
      </c>
      <c r="GU76" s="12">
        <f>IF('Données projet'!$A$270&gt;35,GU75+GT76-HC75,IF(A76&lt;'Données projet'!$A$270,$GR$205^A76,IF(A76='Données projet'!$A$270,'Données projet'!$B$270,GU75+GT76-HC75)))</f>
        <v>208.8</v>
      </c>
      <c r="GV76" s="17">
        <f>GU76*VLOOKUP('Données projet'!$B$18,Paramètres!$A$1:$I$89,3,0)*VLOOKUP('Données projet'!$B$18,Paramètres!$A$1:$I$89,5,0)</f>
        <v>182.40768000000003</v>
      </c>
      <c r="GW76" s="13">
        <f t="shared" si="105"/>
        <v>45.857435663065921</v>
      </c>
      <c r="GX76" s="20">
        <f t="shared" si="82"/>
        <v>397.56174311317318</v>
      </c>
      <c r="GY76" s="59">
        <f t="shared" si="83"/>
        <v>665.34452731109491</v>
      </c>
      <c r="GZ76" s="59">
        <f ca="1">AVERAGE(OFFSET($GY$3,0,0,'Données projet'!$E$18+1,1))-AVERAGE(OFFSET($H$3,0,0,'Données projet'!$E$18+1,1))</f>
        <v>285.8437404763045</v>
      </c>
      <c r="HA76" s="59">
        <f t="shared" si="106"/>
        <v>276.01618888357268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11.662302295736762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11.662302295736762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5</v>
      </c>
      <c r="N77" s="13">
        <f>IF('Données projet'!$A$36&gt;35,N76+M77-V76,IF(A77&lt;'Données projet'!$A$36,$K$205^A77,IF(A77='Données projet'!$A$36,'Données projet'!$B$36,N76+M77-V76)))</f>
        <v>178</v>
      </c>
      <c r="O77" s="13">
        <f>N77*VLOOKUP('Données projet'!$B$9,Paramètres!$A$1:$I$89,3,0)*VLOOKUP('Données projet'!$B$9,Paramètres!$A$1:$I$89,5,0)</f>
        <v>161.05439999999999</v>
      </c>
      <c r="P77" s="13">
        <f t="shared" si="87"/>
        <v>41.080247278685491</v>
      </c>
      <c r="Q77" s="20">
        <f t="shared" si="54"/>
        <v>352.05117734371055</v>
      </c>
      <c r="R77" s="59">
        <f t="shared" si="55"/>
        <v>620.27720644666147</v>
      </c>
      <c r="S77" s="59">
        <f ca="1">AVERAGE(OFFSET($R$3,0,0,'Données projet'!$E$9+1,1))-AVERAGE(OFFSET($H$3,0,0,'Données projet'!$E$9+1,1))</f>
        <v>315.34103933739129</v>
      </c>
      <c r="T77" s="59">
        <f t="shared" si="88"/>
        <v>165.80901858372513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8.8903949091957877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8.8903949091957877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-3.4106051316484809E-13</v>
      </c>
      <c r="AJ77" s="13">
        <f>AI77*VLOOKUP('Données projet'!$B$10,Paramètres!$A$1:$I$89,3,0)*VLOOKUP('Données projet'!$B$10,Paramètres!$A$1:$I$89,5,0)</f>
        <v>-2.0395418687257919E-13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317.328615425664</v>
      </c>
      <c r="AO77" s="59">
        <f t="shared" si="90"/>
        <v>324.95872842255744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133.02849765570758</v>
      </c>
      <c r="AV77" s="21">
        <f>EXP(-LN(2)/25)*AV76+(1-EXP(-LN(2)/25))/(LN(2)/25)*Calculateur!AQ77*Calculateur!AS77*VLOOKUP('Données projet'!$B$10,Paramètres!$A$1:$I$89,3,0)*0.475*44/12</f>
        <v>22.953182097351121</v>
      </c>
      <c r="AW77" s="21">
        <f>EXP(-LN(2)/2)*AW76+(1-EXP(-LN(2)/2))/(LN(2)/2)*AQ77*AT77*VLOOKUP('Données projet'!$B$10,Paramètres!$A$1:$I$89,3,0)*0.475*44/12</f>
        <v>0.21013488158823543</v>
      </c>
      <c r="AX77" s="21">
        <f t="shared" si="60"/>
        <v>156.19181463464693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-5.6843418860808015E-14</v>
      </c>
      <c r="BE77" s="13">
        <f>BD77*VLOOKUP('Données projet'!$B$11,Paramètres!$A$1:$I$89,3,0)*VLOOKUP('Données projet'!$B$11,Paramètres!$A$1:$I$89,5,0)</f>
        <v>-6.5483618527650828E-14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418.31716673276725</v>
      </c>
      <c r="BJ77" s="59">
        <f t="shared" si="92"/>
        <v>472.37891533957929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103.78547059528147</v>
      </c>
      <c r="BQ77" s="21">
        <f>EXP(-LN(2)/25)*BQ76+(1-EXP(-LN(2)/25))/(LN(2)/25)*Calculateur!BL77*Calculateur!BN77*VLOOKUP('Données projet'!$B$11,Paramètres!$A$1:$I$89,3,0)*0.475*44/12</f>
        <v>20.93825250376355</v>
      </c>
      <c r="BR77" s="21">
        <f>EXP(-LN(2)/2)*BR76+(1-EXP(-LN(2)/2))/(LN(2)/2)*BL77*BO77*VLOOKUP('Données projet'!$B$11,Paramètres!$A$1:$I$89,3,0)*0.475*44/12</f>
        <v>0.32591739949998427</v>
      </c>
      <c r="BS77" s="22">
        <f t="shared" si="63"/>
        <v>125.049640498545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214.26</v>
      </c>
      <c r="BW77" s="12">
        <f>VLOOKUP(A77,'Données projet'!$A$113:$I$133,9,0)</f>
        <v>5.2749999999999986</v>
      </c>
      <c r="BX77" s="12">
        <f t="array" ref="BX77">INDEX(BW:BW,MIN(IF(ISNUMBER(BW77:BW273),ROW(BW77:BW273),"")))</f>
        <v>5.2749999999999986</v>
      </c>
      <c r="BY77" s="12">
        <f>IF('Données projet'!$A$114&gt;35,BY76+BX77-CG76,IF(A77&lt;'Données projet'!$A$114,$BV$205^A77,IF(A77='Données projet'!$A$114,'Données projet'!$B$114,BY76+BX77-CG76)))</f>
        <v>214.26000000000013</v>
      </c>
      <c r="BZ77" s="13">
        <f>BY77*VLOOKUP('Données projet'!$B$12,Paramètres!$A$1:$I$89,3,0)*VLOOKUP('Données projet'!$B$12,Paramètres!$A$1:$I$89,5,0)</f>
        <v>125.34210000000009</v>
      </c>
      <c r="CA77" s="13">
        <f t="shared" si="93"/>
        <v>32.91778047219848</v>
      </c>
      <c r="CB77" s="20">
        <f t="shared" si="64"/>
        <v>275.6359584890792</v>
      </c>
      <c r="CC77" s="59">
        <f t="shared" si="65"/>
        <v>543.86198759203012</v>
      </c>
      <c r="CD77" s="59">
        <f ca="1">AVERAGE(OFFSET($CC$3,0,0,'Données projet'!$E$12+1,1))-AVERAGE(OFFSET($H$3,0,0,'Données projet'!$E$12+1,1))</f>
        <v>184.11352167663844</v>
      </c>
      <c r="CE77" s="59">
        <f t="shared" si="94"/>
        <v>145.86653500981791</v>
      </c>
      <c r="CF77" s="15">
        <f>IF(ISNA(VLOOKUP(A77,'Données projet'!$A$113:$I$133,3,0)),0,VLOOKUP(A77,'Données projet'!$A$113:$I$133,3,0))</f>
        <v>13</v>
      </c>
      <c r="CG77" s="15">
        <f>IF(ISNA(VLOOKUP(A77,'Données projet'!$A$113:$I$133,4,0)),0,VLOOKUP(A77,'Données projet'!$A$113:$I$133,4,0))</f>
        <v>108.41</v>
      </c>
      <c r="CH77" s="16">
        <f>IF(ISNA(VLOOKUP(A77,'Données projet'!$A$113:$I$133,5,0)),0%,VLOOKUP(A77,'Données projet'!$A$113:$I$133,5,0)*VLOOKUP('Données projet'!$B$12,Paramètres!$A$1:$I$89,7,0))</f>
        <v>0.27</v>
      </c>
      <c r="CI77" s="16">
        <f>IF(ISNA(VLOOKUP(A77,'Données projet'!$A$113:$I$133,6,0)),0%,VLOOKUP(A77,'Données projet'!$A$113:$I$133,6,0)*VLOOKUP('Données projet'!$B$12,Paramètres!$A$1:$I$89,7,0))</f>
        <v>9.9000000000000005E-2</v>
      </c>
      <c r="CJ77" s="16">
        <f>IF(ISNA(VLOOKUP(A77,'Données projet'!$A$113:$I$133,7,0)),0%,VLOOKUP(A77,'Données projet'!$A$113:$I$133,7,0))</f>
        <v>0.18</v>
      </c>
      <c r="CK77" s="21">
        <f>EXP(-LN(2)/35)*CK76+(1-EXP(-LN(2)/35))/(LN(2)/35)*CG77*CH77*VLOOKUP('Données projet'!$B$12,Paramètres!$A$1:$I$89,3,0)*0.475*44/12</f>
        <v>29.994197475166931</v>
      </c>
      <c r="CL77" s="21">
        <f>EXP(-LN(2)/25)*CL76+(1-EXP(-LN(2)/25))/(LN(2)/25)*Calculateur!CG77*Calculateur!CI77*VLOOKUP('Données projet'!$B$12,Paramètres!$A$1:$I$89,3,0)*0.475*44/12</f>
        <v>14.377292646552386</v>
      </c>
      <c r="CM77" s="21">
        <f>EXP(-LN(2)/2)*CM76+(1-EXP(-LN(2)/2))/(LN(2)/2)*CG77*CJ77*VLOOKUP('Données projet'!$B$12,Paramètres!$A$1:$I$89,3,0)*0.475*44/12</f>
        <v>12.930979438851573</v>
      </c>
      <c r="CN77" s="22">
        <f t="shared" si="66"/>
        <v>57.302469560570891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6.8575000000000017</v>
      </c>
      <c r="CT77" s="12">
        <f>IF('Données projet'!$A$140&gt;35,CT76+CS77-DB76,IF(A77&lt;'Données projet'!$A$140,$CQ$205^A77,IF(A77='Données projet'!$A$140,'Données projet'!$B$140,CT76+CS77-DB76)))</f>
        <v>263.11250000000001</v>
      </c>
      <c r="CU77" s="17">
        <f>CT77*VLOOKUP('Données projet'!$B$13,Paramètres!$A$1:$I$89,3,0)*VLOOKUP('Données projet'!$B$13,Paramètres!$A$1:$I$89,5,0)</f>
        <v>126.5571125</v>
      </c>
      <c r="CV77" s="13">
        <f t="shared" si="95"/>
        <v>33.199570634828682</v>
      </c>
      <c r="CW77" s="20">
        <f t="shared" si="67"/>
        <v>278.24288979315997</v>
      </c>
      <c r="CX77" s="59">
        <f t="shared" si="68"/>
        <v>546.46891889611084</v>
      </c>
      <c r="CY77" s="59">
        <f ca="1">AVERAGE(OFFSET($CX$3,0,0,'Données projet'!$E$13+1,1))-AVERAGE(OFFSET($H$3,0,0,'Données projet'!$E$13+1,1))</f>
        <v>303.76035885073708</v>
      </c>
      <c r="CZ77" s="59">
        <f t="shared" si="96"/>
        <v>127.43112562890414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19.668997406123186</v>
      </c>
      <c r="DH77" s="21">
        <f>EXP(-LN(2)/2)*DH76+(1-EXP(-LN(2)/2))/(LN(2)/2)*DB77*DE77*VLOOKUP('Données projet'!$B$13,Paramètres!$A$1:$I$89,3,0)*0.475*44/12</f>
        <v>2.5839739907865336</v>
      </c>
      <c r="DI77" s="22">
        <f t="shared" si="69"/>
        <v>22.252971396909718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5.6843418860808015E-14</v>
      </c>
      <c r="DP77" s="17">
        <f>DO77*VLOOKUP('Données projet'!$B$14,Paramètres!$A$1:$I$89,3,0)*VLOOKUP('Données projet'!$B$14,Paramètres!$A$1:$I$89,5,0)</f>
        <v>3.2810021366458389E-14</v>
      </c>
      <c r="DQ77" s="13">
        <f t="shared" si="97"/>
        <v>5.6117125884464641E-13</v>
      </c>
      <c r="DR77" s="20">
        <f t="shared" si="70"/>
        <v>1.0345173963676741E-12</v>
      </c>
      <c r="DS77" s="59">
        <f t="shared" si="71"/>
        <v>268.22602910295188</v>
      </c>
      <c r="DT77" s="59">
        <f ca="1">AVERAGE(OFFSET($DS$3,0,0,'Données projet'!$E$14+1,1))-AVERAGE(OFFSET($H$3,0,0,'Données projet'!$E$14+1,1))</f>
        <v>243.65374431792841</v>
      </c>
      <c r="DU77" s="59">
        <f t="shared" si="98"/>
        <v>271.60754570002939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45.117297554681514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45.117297554681514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6.2</v>
      </c>
      <c r="EJ77" s="12">
        <f>IF('Données projet'!$A$192&gt;35,EJ76+EI77-ER76,IF(A77&lt;'Données projet'!$A$192,$EG$205^A77,IF(A77='Données projet'!$A$192,'Données projet'!$B$192,EJ76+EI77-ER76)))</f>
        <v>245.79999999999995</v>
      </c>
      <c r="EK77" s="17">
        <f>EJ77*VLOOKUP('Données projet'!$B$15,Paramètres!$A$1:$I$89,3,0)*VLOOKUP('Données projet'!$B$15,Paramètres!$A$1:$I$89,5,0)</f>
        <v>164.88263999999995</v>
      </c>
      <c r="EL77" s="13">
        <f t="shared" si="99"/>
        <v>41.941874385207427</v>
      </c>
      <c r="EM77" s="20">
        <f t="shared" si="73"/>
        <v>360.21936255423617</v>
      </c>
      <c r="EN77" s="59">
        <f t="shared" si="74"/>
        <v>628.44539165718697</v>
      </c>
      <c r="EO77" s="59">
        <f ca="1">AVERAGE(OFFSET($EN$3,0,0,'Données projet'!$E$15+1,1))-AVERAGE(OFFSET($H$3,0,0,'Données projet'!$E$15+1,1))</f>
        <v>321.44781099085594</v>
      </c>
      <c r="EP77" s="59">
        <f t="shared" si="100"/>
        <v>201.22243186578183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14.087067700136998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14.087067700136998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2.6</v>
      </c>
      <c r="FE77" s="12">
        <f>IF('Données projet'!$A$218&gt;35,FE76+FD77-FM76,IF(A77&lt;'Données projet'!$A$218,$FB$205^A77,IF(A77='Données projet'!$A$218,'Données projet'!$B$218,FE76+FD77-FM76)))</f>
        <v>211.4</v>
      </c>
      <c r="FF77" s="17">
        <f>FE77*VLOOKUP('Données projet'!$B$16,Paramètres!$A$1:$I$89,3,0)*VLOOKUP('Données projet'!$B$16,Paramètres!$A$1:$I$89,5,0)</f>
        <v>184.67904000000004</v>
      </c>
      <c r="FG77" s="13">
        <f t="shared" si="101"/>
        <v>46.361626470742223</v>
      </c>
      <c r="FH77" s="20">
        <f t="shared" si="76"/>
        <v>402.39582743654279</v>
      </c>
      <c r="FI77" s="59">
        <f t="shared" si="77"/>
        <v>670.62185653949359</v>
      </c>
      <c r="FJ77" s="59">
        <f ca="1">AVERAGE(OFFSET($FI$3,0,0,'Données projet'!$E$16+1,1))-AVERAGE(OFFSET($H$3,0,0,'Données projet'!$E$16+1,1))</f>
        <v>285.8437404763045</v>
      </c>
      <c r="FK77" s="59">
        <f t="shared" si="102"/>
        <v>276.01618888357268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11.433611661019384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11.433611661019384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3.4</v>
      </c>
      <c r="FZ77" s="12">
        <f>IF('Données projet'!$A$244&gt;35,FZ76+FY77-GH76,IF(A77&lt;'Données projet'!$A$244,$FW$205^A77,IF(A77='Données projet'!$A$244,'Données projet'!$B$244,FZ76+FY77-GH76)))</f>
        <v>266.5999999999998</v>
      </c>
      <c r="GA77" s="17">
        <f>FZ77*VLOOKUP('Données projet'!$B$17,Paramètres!$A$1:$I$89,3,0)*VLOOKUP('Données projet'!$B$17,Paramètres!$A$1:$I$89,5,0)</f>
        <v>212.10695999999984</v>
      </c>
      <c r="GB77" s="13">
        <f t="shared" si="103"/>
        <v>52.395741612408194</v>
      </c>
      <c r="GC77" s="20">
        <f t="shared" si="79"/>
        <v>460.67553864161067</v>
      </c>
      <c r="GD77" s="59">
        <f t="shared" si="80"/>
        <v>728.90156774456159</v>
      </c>
      <c r="GE77" s="59">
        <f ca="1">AVERAGE(OFFSET($GD$3,0,0,'Données projet'!$E$17+1,1))-AVERAGE(OFFSET($H$3,0,0,'Données projet'!$E$17+1,1))</f>
        <v>323.01113210765487</v>
      </c>
      <c r="GF77" s="59">
        <f t="shared" si="104"/>
        <v>311.68541696405975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13.405355225148918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13.405355225148918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2.6</v>
      </c>
      <c r="GU77" s="12">
        <f>IF('Données projet'!$A$270&gt;35,GU76+GT77-HC76,IF(A77&lt;'Données projet'!$A$270,$GR$205^A77,IF(A77='Données projet'!$A$270,'Données projet'!$B$270,GU76+GT77-HC76)))</f>
        <v>211.4</v>
      </c>
      <c r="GV77" s="17">
        <f>GU77*VLOOKUP('Données projet'!$B$18,Paramètres!$A$1:$I$89,3,0)*VLOOKUP('Données projet'!$B$18,Paramètres!$A$1:$I$89,5,0)</f>
        <v>184.67904000000004</v>
      </c>
      <c r="GW77" s="13">
        <f t="shared" si="105"/>
        <v>46.361626470742223</v>
      </c>
      <c r="GX77" s="20">
        <f t="shared" si="82"/>
        <v>402.39582743654279</v>
      </c>
      <c r="GY77" s="59">
        <f t="shared" si="83"/>
        <v>670.62185653949359</v>
      </c>
      <c r="GZ77" s="59">
        <f ca="1">AVERAGE(OFFSET($GY$3,0,0,'Données projet'!$E$18+1,1))-AVERAGE(OFFSET($H$3,0,0,'Données projet'!$E$18+1,1))</f>
        <v>285.8437404763045</v>
      </c>
      <c r="HA77" s="59">
        <f t="shared" si="106"/>
        <v>276.01618888357268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11.433611661019384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11.433611661019384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183</v>
      </c>
      <c r="L78" s="12">
        <f>VLOOKUP(A78,'Données projet'!$A$35:$I$55,9,0)</f>
        <v>5</v>
      </c>
      <c r="M78" s="12">
        <f t="array" ref="M78">INDEX(L:L,MIN(IF(ISNUMBER(L78:L274),ROW(L78:L274),"")))</f>
        <v>5</v>
      </c>
      <c r="N78" s="13">
        <f>IF('Données projet'!$A$36&gt;35,N77+M78-V77,IF(A78&lt;'Données projet'!$A$36,$K$205^A78,IF(A78='Données projet'!$A$36,'Données projet'!$B$36,N77+M78-V77)))</f>
        <v>183</v>
      </c>
      <c r="O78" s="13">
        <f>N78*VLOOKUP('Données projet'!$B$9,Paramètres!$A$1:$I$89,3,0)*VLOOKUP('Données projet'!$B$9,Paramètres!$A$1:$I$89,5,0)</f>
        <v>165.57839999999999</v>
      </c>
      <c r="P78" s="13">
        <f t="shared" si="87"/>
        <v>42.098218509199697</v>
      </c>
      <c r="Q78" s="20">
        <f t="shared" si="54"/>
        <v>361.70344390352278</v>
      </c>
      <c r="R78" s="59">
        <f t="shared" si="55"/>
        <v>630.36502860334758</v>
      </c>
      <c r="S78" s="59">
        <f ca="1">AVERAGE(OFFSET($R$3,0,0,'Données projet'!$E$9+1,1))-AVERAGE(OFFSET($H$3,0,0,'Données projet'!$E$9+1,1))</f>
        <v>315.34103933739129</v>
      </c>
      <c r="T78" s="59">
        <f t="shared" si="88"/>
        <v>165.80901858372513</v>
      </c>
      <c r="U78" s="15">
        <f>IF(ISNA(VLOOKUP(A78,'Données projet'!$A$35:$I$55,3,0)),0,VLOOKUP(A78,'Données projet'!$A$35:$I$55,3,0))</f>
        <v>11</v>
      </c>
      <c r="V78" s="15">
        <f>IF(ISNA(VLOOKUP(A78,'Données projet'!$A$35:$I$55,4,0)),0,VLOOKUP(A78,'Données projet'!$A$35:$I$55,4,0))</f>
        <v>14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11.72675078183017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11.72675078183017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-3.4106051316484809E-13</v>
      </c>
      <c r="AJ78" s="13">
        <f>AI78*VLOOKUP('Données projet'!$B$10,Paramètres!$A$1:$I$89,3,0)*VLOOKUP('Données projet'!$B$10,Paramètres!$A$1:$I$89,5,0)</f>
        <v>-2.0395418687257919E-13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317.328615425664</v>
      </c>
      <c r="AO78" s="59">
        <f t="shared" si="90"/>
        <v>324.95872842255744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130.41988995605087</v>
      </c>
      <c r="AV78" s="21">
        <f>EXP(-LN(2)/25)*AV77+(1-EXP(-LN(2)/25))/(LN(2)/25)*Calculateur!AQ78*Calculateur!AS78*VLOOKUP('Données projet'!$B$10,Paramètres!$A$1:$I$89,3,0)*0.475*44/12</f>
        <v>22.32552612584367</v>
      </c>
      <c r="AW78" s="21">
        <f>EXP(-LN(2)/2)*AW77+(1-EXP(-LN(2)/2))/(LN(2)/2)*AQ78*AT78*VLOOKUP('Données projet'!$B$10,Paramètres!$A$1:$I$89,3,0)*0.475*44/12</f>
        <v>0.14858779973487346</v>
      </c>
      <c r="AX78" s="21">
        <f t="shared" si="60"/>
        <v>152.89400388162943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-5.6843418860808015E-14</v>
      </c>
      <c r="BE78" s="13">
        <f>BD78*VLOOKUP('Données projet'!$B$11,Paramètres!$A$1:$I$89,3,0)*VLOOKUP('Données projet'!$B$11,Paramètres!$A$1:$I$89,5,0)</f>
        <v>-6.5483618527650828E-14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418.31716673276725</v>
      </c>
      <c r="BJ78" s="59">
        <f t="shared" si="92"/>
        <v>472.37891533957929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101.75030081979442</v>
      </c>
      <c r="BQ78" s="21">
        <f>EXP(-LN(2)/25)*BQ77+(1-EXP(-LN(2)/25))/(LN(2)/25)*Calculateur!BL78*Calculateur!BN78*VLOOKUP('Données projet'!$B$11,Paramètres!$A$1:$I$89,3,0)*0.475*44/12</f>
        <v>20.365694887953293</v>
      </c>
      <c r="BR78" s="21">
        <f>EXP(-LN(2)/2)*BR77+(1-EXP(-LN(2)/2))/(LN(2)/2)*BL78*BO78*VLOOKUP('Données projet'!$B$11,Paramètres!$A$1:$I$89,3,0)*0.475*44/12</f>
        <v>0.23045840329312398</v>
      </c>
      <c r="BS78" s="22">
        <f t="shared" si="63"/>
        <v>122.34645411104084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3.3950000000000009</v>
      </c>
      <c r="BY78" s="12">
        <f>IF('Données projet'!$A$114&gt;35,BY77+BX78-CG77,IF(A78&lt;'Données projet'!$A$114,$BV$205^A78,IF(A78='Données projet'!$A$114,'Données projet'!$B$114,BY77+BX78-CG77)))</f>
        <v>109.24500000000015</v>
      </c>
      <c r="BZ78" s="13">
        <f>BY78*VLOOKUP('Données projet'!$B$12,Paramètres!$A$1:$I$89,3,0)*VLOOKUP('Données projet'!$B$12,Paramètres!$A$1:$I$89,5,0)</f>
        <v>63.90832500000009</v>
      </c>
      <c r="CA78" s="13">
        <f t="shared" si="93"/>
        <v>18.152757855360765</v>
      </c>
      <c r="CB78" s="20">
        <f t="shared" si="64"/>
        <v>142.92305263975348</v>
      </c>
      <c r="CC78" s="59">
        <f t="shared" si="65"/>
        <v>411.58463733957831</v>
      </c>
      <c r="CD78" s="59">
        <f ca="1">AVERAGE(OFFSET($CC$3,0,0,'Données projet'!$E$12+1,1))-AVERAGE(OFFSET($H$3,0,0,'Données projet'!$E$12+1,1))</f>
        <v>184.11352167663844</v>
      </c>
      <c r="CE78" s="59">
        <f t="shared" si="94"/>
        <v>145.86653500981791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29.406029557332921</v>
      </c>
      <c r="CL78" s="21">
        <f>EXP(-LN(2)/25)*CL77+(1-EXP(-LN(2)/25))/(LN(2)/25)*Calculateur!CG78*Calculateur!CI78*VLOOKUP('Données projet'!$B$12,Paramètres!$A$1:$I$89,3,0)*0.475*44/12</f>
        <v>13.984144823063451</v>
      </c>
      <c r="CM78" s="21">
        <f>EXP(-LN(2)/2)*CM77+(1-EXP(-LN(2)/2))/(LN(2)/2)*CG78*CJ78*VLOOKUP('Données projet'!$B$12,Paramètres!$A$1:$I$89,3,0)*0.475*44/12</f>
        <v>9.143583248595764</v>
      </c>
      <c r="CN78" s="22">
        <f t="shared" si="66"/>
        <v>52.533757628992134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269.97000000000003</v>
      </c>
      <c r="CR78" s="12">
        <f>VLOOKUP(A78,'Données projet'!$A$139:$I$159,9,0)</f>
        <v>6.8575000000000017</v>
      </c>
      <c r="CS78" s="12">
        <f t="array" ref="CS78">INDEX(CR:CR,MIN(IF(ISNUMBER(CR78:CR274),ROW(CR78:CR274),"")))</f>
        <v>6.8575000000000017</v>
      </c>
      <c r="CT78" s="12">
        <f>IF('Données projet'!$A$140&gt;35,CT77+CS78-DB77,IF(A78&lt;'Données projet'!$A$140,$CQ$205^A78,IF(A78='Données projet'!$A$140,'Données projet'!$B$140,CT77+CS78-DB77)))</f>
        <v>269.97000000000003</v>
      </c>
      <c r="CU78" s="17">
        <f>CT78*VLOOKUP('Données projet'!$B$13,Paramètres!$A$1:$I$89,3,0)*VLOOKUP('Données projet'!$B$13,Paramètres!$A$1:$I$89,5,0)</f>
        <v>129.85557</v>
      </c>
      <c r="CV78" s="13">
        <f t="shared" si="95"/>
        <v>33.962983641086936</v>
      </c>
      <c r="CW78" s="20">
        <f t="shared" si="67"/>
        <v>285.31731425822636</v>
      </c>
      <c r="CX78" s="59">
        <f t="shared" si="68"/>
        <v>553.9788989580511</v>
      </c>
      <c r="CY78" s="59">
        <f ca="1">AVERAGE(OFFSET($CX$3,0,0,'Données projet'!$E$13+1,1))-AVERAGE(OFFSET($H$3,0,0,'Données projet'!$E$13+1,1))</f>
        <v>303.76035885073708</v>
      </c>
      <c r="CZ78" s="59">
        <f t="shared" si="96"/>
        <v>127.43112562890414</v>
      </c>
      <c r="DA78" s="15">
        <f>IF(ISNA(VLOOKUP(A78,'Données projet'!$A$139:$I$159,3,0)),0,VLOOKUP(A78,'Données projet'!$A$139:$I$159,3,0))</f>
        <v>7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0.11000000000000001</v>
      </c>
      <c r="DD78" s="16">
        <f>IF(ISNA(VLOOKUP(A78,'Données projet'!$A$139:$I$159,6,0)),0%,VLOOKUP(A78,'Données projet'!$A$139:$I$159,6,0)*VLOOKUP('Données projet'!$B$13,Paramètres!$A$1:$I$89,7,0))</f>
        <v>0.30800000000000005</v>
      </c>
      <c r="DE78" s="16">
        <f>IF(ISNA(VLOOKUP(A78,'Données projet'!$A$139:$I$159,7,0)),0%,VLOOKUP(A78,'Données projet'!$A$139:$I$159,7,0))</f>
        <v>0.35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19.131147637705126</v>
      </c>
      <c r="DH78" s="21">
        <f>EXP(-LN(2)/2)*DH77+(1-EXP(-LN(2)/2))/(LN(2)/2)*DB78*DE78*VLOOKUP('Données projet'!$B$13,Paramètres!$A$1:$I$89,3,0)*0.475*44/12</f>
        <v>1.8271455312948235</v>
      </c>
      <c r="DI78" s="22">
        <f t="shared" si="69"/>
        <v>20.958293168999951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5.6843418860808015E-14</v>
      </c>
      <c r="DP78" s="17">
        <f>DO78*VLOOKUP('Données projet'!$B$14,Paramètres!$A$1:$I$89,3,0)*VLOOKUP('Données projet'!$B$14,Paramètres!$A$1:$I$89,5,0)</f>
        <v>3.2810021366458389E-14</v>
      </c>
      <c r="DQ78" s="13">
        <f t="shared" si="97"/>
        <v>5.6117125884464641E-13</v>
      </c>
      <c r="DR78" s="20">
        <f t="shared" si="70"/>
        <v>1.0345173963676741E-12</v>
      </c>
      <c r="DS78" s="59">
        <f t="shared" si="71"/>
        <v>268.66158469982582</v>
      </c>
      <c r="DT78" s="59">
        <f ca="1">AVERAGE(OFFSET($DS$3,0,0,'Données projet'!$E$14+1,1))-AVERAGE(OFFSET($H$3,0,0,'Données projet'!$E$14+1,1))</f>
        <v>243.65374431792841</v>
      </c>
      <c r="DU78" s="59">
        <f t="shared" si="98"/>
        <v>271.60754570002939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44.232574868468461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44.232574868468461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252</v>
      </c>
      <c r="EH78" s="12">
        <f>VLOOKUP(A78,'Données projet'!$A$191:$I$211,9,0)</f>
        <v>6.2</v>
      </c>
      <c r="EI78" s="12">
        <f t="array" ref="EI78">INDEX(EH:EH,MIN(IF(ISNUMBER(EH78:EH274),ROW(EH78:EH274),"")))</f>
        <v>6.2</v>
      </c>
      <c r="EJ78" s="12">
        <f>IF('Données projet'!$A$192&gt;35,EJ77+EI78-ER77,IF(A78&lt;'Données projet'!$A$192,$EG$205^A78,IF(A78='Données projet'!$A$192,'Données projet'!$B$192,EJ77+EI78-ER77)))</f>
        <v>251.99999999999994</v>
      </c>
      <c r="EK78" s="17">
        <f>EJ78*VLOOKUP('Données projet'!$B$15,Paramètres!$A$1:$I$89,3,0)*VLOOKUP('Données projet'!$B$15,Paramètres!$A$1:$I$89,5,0)</f>
        <v>169.04159999999996</v>
      </c>
      <c r="EL78" s="13">
        <f t="shared" si="99"/>
        <v>42.875303289962908</v>
      </c>
      <c r="EM78" s="20">
        <f t="shared" si="73"/>
        <v>369.08860656335202</v>
      </c>
      <c r="EN78" s="59">
        <f t="shared" si="74"/>
        <v>637.75019126317682</v>
      </c>
      <c r="EO78" s="59">
        <f ca="1">AVERAGE(OFFSET($EN$3,0,0,'Données projet'!$E$15+1,1))-AVERAGE(OFFSET($H$3,0,0,'Données projet'!$E$15+1,1))</f>
        <v>321.44781099085594</v>
      </c>
      <c r="EP78" s="59">
        <f t="shared" si="100"/>
        <v>201.22243186578183</v>
      </c>
      <c r="EQ78" s="15">
        <f>IF(ISNA(VLOOKUP(A78,'Données projet'!$A$191:$I$211,3,0)),0,VLOOKUP(A78,'Données projet'!$A$191:$I$211,3,0))</f>
        <v>12</v>
      </c>
      <c r="ER78" s="15">
        <f>IF(ISNA(VLOOKUP(A78,'Données projet'!$A$191:$I$211,4,0)),0,VLOOKUP(A78,'Données projet'!$A$191:$I$211,4,0))</f>
        <v>21</v>
      </c>
      <c r="ES78" s="16">
        <f>IF(ISNA(VLOOKUP(A78,'Données projet'!$A$191:$I$211,5,0)),0%,VLOOKUP(A78,'Données projet'!$A$191:$I$211,5,0)*VLOOKUP('Données projet'!$B$15,Paramètres!$A$1:$I$89,7,0))</f>
        <v>0.26500000000000001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17.937552032537457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17.937552032537457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214</v>
      </c>
      <c r="FC78" s="12">
        <f>VLOOKUP(A78,'Données projet'!$A$217:$I$237,9,0)</f>
        <v>2.6</v>
      </c>
      <c r="FD78" s="12">
        <f t="array" ref="FD78">INDEX(FC:FC,MIN(IF(ISNUMBER(FC78:FC274),ROW(FC78:FC274),"")))</f>
        <v>2.6</v>
      </c>
      <c r="FE78" s="12">
        <f>IF('Données projet'!$A$218&gt;35,FE77+FD78-FM77,IF(A78&lt;'Données projet'!$A$218,$FB$205^A78,IF(A78='Données projet'!$A$218,'Données projet'!$B$218,FE77+FD78-FM77)))</f>
        <v>214</v>
      </c>
      <c r="FF78" s="17">
        <f>FE78*VLOOKUP('Données projet'!$B$16,Paramètres!$A$1:$I$89,3,0)*VLOOKUP('Données projet'!$B$16,Paramètres!$A$1:$I$89,5,0)</f>
        <v>186.95040000000003</v>
      </c>
      <c r="FG78" s="13">
        <f t="shared" si="101"/>
        <v>46.865095976617653</v>
      </c>
      <c r="FH78" s="20">
        <f t="shared" si="76"/>
        <v>407.22865549260911</v>
      </c>
      <c r="FI78" s="59">
        <f t="shared" si="77"/>
        <v>675.89024019243391</v>
      </c>
      <c r="FJ78" s="59">
        <f ca="1">AVERAGE(OFFSET($FI$3,0,0,'Données projet'!$E$16+1,1))-AVERAGE(OFFSET($H$3,0,0,'Données projet'!$E$16+1,1))</f>
        <v>285.8437404763045</v>
      </c>
      <c r="FK78" s="59">
        <f t="shared" si="102"/>
        <v>276.01618888357268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7</v>
      </c>
      <c r="FN78" s="16">
        <f>IF(ISNA(VLOOKUP(A78,'Données projet'!$A$217:$I$237,5,0)),0%,VLOOKUP(A78,'Données projet'!$A$217:$I$237,5,0)*VLOOKUP('Données projet'!$B$16,Paramètres!$A$1:$I$89,7,0))</f>
        <v>0.318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13.359140354005827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13.359140354005827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270</v>
      </c>
      <c r="FX78" s="12">
        <f>VLOOKUP(A78,'Données projet'!$A$243:$I$263,9,0)</f>
        <v>3.4</v>
      </c>
      <c r="FY78" s="12">
        <f t="array" ref="FY78">INDEX(FX:FX,MIN(IF(ISNUMBER(FX78:FX274),ROW(FX78:FX274),"")))</f>
        <v>3.4</v>
      </c>
      <c r="FZ78" s="12">
        <f>IF('Données projet'!$A$244&gt;35,FZ77+FY78-GH77,IF(A78&lt;'Données projet'!$A$244,$FW$205^A78,IF(A78='Données projet'!$A$244,'Données projet'!$B$244,FZ77+FY78-GH77)))</f>
        <v>269.99999999999977</v>
      </c>
      <c r="GA78" s="17">
        <f>FZ78*VLOOKUP('Données projet'!$B$17,Paramètres!$A$1:$I$89,3,0)*VLOOKUP('Données projet'!$B$17,Paramètres!$A$1:$I$89,5,0)</f>
        <v>214.81199999999981</v>
      </c>
      <c r="GB78" s="13">
        <f t="shared" si="103"/>
        <v>52.985738231738011</v>
      </c>
      <c r="GC78" s="20">
        <f t="shared" si="79"/>
        <v>466.41439408694333</v>
      </c>
      <c r="GD78" s="59">
        <f t="shared" si="80"/>
        <v>735.07597878676813</v>
      </c>
      <c r="GE78" s="59">
        <f ca="1">AVERAGE(OFFSET($GD$3,0,0,'Données projet'!$E$17+1,1))-AVERAGE(OFFSET($H$3,0,0,'Données projet'!$E$17+1,1))</f>
        <v>323.01113210765487</v>
      </c>
      <c r="GF78" s="59">
        <f t="shared" si="104"/>
        <v>311.68541696405975</v>
      </c>
      <c r="GG78" s="15">
        <f>IF(ISNA(VLOOKUP(A78,'Données projet'!$A$243:$I$263,3,0)),0,VLOOKUP(A78,'Données projet'!$A$243:$I$263,3,0))</f>
        <v>13</v>
      </c>
      <c r="GH78" s="15">
        <f>IF(ISNA(VLOOKUP(A78,'Données projet'!$A$243:$I$263,4,0)),0,VLOOKUP(A78,'Données projet'!$A$243:$I$263,4,0))</f>
        <v>9</v>
      </c>
      <c r="GI78" s="16">
        <f>IF(ISNA(VLOOKUP(A78,'Données projet'!$A$243:$I$263,5,0)),0%,VLOOKUP(A78,'Données projet'!$A$243:$I$263,5,0)*VLOOKUP('Données projet'!$B$17,Paramètres!$A$1:$I$89,7,0))</f>
        <v>0.318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15.659648399226336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15.659648399226336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214</v>
      </c>
      <c r="GS78" s="12">
        <f>VLOOKUP(A78,'Données projet'!$A$269:$I$289,9,0)</f>
        <v>2.6</v>
      </c>
      <c r="GT78" s="12">
        <f t="array" ref="GT78">INDEX(GS:GS,MIN(IF(ISNUMBER(GS78:GS274),ROW(GS78:GS274),"")))</f>
        <v>2.6</v>
      </c>
      <c r="GU78" s="12">
        <f>IF('Données projet'!$A$270&gt;35,GU77+GT78-HC77,IF(A78&lt;'Données projet'!$A$270,$GR$205^A78,IF(A78='Données projet'!$A$270,'Données projet'!$B$270,GU77+GT78-HC77)))</f>
        <v>214</v>
      </c>
      <c r="GV78" s="17">
        <f>GU78*VLOOKUP('Données projet'!$B$18,Paramètres!$A$1:$I$89,3,0)*VLOOKUP('Données projet'!$B$18,Paramètres!$A$1:$I$89,5,0)</f>
        <v>186.95040000000003</v>
      </c>
      <c r="GW78" s="13">
        <f t="shared" si="105"/>
        <v>46.865095976617653</v>
      </c>
      <c r="GX78" s="20">
        <f t="shared" si="82"/>
        <v>407.22865549260911</v>
      </c>
      <c r="GY78" s="59">
        <f t="shared" si="83"/>
        <v>675.89024019243391</v>
      </c>
      <c r="GZ78" s="59">
        <f ca="1">AVERAGE(OFFSET($GY$3,0,0,'Données projet'!$E$18+1,1))-AVERAGE(OFFSET($H$3,0,0,'Données projet'!$E$18+1,1))</f>
        <v>285.8437404763045</v>
      </c>
      <c r="HA78" s="59">
        <f t="shared" si="106"/>
        <v>276.01618888357268</v>
      </c>
      <c r="HB78" s="15">
        <f>IF(ISNA(VLOOKUP(A78,'Données projet'!$A$269:$I$289,3,0)),0,VLOOKUP(A78,'Données projet'!$A$269:$I$289,3,0))</f>
        <v>13</v>
      </c>
      <c r="HC78" s="15">
        <f>IF(ISNA(VLOOKUP(A78,'Données projet'!$A$269:$I$289,4,0)),0,VLOOKUP(A78,'Données projet'!$A$269:$I$289,4,0))</f>
        <v>7</v>
      </c>
      <c r="HD78" s="16">
        <f>IF(ISNA(VLOOKUP(A78,'Données projet'!$A$269:$I$289,5,0)),0%,VLOOKUP(A78,'Données projet'!$A$269:$I$289,5,0)*VLOOKUP('Données projet'!$B$18,Paramètres!$A$1:$I$89,7,0))</f>
        <v>0.318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13.359140354005827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13.359140354005827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4.5999999999999996</v>
      </c>
      <c r="N79" s="13">
        <f>IF('Données projet'!$A$36&gt;35,N78+M79-V78,IF(A79&lt;'Données projet'!$A$36,$K$205^A79,IF(A79='Données projet'!$A$36,'Données projet'!$B$36,N78+M79-V78)))</f>
        <v>173.6</v>
      </c>
      <c r="O79" s="13">
        <f>N79*VLOOKUP('Données projet'!$B$9,Paramètres!$A$1:$I$89,3,0)*VLOOKUP('Données projet'!$B$9,Paramètres!$A$1:$I$89,5,0)</f>
        <v>157.07327999999998</v>
      </c>
      <c r="P79" s="13">
        <f t="shared" si="87"/>
        <v>40.181677940049241</v>
      </c>
      <c r="Q79" s="20">
        <f t="shared" si="54"/>
        <v>343.55238507891909</v>
      </c>
      <c r="R79" s="59">
        <f t="shared" si="55"/>
        <v>612.64196945976846</v>
      </c>
      <c r="S79" s="59">
        <f ca="1">AVERAGE(OFFSET($R$3,0,0,'Données projet'!$E$9+1,1))-AVERAGE(OFFSET($H$3,0,0,'Données projet'!$E$9+1,1))</f>
        <v>315.34103933739129</v>
      </c>
      <c r="T79" s="59">
        <f t="shared" si="88"/>
        <v>165.80901858372513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11.496796351610195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11.496796351610195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-3.4106051316484809E-13</v>
      </c>
      <c r="AJ79" s="13">
        <f>AI79*VLOOKUP('Données projet'!$B$10,Paramètres!$A$1:$I$89,3,0)*VLOOKUP('Données projet'!$B$10,Paramètres!$A$1:$I$89,5,0)</f>
        <v>-2.0395418687257919E-13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317.328615425664</v>
      </c>
      <c r="AO79" s="59">
        <f t="shared" si="90"/>
        <v>324.95872842255744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127.86243546229085</v>
      </c>
      <c r="AV79" s="21">
        <f>EXP(-LN(2)/25)*AV78+(1-EXP(-LN(2)/25))/(LN(2)/25)*Calculateur!AQ79*Calculateur!AS79*VLOOKUP('Données projet'!$B$10,Paramètres!$A$1:$I$89,3,0)*0.475*44/12</f>
        <v>21.715033439884081</v>
      </c>
      <c r="AW79" s="21">
        <f>EXP(-LN(2)/2)*AW78+(1-EXP(-LN(2)/2))/(LN(2)/2)*AQ79*AT79*VLOOKUP('Données projet'!$B$10,Paramètres!$A$1:$I$89,3,0)*0.475*44/12</f>
        <v>0.10506744079411771</v>
      </c>
      <c r="AX79" s="21">
        <f t="shared" si="60"/>
        <v>149.68253634296906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-5.6843418860808015E-14</v>
      </c>
      <c r="BE79" s="13">
        <f>BD79*VLOOKUP('Données projet'!$B$11,Paramètres!$A$1:$I$89,3,0)*VLOOKUP('Données projet'!$B$11,Paramètres!$A$1:$I$89,5,0)</f>
        <v>-6.5483618527650828E-14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418.31716673276725</v>
      </c>
      <c r="BJ79" s="59">
        <f t="shared" si="92"/>
        <v>472.37891533957929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99.755039482273673</v>
      </c>
      <c r="BQ79" s="21">
        <f>EXP(-LN(2)/25)*BQ78+(1-EXP(-LN(2)/25))/(LN(2)/25)*Calculateur!BL79*Calculateur!BN79*VLOOKUP('Données projet'!$B$11,Paramètres!$A$1:$I$89,3,0)*0.475*44/12</f>
        <v>19.808793890256862</v>
      </c>
      <c r="BR79" s="21">
        <f>EXP(-LN(2)/2)*BR78+(1-EXP(-LN(2)/2))/(LN(2)/2)*BL79*BO79*VLOOKUP('Données projet'!$B$11,Paramètres!$A$1:$I$89,3,0)*0.475*44/12</f>
        <v>0.16295869974999214</v>
      </c>
      <c r="BS79" s="22">
        <f t="shared" si="63"/>
        <v>119.72679207228053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3.3950000000000009</v>
      </c>
      <c r="BY79" s="12">
        <f>IF('Données projet'!$A$114&gt;35,BY78+BX79-CG78,IF(A79&lt;'Données projet'!$A$114,$BV$205^A79,IF(A79='Données projet'!$A$114,'Données projet'!$B$114,BY78+BX79-CG78)))</f>
        <v>112.64000000000014</v>
      </c>
      <c r="BZ79" s="13">
        <f>BY79*VLOOKUP('Données projet'!$B$12,Paramètres!$A$1:$I$89,3,0)*VLOOKUP('Données projet'!$B$12,Paramètres!$A$1:$I$89,5,0)</f>
        <v>65.89440000000009</v>
      </c>
      <c r="CA79" s="13">
        <f t="shared" si="93"/>
        <v>18.650333684101472</v>
      </c>
      <c r="CB79" s="20">
        <f t="shared" si="64"/>
        <v>147.24874449981021</v>
      </c>
      <c r="CC79" s="59">
        <f t="shared" si="65"/>
        <v>416.33832888065967</v>
      </c>
      <c r="CD79" s="59">
        <f ca="1">AVERAGE(OFFSET($CC$3,0,0,'Données projet'!$E$12+1,1))-AVERAGE(OFFSET($H$3,0,0,'Données projet'!$E$12+1,1))</f>
        <v>184.11352167663844</v>
      </c>
      <c r="CE79" s="59">
        <f t="shared" si="94"/>
        <v>145.86653500981791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28.829395253620628</v>
      </c>
      <c r="CL79" s="21">
        <f>EXP(-LN(2)/25)*CL78+(1-EXP(-LN(2)/25))/(LN(2)/25)*Calculateur!CG79*Calculateur!CI79*VLOOKUP('Données projet'!$B$12,Paramètres!$A$1:$I$89,3,0)*0.475*44/12</f>
        <v>13.601747647482565</v>
      </c>
      <c r="CM79" s="21">
        <f>EXP(-LN(2)/2)*CM78+(1-EXP(-LN(2)/2))/(LN(2)/2)*CG79*CJ79*VLOOKUP('Données projet'!$B$12,Paramètres!$A$1:$I$89,3,0)*0.475*44/12</f>
        <v>6.4654897194257863</v>
      </c>
      <c r="CN79" s="22">
        <f t="shared" si="66"/>
        <v>48.896632620528976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6.8914285714285644</v>
      </c>
      <c r="CT79" s="12">
        <f>IF('Données projet'!$A$140&gt;35,CT78+CS79-DB78,IF(A79&lt;'Données projet'!$A$140,$CQ$205^A79,IF(A79='Données projet'!$A$140,'Données projet'!$B$140,CT78+CS79-DB78)))</f>
        <v>276.86142857142858</v>
      </c>
      <c r="CU79" s="17">
        <f>CT79*VLOOKUP('Données projet'!$B$13,Paramètres!$A$1:$I$89,3,0)*VLOOKUP('Données projet'!$B$13,Paramètres!$A$1:$I$89,5,0)</f>
        <v>133.17034714285714</v>
      </c>
      <c r="CV79" s="13">
        <f t="shared" si="95"/>
        <v>34.727903017903934</v>
      </c>
      <c r="CW79" s="20">
        <f t="shared" si="67"/>
        <v>292.42278569665888</v>
      </c>
      <c r="CX79" s="59">
        <f t="shared" si="68"/>
        <v>561.51237007750831</v>
      </c>
      <c r="CY79" s="59">
        <f ca="1">AVERAGE(OFFSET($CX$3,0,0,'Données projet'!$E$13+1,1))-AVERAGE(OFFSET($H$3,0,0,'Données projet'!$E$13+1,1))</f>
        <v>303.76035885073708</v>
      </c>
      <c r="CZ79" s="59">
        <f t="shared" si="96"/>
        <v>127.43112562890414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18.60800539948875</v>
      </c>
      <c r="DH79" s="21">
        <f>EXP(-LN(2)/2)*DH78+(1-EXP(-LN(2)/2))/(LN(2)/2)*DB79*DE79*VLOOKUP('Données projet'!$B$13,Paramètres!$A$1:$I$89,3,0)*0.475*44/12</f>
        <v>1.291986995393267</v>
      </c>
      <c r="DI79" s="22">
        <f t="shared" si="69"/>
        <v>19.899992394882016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5.6843418860808015E-14</v>
      </c>
      <c r="DP79" s="17">
        <f>DO79*VLOOKUP('Données projet'!$B$14,Paramètres!$A$1:$I$89,3,0)*VLOOKUP('Données projet'!$B$14,Paramètres!$A$1:$I$89,5,0)</f>
        <v>3.2810021366458389E-14</v>
      </c>
      <c r="DQ79" s="13">
        <f t="shared" si="97"/>
        <v>5.6117125884464641E-13</v>
      </c>
      <c r="DR79" s="20">
        <f t="shared" si="70"/>
        <v>1.0345173963676741E-12</v>
      </c>
      <c r="DS79" s="59">
        <f t="shared" si="71"/>
        <v>269.08958438085045</v>
      </c>
      <c r="DT79" s="59">
        <f ca="1">AVERAGE(OFFSET($DS$3,0,0,'Données projet'!$E$14+1,1))-AVERAGE(OFFSET($H$3,0,0,'Données projet'!$E$14+1,1))</f>
        <v>243.65374431792841</v>
      </c>
      <c r="DU79" s="59">
        <f t="shared" si="98"/>
        <v>271.60754570002939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43.365201054504489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43.365201054504489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6</v>
      </c>
      <c r="EJ79" s="12">
        <f>IF('Données projet'!$A$192&gt;35,EJ78+EI79-ER78,IF(A79&lt;'Données projet'!$A$192,$EG$205^A79,IF(A79='Données projet'!$A$192,'Données projet'!$B$192,EJ78+EI79-ER78)))</f>
        <v>236.99999999999994</v>
      </c>
      <c r="EK79" s="17">
        <f>EJ79*VLOOKUP('Données projet'!$B$15,Paramètres!$A$1:$I$89,3,0)*VLOOKUP('Données projet'!$B$15,Paramètres!$A$1:$I$89,5,0)</f>
        <v>158.97959999999995</v>
      </c>
      <c r="EL79" s="13">
        <f t="shared" si="99"/>
        <v>40.6122757085909</v>
      </c>
      <c r="EM79" s="20">
        <f t="shared" si="73"/>
        <v>347.62251685912906</v>
      </c>
      <c r="EN79" s="59">
        <f t="shared" si="74"/>
        <v>616.71210123997844</v>
      </c>
      <c r="EO79" s="59">
        <f ca="1">AVERAGE(OFFSET($EN$3,0,0,'Données projet'!$E$15+1,1))-AVERAGE(OFFSET($H$3,0,0,'Données projet'!$E$15+1,1))</f>
        <v>321.44781099085594</v>
      </c>
      <c r="EP79" s="59">
        <f t="shared" si="100"/>
        <v>201.22243186578183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17.58580757800582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17.58580757800582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2.4</v>
      </c>
      <c r="FE79" s="12">
        <f>IF('Données projet'!$A$218&gt;35,FE78+FD79-FM78,IF(A79&lt;'Données projet'!$A$218,$FB$205^A79,IF(A79='Données projet'!$A$218,'Données projet'!$B$218,FE78+FD79-FM78)))</f>
        <v>209.4</v>
      </c>
      <c r="FF79" s="17">
        <f>FE79*VLOOKUP('Données projet'!$B$16,Paramètres!$A$1:$I$89,3,0)*VLOOKUP('Données projet'!$B$16,Paramètres!$A$1:$I$89,5,0)</f>
        <v>182.93184000000002</v>
      </c>
      <c r="FG79" s="13">
        <f t="shared" si="101"/>
        <v>45.973851929814685</v>
      </c>
      <c r="FH79" s="20">
        <f t="shared" si="76"/>
        <v>398.67741344442726</v>
      </c>
      <c r="FI79" s="59">
        <f t="shared" si="77"/>
        <v>667.76699782527669</v>
      </c>
      <c r="FJ79" s="59">
        <f ca="1">AVERAGE(OFFSET($FI$3,0,0,'Données projet'!$E$16+1,1))-AVERAGE(OFFSET($H$3,0,0,'Données projet'!$E$16+1,1))</f>
        <v>285.8437404763045</v>
      </c>
      <c r="FK79" s="59">
        <f t="shared" si="102"/>
        <v>276.01618888357268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13.097175759934814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13.097175759934814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2.8</v>
      </c>
      <c r="FZ79" s="12">
        <f>IF('Données projet'!$A$244&gt;35,FZ78+FY79-GH78,IF(A79&lt;'Données projet'!$A$244,$FW$205^A79,IF(A79='Données projet'!$A$244,'Données projet'!$B$244,FZ78+FY79-GH78)))</f>
        <v>263.79999999999978</v>
      </c>
      <c r="GA79" s="17">
        <f>FZ79*VLOOKUP('Données projet'!$B$17,Paramètres!$A$1:$I$89,3,0)*VLOOKUP('Données projet'!$B$17,Paramètres!$A$1:$I$89,5,0)</f>
        <v>209.87927999999985</v>
      </c>
      <c r="GB79" s="13">
        <f t="shared" si="103"/>
        <v>51.909204458241767</v>
      </c>
      <c r="GC79" s="20">
        <f t="shared" si="79"/>
        <v>455.94827709810414</v>
      </c>
      <c r="GD79" s="59">
        <f t="shared" si="80"/>
        <v>725.03786147895357</v>
      </c>
      <c r="GE79" s="59">
        <f ca="1">AVERAGE(OFFSET($GD$3,0,0,'Données projet'!$E$17+1,1))-AVERAGE(OFFSET($H$3,0,0,'Données projet'!$E$17+1,1))</f>
        <v>323.01113210765487</v>
      </c>
      <c r="GF79" s="59">
        <f t="shared" si="104"/>
        <v>311.68541696405975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15.352572245559905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15.352572245559905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2.4</v>
      </c>
      <c r="GU79" s="12">
        <f>IF('Données projet'!$A$270&gt;35,GU78+GT79-HC78,IF(A79&lt;'Données projet'!$A$270,$GR$205^A79,IF(A79='Données projet'!$A$270,'Données projet'!$B$270,GU78+GT79-HC78)))</f>
        <v>209.4</v>
      </c>
      <c r="GV79" s="17">
        <f>GU79*VLOOKUP('Données projet'!$B$18,Paramètres!$A$1:$I$89,3,0)*VLOOKUP('Données projet'!$B$18,Paramètres!$A$1:$I$89,5,0)</f>
        <v>182.93184000000002</v>
      </c>
      <c r="GW79" s="13">
        <f t="shared" si="105"/>
        <v>45.973851929814685</v>
      </c>
      <c r="GX79" s="20">
        <f t="shared" si="82"/>
        <v>398.67741344442726</v>
      </c>
      <c r="GY79" s="59">
        <f t="shared" si="83"/>
        <v>667.76699782527669</v>
      </c>
      <c r="GZ79" s="59">
        <f ca="1">AVERAGE(OFFSET($GY$3,0,0,'Données projet'!$E$18+1,1))-AVERAGE(OFFSET($H$3,0,0,'Données projet'!$E$18+1,1))</f>
        <v>285.8437404763045</v>
      </c>
      <c r="HA79" s="59">
        <f t="shared" si="106"/>
        <v>276.01618888357268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13.097175759934814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13.097175759934814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4.5999999999999996</v>
      </c>
      <c r="N80" s="13">
        <f>IF('Données projet'!$A$36&gt;35,N79+M80-V79,IF(A80&lt;'Données projet'!$A$36,$K$205^A80,IF(A80='Données projet'!$A$36,'Données projet'!$B$36,N79+M80-V79)))</f>
        <v>178.2</v>
      </c>
      <c r="O80" s="13">
        <f>N80*VLOOKUP('Données projet'!$B$9,Paramètres!$A$1:$I$89,3,0)*VLOOKUP('Données projet'!$B$9,Paramètres!$A$1:$I$89,5,0)</f>
        <v>161.23535999999999</v>
      </c>
      <c r="P80" s="13">
        <f t="shared" si="87"/>
        <v>41.121029451505414</v>
      </c>
      <c r="Q80" s="20">
        <f t="shared" si="54"/>
        <v>352.43737829470524</v>
      </c>
      <c r="R80" s="59">
        <f t="shared" si="55"/>
        <v>621.94753751897747</v>
      </c>
      <c r="S80" s="59">
        <f ca="1">AVERAGE(OFFSET($R$3,0,0,'Données projet'!$E$9+1,1))-AVERAGE(OFFSET($H$3,0,0,'Données projet'!$E$9+1,1))</f>
        <v>315.34103933739129</v>
      </c>
      <c r="T80" s="59">
        <f t="shared" si="88"/>
        <v>165.80901858372513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11.271351187508481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11.271351187508481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-3.4106051316484809E-13</v>
      </c>
      <c r="AJ80" s="13">
        <f>AI80*VLOOKUP('Données projet'!$B$10,Paramètres!$A$1:$I$89,3,0)*VLOOKUP('Données projet'!$B$10,Paramètres!$A$1:$I$89,5,0)</f>
        <v>-2.0395418687257919E-13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317.328615425664</v>
      </c>
      <c r="AO80" s="59">
        <f t="shared" si="90"/>
        <v>324.95872842255744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125.35513109126025</v>
      </c>
      <c r="AV80" s="21">
        <f>EXP(-LN(2)/25)*AV79+(1-EXP(-LN(2)/25))/(LN(2)/25)*Calculateur!AQ80*Calculateur!AS80*VLOOKUP('Données projet'!$B$10,Paramètres!$A$1:$I$89,3,0)*0.475*44/12</f>
        <v>21.121234708526472</v>
      </c>
      <c r="AW80" s="21">
        <f>EXP(-LN(2)/2)*AW79+(1-EXP(-LN(2)/2))/(LN(2)/2)*AQ80*AT80*VLOOKUP('Données projet'!$B$10,Paramètres!$A$1:$I$89,3,0)*0.475*44/12</f>
        <v>7.429389986743673E-2</v>
      </c>
      <c r="AX80" s="21">
        <f t="shared" si="60"/>
        <v>146.55065969965415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-5.6843418860808015E-14</v>
      </c>
      <c r="BE80" s="13">
        <f>BD80*VLOOKUP('Données projet'!$B$11,Paramètres!$A$1:$I$89,3,0)*VLOOKUP('Données projet'!$B$11,Paramètres!$A$1:$I$89,5,0)</f>
        <v>-6.5483618527650828E-14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418.31716673276725</v>
      </c>
      <c r="BJ80" s="59">
        <f t="shared" si="92"/>
        <v>472.37891533957929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97.798904002592465</v>
      </c>
      <c r="BQ80" s="21">
        <f>EXP(-LN(2)/25)*BQ79+(1-EXP(-LN(2)/25))/(LN(2)/25)*Calculateur!BL80*Calculateur!BN80*VLOOKUP('Données projet'!$B$11,Paramètres!$A$1:$I$89,3,0)*0.475*44/12</f>
        <v>19.267121379628591</v>
      </c>
      <c r="BR80" s="21">
        <f>EXP(-LN(2)/2)*BR79+(1-EXP(-LN(2)/2))/(LN(2)/2)*BL80*BO80*VLOOKUP('Données projet'!$B$11,Paramètres!$A$1:$I$89,3,0)*0.475*44/12</f>
        <v>0.11522920164656199</v>
      </c>
      <c r="BS80" s="22">
        <f t="shared" si="63"/>
        <v>117.18125458386761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3.3950000000000009</v>
      </c>
      <c r="BY80" s="12">
        <f>IF('Données projet'!$A$114&gt;35,BY79+BX80-CG79,IF(A80&lt;'Données projet'!$A$114,$BV$205^A80,IF(A80='Données projet'!$A$114,'Données projet'!$B$114,BY79+BX80-CG79)))</f>
        <v>116.03500000000014</v>
      </c>
      <c r="BZ80" s="13">
        <f>BY80*VLOOKUP('Données projet'!$B$12,Paramètres!$A$1:$I$89,3,0)*VLOOKUP('Données projet'!$B$12,Paramètres!$A$1:$I$89,5,0)</f>
        <v>67.880475000000089</v>
      </c>
      <c r="CA80" s="13">
        <f t="shared" si="93"/>
        <v>19.146166633702794</v>
      </c>
      <c r="CB80" s="20">
        <f t="shared" si="64"/>
        <v>151.57140084536584</v>
      </c>
      <c r="CC80" s="59">
        <f t="shared" si="65"/>
        <v>421.08156006963816</v>
      </c>
      <c r="CD80" s="59">
        <f ca="1">AVERAGE(OFFSET($CC$3,0,0,'Données projet'!$E$12+1,1))-AVERAGE(OFFSET($H$3,0,0,'Données projet'!$E$12+1,1))</f>
        <v>184.11352167663844</v>
      </c>
      <c r="CE80" s="59">
        <f t="shared" si="94"/>
        <v>145.86653500981791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28.264068396891936</v>
      </c>
      <c r="CL80" s="21">
        <f>EXP(-LN(2)/25)*CL79+(1-EXP(-LN(2)/25))/(LN(2)/25)*Calculateur!CG80*Calculateur!CI80*VLOOKUP('Données projet'!$B$12,Paramètres!$A$1:$I$89,3,0)*0.475*44/12</f>
        <v>13.229807142777332</v>
      </c>
      <c r="CM80" s="21">
        <f>EXP(-LN(2)/2)*CM79+(1-EXP(-LN(2)/2))/(LN(2)/2)*CG80*CJ80*VLOOKUP('Données projet'!$B$12,Paramètres!$A$1:$I$89,3,0)*0.475*44/12</f>
        <v>4.571791624297882</v>
      </c>
      <c r="CN80" s="22">
        <f t="shared" si="66"/>
        <v>46.065667163967149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6.8914285714285644</v>
      </c>
      <c r="CT80" s="12">
        <f>IF('Données projet'!$A$140&gt;35,CT79+CS80-DB79,IF(A80&lt;'Données projet'!$A$140,$CQ$205^A80,IF(A80='Données projet'!$A$140,'Données projet'!$B$140,CT79+CS80-DB79)))</f>
        <v>283.75285714285712</v>
      </c>
      <c r="CU80" s="17">
        <f>CT80*VLOOKUP('Données projet'!$B$13,Paramètres!$A$1:$I$89,3,0)*VLOOKUP('Données projet'!$B$13,Paramètres!$A$1:$I$89,5,0)</f>
        <v>136.48512428571428</v>
      </c>
      <c r="CV80" s="13">
        <f t="shared" si="95"/>
        <v>35.490609127531322</v>
      </c>
      <c r="CW80" s="20">
        <f t="shared" si="67"/>
        <v>299.52440236140274</v>
      </c>
      <c r="CX80" s="59">
        <f t="shared" si="68"/>
        <v>569.03456158567496</v>
      </c>
      <c r="CY80" s="59">
        <f ca="1">AVERAGE(OFFSET($CX$3,0,0,'Données projet'!$E$13+1,1))-AVERAGE(OFFSET($H$3,0,0,'Données projet'!$E$13+1,1))</f>
        <v>303.76035885073708</v>
      </c>
      <c r="CZ80" s="59">
        <f t="shared" si="96"/>
        <v>127.43112562890414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18.099168513287257</v>
      </c>
      <c r="DH80" s="21">
        <f>EXP(-LN(2)/2)*DH79+(1-EXP(-LN(2)/2))/(LN(2)/2)*DB80*DE80*VLOOKUP('Données projet'!$B$13,Paramètres!$A$1:$I$89,3,0)*0.475*44/12</f>
        <v>0.91357276564741186</v>
      </c>
      <c r="DI80" s="22">
        <f t="shared" si="69"/>
        <v>19.012741278934669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5.6843418860808015E-14</v>
      </c>
      <c r="DP80" s="17">
        <f>DO80*VLOOKUP('Données projet'!$B$14,Paramètres!$A$1:$I$89,3,0)*VLOOKUP('Données projet'!$B$14,Paramètres!$A$1:$I$89,5,0)</f>
        <v>3.2810021366458389E-14</v>
      </c>
      <c r="DQ80" s="13">
        <f t="shared" si="97"/>
        <v>5.6117125884464641E-13</v>
      </c>
      <c r="DR80" s="20">
        <f t="shared" si="70"/>
        <v>1.0345173963676741E-12</v>
      </c>
      <c r="DS80" s="59">
        <f t="shared" si="71"/>
        <v>269.51015922427331</v>
      </c>
      <c r="DT80" s="59">
        <f ca="1">AVERAGE(OFFSET($DS$3,0,0,'Données projet'!$E$14+1,1))-AVERAGE(OFFSET($H$3,0,0,'Données projet'!$E$14+1,1))</f>
        <v>243.65374431792841</v>
      </c>
      <c r="DU80" s="59">
        <f t="shared" si="98"/>
        <v>271.60754570002939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42.514835911986566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42.514835911986566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6</v>
      </c>
      <c r="EJ80" s="12">
        <f>IF('Données projet'!$A$192&gt;35,EJ79+EI80-ER79,IF(A80&lt;'Données projet'!$A$192,$EG$205^A80,IF(A80='Données projet'!$A$192,'Données projet'!$B$192,EJ79+EI80-ER79)))</f>
        <v>242.99999999999994</v>
      </c>
      <c r="EK80" s="17">
        <f>EJ80*VLOOKUP('Données projet'!$B$15,Paramètres!$A$1:$I$89,3,0)*VLOOKUP('Données projet'!$B$15,Paramètres!$A$1:$I$89,5,0)</f>
        <v>163.00439999999998</v>
      </c>
      <c r="EL80" s="13">
        <f t="shared" si="99"/>
        <v>41.519430766049162</v>
      </c>
      <c r="EM80" s="20">
        <f t="shared" si="73"/>
        <v>356.2123385842022</v>
      </c>
      <c r="EN80" s="59">
        <f t="shared" si="74"/>
        <v>625.72249780847449</v>
      </c>
      <c r="EO80" s="59">
        <f ca="1">AVERAGE(OFFSET($EN$3,0,0,'Données projet'!$E$15+1,1))-AVERAGE(OFFSET($H$3,0,0,'Données projet'!$E$15+1,1))</f>
        <v>321.44781099085594</v>
      </c>
      <c r="EP80" s="59">
        <f t="shared" si="100"/>
        <v>201.22243186578183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17.240960617684618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17.240960617684618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2.4</v>
      </c>
      <c r="FE80" s="12">
        <f>IF('Données projet'!$A$218&gt;35,FE79+FD80-FM79,IF(A80&lt;'Données projet'!$A$218,$FB$205^A80,IF(A80='Données projet'!$A$218,'Données projet'!$B$218,FE79+FD80-FM79)))</f>
        <v>211.8</v>
      </c>
      <c r="FF80" s="17">
        <f>FE80*VLOOKUP('Données projet'!$B$16,Paramètres!$A$1:$I$89,3,0)*VLOOKUP('Données projet'!$B$16,Paramètres!$A$1:$I$89,5,0)</f>
        <v>185.02848000000003</v>
      </c>
      <c r="FG80" s="13">
        <f t="shared" si="101"/>
        <v>46.43913001874585</v>
      </c>
      <c r="FH80" s="20">
        <f t="shared" si="76"/>
        <v>403.13942078264904</v>
      </c>
      <c r="FI80" s="59">
        <f t="shared" si="77"/>
        <v>672.64958000692127</v>
      </c>
      <c r="FJ80" s="59">
        <f ca="1">AVERAGE(OFFSET($FI$3,0,0,'Données projet'!$E$16+1,1))-AVERAGE(OFFSET($H$3,0,0,'Données projet'!$E$16+1,1))</f>
        <v>285.8437404763045</v>
      </c>
      <c r="FK80" s="59">
        <f t="shared" si="102"/>
        <v>276.01618888357268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12.840348131770908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12.840348131770908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2.8</v>
      </c>
      <c r="FZ80" s="12">
        <f>IF('Données projet'!$A$244&gt;35,FZ79+FY80-GH79,IF(A80&lt;'Données projet'!$A$244,$FW$205^A80,IF(A80='Données projet'!$A$244,'Données projet'!$B$244,FZ79+FY80-GH79)))</f>
        <v>266.5999999999998</v>
      </c>
      <c r="GA80" s="17">
        <f>FZ80*VLOOKUP('Données projet'!$B$17,Paramètres!$A$1:$I$89,3,0)*VLOOKUP('Données projet'!$B$17,Paramètres!$A$1:$I$89,5,0)</f>
        <v>212.10695999999984</v>
      </c>
      <c r="GB80" s="13">
        <f t="shared" si="103"/>
        <v>52.395741612408194</v>
      </c>
      <c r="GC80" s="20">
        <f t="shared" si="79"/>
        <v>460.67553864161067</v>
      </c>
      <c r="GD80" s="59">
        <f t="shared" si="80"/>
        <v>730.18569786588296</v>
      </c>
      <c r="GE80" s="59">
        <f ca="1">AVERAGE(OFFSET($GD$3,0,0,'Données projet'!$E$17+1,1))-AVERAGE(OFFSET($H$3,0,0,'Données projet'!$E$17+1,1))</f>
        <v>323.01113210765487</v>
      </c>
      <c r="GF80" s="59">
        <f t="shared" si="104"/>
        <v>311.68541696405975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15.051517667968913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15.051517667968913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2.4</v>
      </c>
      <c r="GU80" s="12">
        <f>IF('Données projet'!$A$270&gt;35,GU79+GT80-HC79,IF(A80&lt;'Données projet'!$A$270,$GR$205^A80,IF(A80='Données projet'!$A$270,'Données projet'!$B$270,GU79+GT80-HC79)))</f>
        <v>211.8</v>
      </c>
      <c r="GV80" s="17">
        <f>GU80*VLOOKUP('Données projet'!$B$18,Paramètres!$A$1:$I$89,3,0)*VLOOKUP('Données projet'!$B$18,Paramètres!$A$1:$I$89,5,0)</f>
        <v>185.02848000000003</v>
      </c>
      <c r="GW80" s="13">
        <f t="shared" si="105"/>
        <v>46.43913001874585</v>
      </c>
      <c r="GX80" s="20">
        <f t="shared" si="82"/>
        <v>403.13942078264904</v>
      </c>
      <c r="GY80" s="59">
        <f t="shared" si="83"/>
        <v>672.64958000692127</v>
      </c>
      <c r="GZ80" s="59">
        <f ca="1">AVERAGE(OFFSET($GY$3,0,0,'Données projet'!$E$18+1,1))-AVERAGE(OFFSET($H$3,0,0,'Données projet'!$E$18+1,1))</f>
        <v>285.8437404763045</v>
      </c>
      <c r="HA80" s="59">
        <f t="shared" si="106"/>
        <v>276.01618888357268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12.840348131770908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12.840348131770908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4.5999999999999996</v>
      </c>
      <c r="N81" s="13">
        <f>IF('Données projet'!$A$36&gt;35,N80+M81-V80,IF(A81&lt;'Données projet'!$A$36,$K$205^A81,IF(A81='Données projet'!$A$36,'Données projet'!$B$36,N80+M81-V80)))</f>
        <v>182.79999999999998</v>
      </c>
      <c r="O81" s="13">
        <f>N81*VLOOKUP('Données projet'!$B$9,Paramètres!$A$1:$I$89,3,0)*VLOOKUP('Données projet'!$B$9,Paramètres!$A$1:$I$89,5,0)</f>
        <v>165.39743999999999</v>
      </c>
      <c r="P81" s="13">
        <f t="shared" si="87"/>
        <v>42.057562385840804</v>
      </c>
      <c r="Q81" s="20">
        <f t="shared" si="54"/>
        <v>361.31746248867267</v>
      </c>
      <c r="R81" s="59">
        <f t="shared" si="55"/>
        <v>631.24090052309884</v>
      </c>
      <c r="S81" s="59">
        <f ca="1">AVERAGE(OFFSET($R$3,0,0,'Données projet'!$E$9+1,1))-AVERAGE(OFFSET($H$3,0,0,'Données projet'!$E$9+1,1))</f>
        <v>315.34103933739129</v>
      </c>
      <c r="T81" s="59">
        <f t="shared" si="88"/>
        <v>165.80901858372513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11.050326865566829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11.050326865566829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-3.4106051316484809E-13</v>
      </c>
      <c r="AJ81" s="13">
        <f>AI81*VLOOKUP('Données projet'!$B$10,Paramètres!$A$1:$I$89,3,0)*VLOOKUP('Données projet'!$B$10,Paramètres!$A$1:$I$89,5,0)</f>
        <v>-2.0395418687257919E-13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317.328615425664</v>
      </c>
      <c r="AO81" s="59">
        <f t="shared" si="90"/>
        <v>324.95872842255744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122.89699342964089</v>
      </c>
      <c r="AV81" s="21">
        <f>EXP(-LN(2)/25)*AV80+(1-EXP(-LN(2)/25))/(LN(2)/25)*Calculateur!AQ81*Calculateur!AS81*VLOOKUP('Données projet'!$B$10,Paramètres!$A$1:$I$89,3,0)*0.475*44/12</f>
        <v>20.543673434704356</v>
      </c>
      <c r="AW81" s="21">
        <f>EXP(-LN(2)/2)*AW80+(1-EXP(-LN(2)/2))/(LN(2)/2)*AQ81*AT81*VLOOKUP('Données projet'!$B$10,Paramètres!$A$1:$I$89,3,0)*0.475*44/12</f>
        <v>5.2533720397058857E-2</v>
      </c>
      <c r="AX81" s="21">
        <f t="shared" si="60"/>
        <v>143.49320058474231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-5.6843418860808015E-14</v>
      </c>
      <c r="BE81" s="13">
        <f>BD81*VLOOKUP('Données projet'!$B$11,Paramètres!$A$1:$I$89,3,0)*VLOOKUP('Données projet'!$B$11,Paramètres!$A$1:$I$89,5,0)</f>
        <v>-6.5483618527650828E-14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418.31716673276725</v>
      </c>
      <c r="BJ81" s="59">
        <f t="shared" si="92"/>
        <v>472.37891533957929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95.88112714654298</v>
      </c>
      <c r="BQ81" s="21">
        <f>EXP(-LN(2)/25)*BQ80+(1-EXP(-LN(2)/25))/(LN(2)/25)*Calculateur!BL81*Calculateur!BN81*VLOOKUP('Données projet'!$B$11,Paramètres!$A$1:$I$89,3,0)*0.475*44/12</f>
        <v>18.74026093228877</v>
      </c>
      <c r="BR81" s="21">
        <f>EXP(-LN(2)/2)*BR80+(1-EXP(-LN(2)/2))/(LN(2)/2)*BL81*BO81*VLOOKUP('Données projet'!$B$11,Paramètres!$A$1:$I$89,3,0)*0.475*44/12</f>
        <v>8.1479349874996068E-2</v>
      </c>
      <c r="BS81" s="22">
        <f t="shared" si="63"/>
        <v>114.70286742870675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3.3950000000000009</v>
      </c>
      <c r="BY81" s="12">
        <f>IF('Données projet'!$A$114&gt;35,BY80+BX81-CG80,IF(A81&lt;'Données projet'!$A$114,$BV$205^A81,IF(A81='Données projet'!$A$114,'Données projet'!$B$114,BY80+BX81-CG80)))</f>
        <v>119.43000000000013</v>
      </c>
      <c r="BZ81" s="13">
        <f>BY81*VLOOKUP('Données projet'!$B$12,Paramètres!$A$1:$I$89,3,0)*VLOOKUP('Données projet'!$B$12,Paramètres!$A$1:$I$89,5,0)</f>
        <v>69.866550000000089</v>
      </c>
      <c r="CA81" s="13">
        <f t="shared" si="93"/>
        <v>19.640313553340775</v>
      </c>
      <c r="CB81" s="20">
        <f t="shared" si="64"/>
        <v>155.89112068873536</v>
      </c>
      <c r="CC81" s="59">
        <f t="shared" si="65"/>
        <v>425.81455872316155</v>
      </c>
      <c r="CD81" s="59">
        <f ca="1">AVERAGE(OFFSET($CC$3,0,0,'Données projet'!$E$12+1,1))-AVERAGE(OFFSET($H$3,0,0,'Données projet'!$E$12+1,1))</f>
        <v>184.11352167663844</v>
      </c>
      <c r="CE81" s="59">
        <f t="shared" si="94"/>
        <v>145.86653500981791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27.70982725500836</v>
      </c>
      <c r="CL81" s="21">
        <f>EXP(-LN(2)/25)*CL80+(1-EXP(-LN(2)/25))/(LN(2)/25)*Calculateur!CG81*Calculateur!CI81*VLOOKUP('Données projet'!$B$12,Paramètres!$A$1:$I$89,3,0)*0.475*44/12</f>
        <v>12.868037370732766</v>
      </c>
      <c r="CM81" s="21">
        <f>EXP(-LN(2)/2)*CM80+(1-EXP(-LN(2)/2))/(LN(2)/2)*CG81*CJ81*VLOOKUP('Données projet'!$B$12,Paramètres!$A$1:$I$89,3,0)*0.475*44/12</f>
        <v>3.2327448597128932</v>
      </c>
      <c r="CN81" s="22">
        <f t="shared" si="66"/>
        <v>43.810609485454023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6.8914285714285644</v>
      </c>
      <c r="CT81" s="12">
        <f>IF('Données projet'!$A$140&gt;35,CT80+CS81-DB80,IF(A81&lt;'Données projet'!$A$140,$CQ$205^A81,IF(A81='Données projet'!$A$140,'Données projet'!$B$140,CT80+CS81-DB80)))</f>
        <v>290.64428571428567</v>
      </c>
      <c r="CU81" s="17">
        <f>CT81*VLOOKUP('Données projet'!$B$13,Paramètres!$A$1:$I$89,3,0)*VLOOKUP('Données projet'!$B$13,Paramètres!$A$1:$I$89,5,0)</f>
        <v>139.79990142857142</v>
      </c>
      <c r="CV81" s="13">
        <f t="shared" si="95"/>
        <v>36.25116190701246</v>
      </c>
      <c r="CW81" s="20">
        <f t="shared" si="67"/>
        <v>306.62226864280859</v>
      </c>
      <c r="CX81" s="59">
        <f t="shared" si="68"/>
        <v>576.54570667723488</v>
      </c>
      <c r="CY81" s="59">
        <f ca="1">AVERAGE(OFFSET($CX$3,0,0,'Données projet'!$E$13+1,1))-AVERAGE(OFFSET($H$3,0,0,'Données projet'!$E$13+1,1))</f>
        <v>303.76035885073708</v>
      </c>
      <c r="CZ81" s="59">
        <f t="shared" si="96"/>
        <v>127.43112562890414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17.604245798497512</v>
      </c>
      <c r="DH81" s="21">
        <f>EXP(-LN(2)/2)*DH80+(1-EXP(-LN(2)/2))/(LN(2)/2)*DB81*DE81*VLOOKUP('Données projet'!$B$13,Paramètres!$A$1:$I$89,3,0)*0.475*44/12</f>
        <v>0.64599349769663361</v>
      </c>
      <c r="DI81" s="22">
        <f t="shared" si="69"/>
        <v>18.250239296194145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5.6843418860808015E-14</v>
      </c>
      <c r="DP81" s="17">
        <f>DO81*VLOOKUP('Données projet'!$B$14,Paramètres!$A$1:$I$89,3,0)*VLOOKUP('Données projet'!$B$14,Paramètres!$A$1:$I$89,5,0)</f>
        <v>3.2810021366458389E-14</v>
      </c>
      <c r="DQ81" s="13">
        <f t="shared" si="97"/>
        <v>5.6117125884464641E-13</v>
      </c>
      <c r="DR81" s="20">
        <f t="shared" si="70"/>
        <v>1.0345173963676741E-12</v>
      </c>
      <c r="DS81" s="59">
        <f t="shared" si="71"/>
        <v>269.92343803442725</v>
      </c>
      <c r="DT81" s="59">
        <f ca="1">AVERAGE(OFFSET($DS$3,0,0,'Données projet'!$E$14+1,1))-AVERAGE(OFFSET($H$3,0,0,'Données projet'!$E$14+1,1))</f>
        <v>243.65374431792841</v>
      </c>
      <c r="DU81" s="59">
        <f t="shared" si="98"/>
        <v>271.60754570002939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41.681145911241892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41.681145911241892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6</v>
      </c>
      <c r="EJ81" s="12">
        <f>IF('Données projet'!$A$192&gt;35,EJ80+EI81-ER80,IF(A81&lt;'Données projet'!$A$192,$EG$205^A81,IF(A81='Données projet'!$A$192,'Données projet'!$B$192,EJ80+EI81-ER80)))</f>
        <v>248.99999999999994</v>
      </c>
      <c r="EK81" s="17">
        <f>EJ81*VLOOKUP('Données projet'!$B$15,Paramètres!$A$1:$I$89,3,0)*VLOOKUP('Données projet'!$B$15,Paramètres!$A$1:$I$89,5,0)</f>
        <v>167.02919999999997</v>
      </c>
      <c r="EL81" s="13">
        <f t="shared" si="99"/>
        <v>42.423982056168654</v>
      </c>
      <c r="EM81" s="20">
        <f t="shared" si="73"/>
        <v>364.79762541449367</v>
      </c>
      <c r="EN81" s="59">
        <f t="shared" si="74"/>
        <v>634.72106344891995</v>
      </c>
      <c r="EO81" s="59">
        <f ca="1">AVERAGE(OFFSET($EN$3,0,0,'Données projet'!$E$15+1,1))-AVERAGE(OFFSET($H$3,0,0,'Données projet'!$E$15+1,1))</f>
        <v>321.44781099085594</v>
      </c>
      <c r="EP81" s="59">
        <f t="shared" si="100"/>
        <v>201.22243186578183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16.902875895919436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16.902875895919436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2.4</v>
      </c>
      <c r="FE81" s="12">
        <f>IF('Données projet'!$A$218&gt;35,FE80+FD81-FM80,IF(A81&lt;'Données projet'!$A$218,$FB$205^A81,IF(A81='Données projet'!$A$218,'Données projet'!$B$218,FE80+FD81-FM80)))</f>
        <v>214.20000000000002</v>
      </c>
      <c r="FF81" s="17">
        <f>FE81*VLOOKUP('Données projet'!$B$16,Paramètres!$A$1:$I$89,3,0)*VLOOKUP('Données projet'!$B$16,Paramètres!$A$1:$I$89,5,0)</f>
        <v>187.12512000000004</v>
      </c>
      <c r="FG81" s="13">
        <f t="shared" si="101"/>
        <v>46.903794805770545</v>
      </c>
      <c r="FH81" s="20">
        <f t="shared" si="76"/>
        <v>407.60035995338376</v>
      </c>
      <c r="FI81" s="59">
        <f t="shared" si="77"/>
        <v>677.52379798780998</v>
      </c>
      <c r="FJ81" s="59">
        <f ca="1">AVERAGE(OFFSET($FI$3,0,0,'Données projet'!$E$16+1,1))-AVERAGE(OFFSET($H$3,0,0,'Données projet'!$E$16+1,1))</f>
        <v>285.8437404763045</v>
      </c>
      <c r="FK81" s="59">
        <f t="shared" si="102"/>
        <v>276.01618888357268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12.588556736745911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12.588556736745911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2.8</v>
      </c>
      <c r="FZ81" s="12">
        <f>IF('Données projet'!$A$244&gt;35,FZ80+FY81-GH80,IF(A81&lt;'Données projet'!$A$244,$FW$205^A81,IF(A81='Données projet'!$A$244,'Données projet'!$B$244,FZ80+FY81-GH80)))</f>
        <v>269.39999999999981</v>
      </c>
      <c r="GA81" s="17">
        <f>FZ81*VLOOKUP('Données projet'!$B$17,Paramètres!$A$1:$I$89,3,0)*VLOOKUP('Données projet'!$B$17,Paramètres!$A$1:$I$89,5,0)</f>
        <v>214.33463999999984</v>
      </c>
      <c r="GB81" s="13">
        <f t="shared" si="103"/>
        <v>52.881684324030282</v>
      </c>
      <c r="GC81" s="20">
        <f t="shared" si="79"/>
        <v>465.40176486435234</v>
      </c>
      <c r="GD81" s="59">
        <f t="shared" si="80"/>
        <v>735.32520289877857</v>
      </c>
      <c r="GE81" s="59">
        <f ca="1">AVERAGE(OFFSET($GD$3,0,0,'Données projet'!$E$17+1,1))-AVERAGE(OFFSET($H$3,0,0,'Données projet'!$E$17+1,1))</f>
        <v>323.01113210765487</v>
      </c>
      <c r="GF81" s="59">
        <f t="shared" si="104"/>
        <v>311.68541696405975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14.756366587019318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14.756366587019318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2.4</v>
      </c>
      <c r="GU81" s="12">
        <f>IF('Données projet'!$A$270&gt;35,GU80+GT81-HC80,IF(A81&lt;'Données projet'!$A$270,$GR$205^A81,IF(A81='Données projet'!$A$270,'Données projet'!$B$270,GU80+GT81-HC80)))</f>
        <v>214.20000000000002</v>
      </c>
      <c r="GV81" s="17">
        <f>GU81*VLOOKUP('Données projet'!$B$18,Paramètres!$A$1:$I$89,3,0)*VLOOKUP('Données projet'!$B$18,Paramètres!$A$1:$I$89,5,0)</f>
        <v>187.12512000000004</v>
      </c>
      <c r="GW81" s="13">
        <f t="shared" si="105"/>
        <v>46.903794805770545</v>
      </c>
      <c r="GX81" s="20">
        <f t="shared" si="82"/>
        <v>407.60035995338376</v>
      </c>
      <c r="GY81" s="59">
        <f t="shared" si="83"/>
        <v>677.52379798780998</v>
      </c>
      <c r="GZ81" s="59">
        <f ca="1">AVERAGE(OFFSET($GY$3,0,0,'Données projet'!$E$18+1,1))-AVERAGE(OFFSET($H$3,0,0,'Données projet'!$E$18+1,1))</f>
        <v>285.8437404763045</v>
      </c>
      <c r="HA81" s="59">
        <f t="shared" si="106"/>
        <v>276.01618888357268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12.588556736745911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12.588556736745911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4.5999999999999996</v>
      </c>
      <c r="N82" s="13">
        <f>IF('Données projet'!$A$36&gt;35,N81+M82-V81,IF(A82&lt;'Données projet'!$A$36,$K$205^A82,IF(A82='Données projet'!$A$36,'Données projet'!$B$36,N81+M82-V81)))</f>
        <v>187.39999999999998</v>
      </c>
      <c r="O82" s="13">
        <f>N82*VLOOKUP('Données projet'!$B$9,Paramètres!$A$1:$I$89,3,0)*VLOOKUP('Données projet'!$B$9,Paramètres!$A$1:$I$89,5,0)</f>
        <v>169.55951999999996</v>
      </c>
      <c r="P82" s="13">
        <f t="shared" si="87"/>
        <v>42.991355826984922</v>
      </c>
      <c r="Q82" s="20">
        <f t="shared" si="54"/>
        <v>370.19277539866533</v>
      </c>
      <c r="R82" s="59">
        <f t="shared" si="55"/>
        <v>640.52232277984228</v>
      </c>
      <c r="S82" s="59">
        <f ca="1">AVERAGE(OFFSET($R$3,0,0,'Données projet'!$E$9+1,1))-AVERAGE(OFFSET($H$3,0,0,'Données projet'!$E$9+1,1))</f>
        <v>315.34103933739129</v>
      </c>
      <c r="T82" s="59">
        <f t="shared" si="88"/>
        <v>165.80901858372513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10.833636695766929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10.833636695766929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-3.4106051316484809E-13</v>
      </c>
      <c r="AJ82" s="13">
        <f>AI82*VLOOKUP('Données projet'!$B$10,Paramètres!$A$1:$I$89,3,0)*VLOOKUP('Données projet'!$B$10,Paramètres!$A$1:$I$89,5,0)</f>
        <v>-2.0395418687257919E-13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317.328615425664</v>
      </c>
      <c r="AO82" s="59">
        <f t="shared" si="90"/>
        <v>324.95872842255744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120.48705834824996</v>
      </c>
      <c r="AV82" s="21">
        <f>EXP(-LN(2)/25)*AV81+(1-EXP(-LN(2)/25))/(LN(2)/25)*Calculateur!AQ82*Calculateur!AS82*VLOOKUP('Données projet'!$B$10,Paramètres!$A$1:$I$89,3,0)*0.475*44/12</f>
        <v>19.981905604287533</v>
      </c>
      <c r="AW82" s="21">
        <f>EXP(-LN(2)/2)*AW81+(1-EXP(-LN(2)/2))/(LN(2)/2)*AQ82*AT82*VLOOKUP('Données projet'!$B$10,Paramètres!$A$1:$I$89,3,0)*0.475*44/12</f>
        <v>3.7146949933718365E-2</v>
      </c>
      <c r="AX82" s="21">
        <f t="shared" si="60"/>
        <v>140.50611090247119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-5.6843418860808015E-14</v>
      </c>
      <c r="BE82" s="13">
        <f>BD82*VLOOKUP('Données projet'!$B$11,Paramètres!$A$1:$I$89,3,0)*VLOOKUP('Données projet'!$B$11,Paramètres!$A$1:$I$89,5,0)</f>
        <v>-6.5483618527650828E-14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418.31716673276725</v>
      </c>
      <c r="BJ82" s="59">
        <f t="shared" si="92"/>
        <v>472.37891533957929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94.000956724912243</v>
      </c>
      <c r="BQ82" s="21">
        <f>EXP(-LN(2)/25)*BQ81+(1-EXP(-LN(2)/25))/(LN(2)/25)*Calculateur!BL82*Calculateur!BN82*VLOOKUP('Données projet'!$B$11,Paramètres!$A$1:$I$89,3,0)*0.475*44/12</f>
        <v>18.227807511587841</v>
      </c>
      <c r="BR82" s="21">
        <f>EXP(-LN(2)/2)*BR81+(1-EXP(-LN(2)/2))/(LN(2)/2)*BL82*BO82*VLOOKUP('Données projet'!$B$11,Paramètres!$A$1:$I$89,3,0)*0.475*44/12</f>
        <v>5.7614600823280994E-2</v>
      </c>
      <c r="BS82" s="22">
        <f t="shared" si="63"/>
        <v>112.28637883732337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3.3950000000000009</v>
      </c>
      <c r="BY82" s="12">
        <f>IF('Données projet'!$A$114&gt;35,BY81+BX82-CG81,IF(A82&lt;'Données projet'!$A$114,$BV$205^A82,IF(A82='Données projet'!$A$114,'Données projet'!$B$114,BY81+BX82-CG81)))</f>
        <v>122.82500000000013</v>
      </c>
      <c r="BZ82" s="13">
        <f>BY82*VLOOKUP('Données projet'!$B$12,Paramètres!$A$1:$I$89,3,0)*VLOOKUP('Données projet'!$B$12,Paramètres!$A$1:$I$89,5,0)</f>
        <v>71.852625000000074</v>
      </c>
      <c r="CA82" s="13">
        <f t="shared" si="93"/>
        <v>20.132827876277318</v>
      </c>
      <c r="CB82" s="20">
        <f t="shared" si="64"/>
        <v>160.20799709284978</v>
      </c>
      <c r="CC82" s="59">
        <f t="shared" si="65"/>
        <v>430.53754447402673</v>
      </c>
      <c r="CD82" s="59">
        <f ca="1">AVERAGE(OFFSET($CC$3,0,0,'Données projet'!$E$12+1,1))-AVERAGE(OFFSET($H$3,0,0,'Données projet'!$E$12+1,1))</f>
        <v>184.11352167663844</v>
      </c>
      <c r="CE82" s="59">
        <f t="shared" si="94"/>
        <v>145.86653500981791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27.166454443863405</v>
      </c>
      <c r="CL82" s="21">
        <f>EXP(-LN(2)/25)*CL81+(1-EXP(-LN(2)/25))/(LN(2)/25)*Calculateur!CG82*Calculateur!CI82*VLOOKUP('Données projet'!$B$12,Paramètres!$A$1:$I$89,3,0)*0.475*44/12</f>
        <v>12.516160212129403</v>
      </c>
      <c r="CM82" s="21">
        <f>EXP(-LN(2)/2)*CM81+(1-EXP(-LN(2)/2))/(LN(2)/2)*CG82*CJ82*VLOOKUP('Données projet'!$B$12,Paramètres!$A$1:$I$89,3,0)*0.475*44/12</f>
        <v>2.285895812148941</v>
      </c>
      <c r="CN82" s="22">
        <f t="shared" si="66"/>
        <v>41.968510468141751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6.8914285714285644</v>
      </c>
      <c r="CT82" s="12">
        <f>IF('Données projet'!$A$140&gt;35,CT81+CS82-DB81,IF(A82&lt;'Données projet'!$A$140,$CQ$205^A82,IF(A82='Données projet'!$A$140,'Données projet'!$B$140,CT81+CS82-DB81)))</f>
        <v>297.53571428571422</v>
      </c>
      <c r="CU82" s="17">
        <f>CT82*VLOOKUP('Données projet'!$B$13,Paramètres!$A$1:$I$89,3,0)*VLOOKUP('Données projet'!$B$13,Paramètres!$A$1:$I$89,5,0)</f>
        <v>143.11467857142853</v>
      </c>
      <c r="CV82" s="13">
        <f t="shared" si="95"/>
        <v>37.00961828894804</v>
      </c>
      <c r="CW82" s="20">
        <f t="shared" si="67"/>
        <v>313.71648369848918</v>
      </c>
      <c r="CX82" s="59">
        <f t="shared" si="68"/>
        <v>584.04603107966614</v>
      </c>
      <c r="CY82" s="59">
        <f ca="1">AVERAGE(OFFSET($CX$3,0,0,'Données projet'!$E$13+1,1))-AVERAGE(OFFSET($H$3,0,0,'Données projet'!$E$13+1,1))</f>
        <v>303.76035885073708</v>
      </c>
      <c r="CZ82" s="59">
        <f t="shared" si="96"/>
        <v>127.43112562890414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17.122856771370547</v>
      </c>
      <c r="DH82" s="21">
        <f>EXP(-LN(2)/2)*DH81+(1-EXP(-LN(2)/2))/(LN(2)/2)*DB82*DE82*VLOOKUP('Données projet'!$B$13,Paramètres!$A$1:$I$89,3,0)*0.475*44/12</f>
        <v>0.45678638282370604</v>
      </c>
      <c r="DI82" s="22">
        <f t="shared" si="69"/>
        <v>17.579643154194251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5.6843418860808015E-14</v>
      </c>
      <c r="DP82" s="17">
        <f>DO82*VLOOKUP('Données projet'!$B$14,Paramètres!$A$1:$I$89,3,0)*VLOOKUP('Données projet'!$B$14,Paramètres!$A$1:$I$89,5,0)</f>
        <v>3.2810021366458389E-14</v>
      </c>
      <c r="DQ82" s="13">
        <f t="shared" si="97"/>
        <v>5.6117125884464641E-13</v>
      </c>
      <c r="DR82" s="20">
        <f t="shared" si="70"/>
        <v>1.0345173963676741E-12</v>
      </c>
      <c r="DS82" s="59">
        <f t="shared" si="71"/>
        <v>270.32954738117797</v>
      </c>
      <c r="DT82" s="59">
        <f ca="1">AVERAGE(OFFSET($DS$3,0,0,'Données projet'!$E$14+1,1))-AVERAGE(OFFSET($H$3,0,0,'Données projet'!$E$14+1,1))</f>
        <v>243.65374431792841</v>
      </c>
      <c r="DU82" s="59">
        <f t="shared" si="98"/>
        <v>271.60754570002939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40.863804062911136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40.863804062911136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6</v>
      </c>
      <c r="EJ82" s="12">
        <f>IF('Données projet'!$A$192&gt;35,EJ81+EI82-ER81,IF(A82&lt;'Données projet'!$A$192,$EG$205^A82,IF(A82='Données projet'!$A$192,'Données projet'!$B$192,EJ81+EI82-ER81)))</f>
        <v>254.99999999999994</v>
      </c>
      <c r="EK82" s="17">
        <f>EJ82*VLOOKUP('Données projet'!$B$15,Paramètres!$A$1:$I$89,3,0)*VLOOKUP('Données projet'!$B$15,Paramètres!$A$1:$I$89,5,0)</f>
        <v>171.05399999999997</v>
      </c>
      <c r="EL82" s="13">
        <f t="shared" si="99"/>
        <v>43.32599953897904</v>
      </c>
      <c r="EM82" s="20">
        <f t="shared" si="73"/>
        <v>373.37849919705508</v>
      </c>
      <c r="EN82" s="59">
        <f t="shared" si="74"/>
        <v>643.70804657823203</v>
      </c>
      <c r="EO82" s="59">
        <f ca="1">AVERAGE(OFFSET($EN$3,0,0,'Données projet'!$E$15+1,1))-AVERAGE(OFFSET($H$3,0,0,'Données projet'!$E$15+1,1))</f>
        <v>321.44781099085594</v>
      </c>
      <c r="EP82" s="59">
        <f t="shared" si="100"/>
        <v>201.22243186578183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16.57142080933675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16.57142080933675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2.4</v>
      </c>
      <c r="FE82" s="12">
        <f>IF('Données projet'!$A$218&gt;35,FE81+FD82-FM81,IF(A82&lt;'Données projet'!$A$218,$FB$205^A82,IF(A82='Données projet'!$A$218,'Données projet'!$B$218,FE81+FD82-FM81)))</f>
        <v>216.60000000000002</v>
      </c>
      <c r="FF82" s="17">
        <f>FE82*VLOOKUP('Données projet'!$B$16,Paramètres!$A$1:$I$89,3,0)*VLOOKUP('Données projet'!$B$16,Paramètres!$A$1:$I$89,5,0)</f>
        <v>189.22176000000005</v>
      </c>
      <c r="FG82" s="13">
        <f t="shared" si="101"/>
        <v>47.367853957810077</v>
      </c>
      <c r="FH82" s="20">
        <f t="shared" si="76"/>
        <v>412.06024430985258</v>
      </c>
      <c r="FI82" s="59">
        <f t="shared" si="77"/>
        <v>682.38979169102959</v>
      </c>
      <c r="FJ82" s="59">
        <f ca="1">AVERAGE(OFFSET($FI$3,0,0,'Données projet'!$E$16+1,1))-AVERAGE(OFFSET($H$3,0,0,'Données projet'!$E$16+1,1))</f>
        <v>285.8437404763045</v>
      </c>
      <c r="FK82" s="59">
        <f t="shared" si="102"/>
        <v>276.01618888357268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12.341702817399767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12.341702817399767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2.8</v>
      </c>
      <c r="FZ82" s="12">
        <f>IF('Données projet'!$A$244&gt;35,FZ81+FY82-GH81,IF(A82&lt;'Données projet'!$A$244,$FW$205^A82,IF(A82='Données projet'!$A$244,'Données projet'!$B$244,FZ81+FY82-GH81)))</f>
        <v>272.19999999999982</v>
      </c>
      <c r="GA82" s="17">
        <f>FZ82*VLOOKUP('Données projet'!$B$17,Paramètres!$A$1:$I$89,3,0)*VLOOKUP('Données projet'!$B$17,Paramètres!$A$1:$I$89,5,0)</f>
        <v>216.56231999999989</v>
      </c>
      <c r="GB82" s="13">
        <f t="shared" si="103"/>
        <v>53.367039486661959</v>
      </c>
      <c r="GC82" s="20">
        <f t="shared" si="79"/>
        <v>470.12696777260271</v>
      </c>
      <c r="GD82" s="59">
        <f t="shared" si="80"/>
        <v>740.45651515377972</v>
      </c>
      <c r="GE82" s="59">
        <f ca="1">AVERAGE(OFFSET($GD$3,0,0,'Données projet'!$E$17+1,1))-AVERAGE(OFFSET($H$3,0,0,'Données projet'!$E$17+1,1))</f>
        <v>323.01113210765487</v>
      </c>
      <c r="GF82" s="59">
        <f t="shared" si="104"/>
        <v>311.68541696405975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14.467003238742763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14.467003238742763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2.4</v>
      </c>
      <c r="GU82" s="12">
        <f>IF('Données projet'!$A$270&gt;35,GU81+GT82-HC81,IF(A82&lt;'Données projet'!$A$270,$GR$205^A82,IF(A82='Données projet'!$A$270,'Données projet'!$B$270,GU81+GT82-HC81)))</f>
        <v>216.60000000000002</v>
      </c>
      <c r="GV82" s="17">
        <f>GU82*VLOOKUP('Données projet'!$B$18,Paramètres!$A$1:$I$89,3,0)*VLOOKUP('Données projet'!$B$18,Paramètres!$A$1:$I$89,5,0)</f>
        <v>189.22176000000005</v>
      </c>
      <c r="GW82" s="13">
        <f t="shared" si="105"/>
        <v>47.367853957810077</v>
      </c>
      <c r="GX82" s="20">
        <f t="shared" si="82"/>
        <v>412.06024430985258</v>
      </c>
      <c r="GY82" s="59">
        <f t="shared" si="83"/>
        <v>682.38979169102959</v>
      </c>
      <c r="GZ82" s="59">
        <f ca="1">AVERAGE(OFFSET($GY$3,0,0,'Données projet'!$E$18+1,1))-AVERAGE(OFFSET($H$3,0,0,'Données projet'!$E$18+1,1))</f>
        <v>285.8437404763045</v>
      </c>
      <c r="HA82" s="59">
        <f t="shared" si="106"/>
        <v>276.01618888357268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12.341702817399767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12.341702817399767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192</v>
      </c>
      <c r="L83" s="12">
        <f>VLOOKUP(A83,'Données projet'!$A$35:$I$55,9,0)</f>
        <v>4.5999999999999996</v>
      </c>
      <c r="M83" s="12">
        <f t="array" ref="M83">INDEX(L:L,MIN(IF(ISNUMBER(L83:L279),ROW(L83:L279),"")))</f>
        <v>4.5999999999999996</v>
      </c>
      <c r="N83" s="13">
        <f>IF('Données projet'!$A$36&gt;35,N82+M83-V82,IF(A83&lt;'Données projet'!$A$36,$K$205^A83,IF(A83='Données projet'!$A$36,'Données projet'!$B$36,N82+M83-V82)))</f>
        <v>191.99999999999997</v>
      </c>
      <c r="O83" s="13">
        <f>N83*VLOOKUP('Données projet'!$B$9,Paramètres!$A$1:$I$89,3,0)*VLOOKUP('Données projet'!$B$9,Paramètres!$A$1:$I$89,5,0)</f>
        <v>173.72159999999997</v>
      </c>
      <c r="P83" s="13">
        <f t="shared" si="87"/>
        <v>43.922484755075111</v>
      </c>
      <c r="Q83" s="20">
        <f t="shared" si="54"/>
        <v>379.06344761508905</v>
      </c>
      <c r="R83" s="59">
        <f t="shared" si="55"/>
        <v>649.79205925377516</v>
      </c>
      <c r="S83" s="59">
        <f ca="1">AVERAGE(OFFSET($R$3,0,0,'Données projet'!$E$9+1,1))-AVERAGE(OFFSET($H$3,0,0,'Données projet'!$E$9+1,1))</f>
        <v>315.34103933739129</v>
      </c>
      <c r="T83" s="59">
        <f t="shared" si="88"/>
        <v>165.80901858372513</v>
      </c>
      <c r="U83" s="15">
        <f>IF(ISNA(VLOOKUP(A83,'Données projet'!$A$35:$I$55,3,0)),0,VLOOKUP(A83,'Données projet'!$A$35:$I$55,3,0))</f>
        <v>12</v>
      </c>
      <c r="V83" s="15">
        <f>IF(ISNA(VLOOKUP(A83,'Données projet'!$A$35:$I$55,4,0)),0,VLOOKUP(A83,'Données projet'!$A$35:$I$55,4,0))</f>
        <v>14</v>
      </c>
      <c r="W83" s="16">
        <f>IF(ISNA(VLOOKUP(A83,'Données projet'!$A$35:$I$55,5,0)),0%,VLOOKUP(A83,'Données projet'!$A$35:$I$55,5,0)*VLOOKUP('Données projet'!$B$9,Paramètres!$A$1:$I$89,7,0))</f>
        <v>0.215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13.631886782227106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13.631886782227106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-3.4106051316484809E-13</v>
      </c>
      <c r="AJ83" s="13">
        <f>AI83*VLOOKUP('Données projet'!$B$10,Paramètres!$A$1:$I$89,3,0)*VLOOKUP('Données projet'!$B$10,Paramètres!$A$1:$I$89,5,0)</f>
        <v>-2.0395418687257919E-13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317.328615425664</v>
      </c>
      <c r="AO83" s="59">
        <f t="shared" si="90"/>
        <v>324.95872842255744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118.12438062388985</v>
      </c>
      <c r="AV83" s="21">
        <f>EXP(-LN(2)/25)*AV82+(1-EXP(-LN(2)/25))/(LN(2)/25)*Calculateur!AQ83*Calculateur!AS83*VLOOKUP('Données projet'!$B$10,Paramètres!$A$1:$I$89,3,0)*0.475*44/12</f>
        <v>19.435499344735543</v>
      </c>
      <c r="AW83" s="21">
        <f>EXP(-LN(2)/2)*AW82+(1-EXP(-LN(2)/2))/(LN(2)/2)*AQ83*AT83*VLOOKUP('Données projet'!$B$10,Paramètres!$A$1:$I$89,3,0)*0.475*44/12</f>
        <v>2.6266860198529429E-2</v>
      </c>
      <c r="AX83" s="21">
        <f t="shared" si="60"/>
        <v>137.5861468288239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-5.6843418860808015E-14</v>
      </c>
      <c r="BE83" s="13">
        <f>BD83*VLOOKUP('Données projet'!$B$11,Paramètres!$A$1:$I$89,3,0)*VLOOKUP('Données projet'!$B$11,Paramètres!$A$1:$I$89,5,0)</f>
        <v>-6.5483618527650828E-14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418.31716673276725</v>
      </c>
      <c r="BJ83" s="59">
        <f t="shared" si="92"/>
        <v>472.37891533957929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92.157655298458963</v>
      </c>
      <c r="BQ83" s="21">
        <f>EXP(-LN(2)/25)*BQ82+(1-EXP(-LN(2)/25))/(LN(2)/25)*Calculateur!BL83*Calculateur!BN83*VLOOKUP('Données projet'!$B$11,Paramètres!$A$1:$I$89,3,0)*0.475*44/12</f>
        <v>17.729367156624736</v>
      </c>
      <c r="BR83" s="21">
        <f>EXP(-LN(2)/2)*BR82+(1-EXP(-LN(2)/2))/(LN(2)/2)*BL83*BO83*VLOOKUP('Données projet'!$B$11,Paramètres!$A$1:$I$89,3,0)*0.475*44/12</f>
        <v>4.0739674937498034E-2</v>
      </c>
      <c r="BS83" s="22">
        <f t="shared" si="63"/>
        <v>109.92776213002119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126.22</v>
      </c>
      <c r="BW83" s="12">
        <f>VLOOKUP(A83,'Données projet'!$A$113:$I$133,9,0)</f>
        <v>3.3950000000000009</v>
      </c>
      <c r="BX83" s="12">
        <f t="array" ref="BX83">INDEX(BW:BW,MIN(IF(ISNUMBER(BW83:BW279),ROW(BW83:BW279),"")))</f>
        <v>3.3950000000000009</v>
      </c>
      <c r="BY83" s="12">
        <f>IF('Données projet'!$A$114&gt;35,BY82+BX83-CG82,IF(A83&lt;'Données projet'!$A$114,$BV$205^A83,IF(A83='Données projet'!$A$114,'Données projet'!$B$114,BY82+BX83-CG82)))</f>
        <v>126.22000000000013</v>
      </c>
      <c r="BZ83" s="13">
        <f>BY83*VLOOKUP('Données projet'!$B$12,Paramètres!$A$1:$I$89,3,0)*VLOOKUP('Données projet'!$B$12,Paramètres!$A$1:$I$89,5,0)</f>
        <v>73.838700000000074</v>
      </c>
      <c r="CA83" s="13">
        <f t="shared" si="93"/>
        <v>20.623759913786621</v>
      </c>
      <c r="CB83" s="20">
        <f t="shared" si="64"/>
        <v>164.52211768317849</v>
      </c>
      <c r="CC83" s="59">
        <f t="shared" si="65"/>
        <v>435.25072932186458</v>
      </c>
      <c r="CD83" s="59">
        <f ca="1">AVERAGE(OFFSET($CC$3,0,0,'Données projet'!$E$12+1,1))-AVERAGE(OFFSET($H$3,0,0,'Données projet'!$E$12+1,1))</f>
        <v>184.11352167663844</v>
      </c>
      <c r="CE83" s="59">
        <f t="shared" si="94"/>
        <v>145.86653500981791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0.27</v>
      </c>
      <c r="CI83" s="16">
        <f>IF(ISNA(VLOOKUP(A83,'Données projet'!$A$113:$I$133,6,0)),0%,VLOOKUP(A83,'Données projet'!$A$113:$I$133,6,0)*VLOOKUP('Données projet'!$B$12,Paramètres!$A$1:$I$89,7,0))</f>
        <v>9.9000000000000005E-2</v>
      </c>
      <c r="CJ83" s="16">
        <f>IF(ISNA(VLOOKUP(A83,'Données projet'!$A$113:$I$133,7,0)),0%,VLOOKUP(A83,'Données projet'!$A$113:$I$133,7,0))</f>
        <v>0.18</v>
      </c>
      <c r="CK83" s="21">
        <f>EXP(-LN(2)/35)*CK82+(1-EXP(-LN(2)/35))/(LN(2)/35)*CG83*CH83*VLOOKUP('Données projet'!$B$12,Paramètres!$A$1:$I$89,3,0)*0.475*44/12</f>
        <v>26.633736842120314</v>
      </c>
      <c r="CL83" s="21">
        <f>EXP(-LN(2)/25)*CL82+(1-EXP(-LN(2)/25))/(LN(2)/25)*Calculateur!CG83*Calculateur!CI83*VLOOKUP('Données projet'!$B$12,Paramètres!$A$1:$I$89,3,0)*0.475*44/12</f>
        <v>12.173905152932464</v>
      </c>
      <c r="CM83" s="21">
        <f>EXP(-LN(2)/2)*CM82+(1-EXP(-LN(2)/2))/(LN(2)/2)*CG83*CJ83*VLOOKUP('Données projet'!$B$12,Paramètres!$A$1:$I$89,3,0)*0.475*44/12</f>
        <v>1.6163724298564466</v>
      </c>
      <c r="CN83" s="22">
        <f t="shared" si="66"/>
        <v>40.424014424909224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6.8914285714285644</v>
      </c>
      <c r="CT83" s="12">
        <f>IF('Données projet'!$A$140&gt;35,CT82+CS83-DB82,IF(A83&lt;'Données projet'!$A$140,$CQ$205^A83,IF(A83='Données projet'!$A$140,'Données projet'!$B$140,CT82+CS83-DB82)))</f>
        <v>304.42714285714277</v>
      </c>
      <c r="CU83" s="17">
        <f>CT83*VLOOKUP('Données projet'!$B$13,Paramètres!$A$1:$I$89,3,0)*VLOOKUP('Données projet'!$B$13,Paramètres!$A$1:$I$89,5,0)</f>
        <v>146.42945571428567</v>
      </c>
      <c r="CV83" s="13">
        <f t="shared" si="95"/>
        <v>37.766032418146111</v>
      </c>
      <c r="CW83" s="20">
        <f t="shared" si="67"/>
        <v>320.80714183065197</v>
      </c>
      <c r="CX83" s="59">
        <f t="shared" si="68"/>
        <v>591.53575346933803</v>
      </c>
      <c r="CY83" s="59">
        <f ca="1">AVERAGE(OFFSET($CX$3,0,0,'Données projet'!$E$13+1,1))-AVERAGE(OFFSET($H$3,0,0,'Données projet'!$E$13+1,1))</f>
        <v>303.76035885073708</v>
      </c>
      <c r="CZ83" s="59">
        <f t="shared" si="96"/>
        <v>127.43112562890414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16.654631352505515</v>
      </c>
      <c r="DH83" s="21">
        <f>EXP(-LN(2)/2)*DH82+(1-EXP(-LN(2)/2))/(LN(2)/2)*DB83*DE83*VLOOKUP('Données projet'!$B$13,Paramètres!$A$1:$I$89,3,0)*0.475*44/12</f>
        <v>0.32299674884831686</v>
      </c>
      <c r="DI83" s="22">
        <f t="shared" si="69"/>
        <v>16.977628101353833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5.6843418860808015E-14</v>
      </c>
      <c r="DP83" s="17">
        <f>DO83*VLOOKUP('Données projet'!$B$14,Paramètres!$A$1:$I$89,3,0)*VLOOKUP('Données projet'!$B$14,Paramètres!$A$1:$I$89,5,0)</f>
        <v>3.2810021366458389E-14</v>
      </c>
      <c r="DQ83" s="13">
        <f t="shared" si="97"/>
        <v>5.6117125884464641E-13</v>
      </c>
      <c r="DR83" s="20">
        <f t="shared" si="70"/>
        <v>1.0345173963676741E-12</v>
      </c>
      <c r="DS83" s="59">
        <f t="shared" si="71"/>
        <v>270.72861163868714</v>
      </c>
      <c r="DT83" s="59">
        <f ca="1">AVERAGE(OFFSET($DS$3,0,0,'Données projet'!$E$14+1,1))-AVERAGE(OFFSET($H$3,0,0,'Données projet'!$E$14+1,1))</f>
        <v>243.65374431792841</v>
      </c>
      <c r="DU83" s="59">
        <f t="shared" si="98"/>
        <v>271.60754570002939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40.062489789696841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40.062489789696841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261</v>
      </c>
      <c r="EH83" s="12">
        <f>VLOOKUP(A83,'Données projet'!$A$191:$I$211,9,0)</f>
        <v>6</v>
      </c>
      <c r="EI83" s="12">
        <f t="array" ref="EI83">INDEX(EH:EH,MIN(IF(ISNUMBER(EH83:EH279),ROW(EH83:EH279),"")))</f>
        <v>6</v>
      </c>
      <c r="EJ83" s="12">
        <f>IF('Données projet'!$A$192&gt;35,EJ82+EI83-ER82,IF(A83&lt;'Données projet'!$A$192,$EG$205^A83,IF(A83='Données projet'!$A$192,'Données projet'!$B$192,EJ82+EI83-ER82)))</f>
        <v>260.99999999999994</v>
      </c>
      <c r="EK83" s="17">
        <f>EJ83*VLOOKUP('Données projet'!$B$15,Paramètres!$A$1:$I$89,3,0)*VLOOKUP('Données projet'!$B$15,Paramètres!$A$1:$I$89,5,0)</f>
        <v>175.07879999999997</v>
      </c>
      <c r="EL83" s="13">
        <f t="shared" si="99"/>
        <v>44.225549694464867</v>
      </c>
      <c r="EM83" s="20">
        <f t="shared" si="73"/>
        <v>381.95507571785964</v>
      </c>
      <c r="EN83" s="59">
        <f t="shared" si="74"/>
        <v>652.68368735654576</v>
      </c>
      <c r="EO83" s="59">
        <f ca="1">AVERAGE(OFFSET($EN$3,0,0,'Données projet'!$E$15+1,1))-AVERAGE(OFFSET($H$3,0,0,'Données projet'!$E$15+1,1))</f>
        <v>321.44781099085594</v>
      </c>
      <c r="EP83" s="59">
        <f t="shared" si="100"/>
        <v>201.22243186578183</v>
      </c>
      <c r="EQ83" s="15">
        <f>IF(ISNA(VLOOKUP(A83,'Données projet'!$A$191:$I$211,3,0)),0,VLOOKUP(A83,'Données projet'!$A$191:$I$211,3,0))</f>
        <v>13</v>
      </c>
      <c r="ER83" s="15">
        <f>IF(ISNA(VLOOKUP(A83,'Données projet'!$A$191:$I$211,4,0)),0,VLOOKUP(A83,'Données projet'!$A$191:$I$211,4,0))</f>
        <v>21</v>
      </c>
      <c r="ES83" s="16">
        <f>IF(ISNA(VLOOKUP(A83,'Données projet'!$A$191:$I$211,5,0)),0%,VLOOKUP(A83,'Données projet'!$A$191:$I$211,5,0)*VLOOKUP('Données projet'!$B$15,Paramètres!$A$1:$I$89,7,0))</f>
        <v>0.318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21.198533120119023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21.198533120119023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219</v>
      </c>
      <c r="FC83" s="12">
        <f>VLOOKUP(A83,'Données projet'!$A$217:$I$237,9,0)</f>
        <v>2.4</v>
      </c>
      <c r="FD83" s="12">
        <f t="array" ref="FD83">INDEX(FC:FC,MIN(IF(ISNUMBER(FC83:FC279),ROW(FC83:FC279),"")))</f>
        <v>2.4</v>
      </c>
      <c r="FE83" s="12">
        <f>IF('Données projet'!$A$218&gt;35,FE82+FD83-FM82,IF(A83&lt;'Données projet'!$A$218,$FB$205^A83,IF(A83='Données projet'!$A$218,'Données projet'!$B$218,FE82+FD83-FM82)))</f>
        <v>219.00000000000003</v>
      </c>
      <c r="FF83" s="17">
        <f>FE83*VLOOKUP('Données projet'!$B$16,Paramètres!$A$1:$I$89,3,0)*VLOOKUP('Données projet'!$B$16,Paramètres!$A$1:$I$89,5,0)</f>
        <v>191.31840000000005</v>
      </c>
      <c r="FG83" s="13">
        <f t="shared" si="101"/>
        <v>47.831314962098396</v>
      </c>
      <c r="FH83" s="20">
        <f t="shared" si="76"/>
        <v>416.51908689232141</v>
      </c>
      <c r="FI83" s="59">
        <f t="shared" si="77"/>
        <v>687.24769853100747</v>
      </c>
      <c r="FJ83" s="59">
        <f ca="1">AVERAGE(OFFSET($FI$3,0,0,'Données projet'!$E$16+1,1))-AVERAGE(OFFSET($H$3,0,0,'Données projet'!$E$16+1,1))</f>
        <v>285.8437404763045</v>
      </c>
      <c r="FK83" s="59">
        <f t="shared" si="102"/>
        <v>276.01618888357268</v>
      </c>
      <c r="FL83" s="15">
        <f>IF(ISNA(VLOOKUP(A83,'Données projet'!$A$217:$I$237,3,0)),0,VLOOKUP(A83,'Données projet'!$A$217:$I$237,3,0))</f>
        <v>14</v>
      </c>
      <c r="FM83" s="15">
        <f>IF(ISNA(VLOOKUP(A83,'Données projet'!$A$217:$I$237,4,0)),0,VLOOKUP(A83,'Données projet'!$A$217:$I$237,4,0))</f>
        <v>219</v>
      </c>
      <c r="FN83" s="16">
        <f>IF(ISNA(VLOOKUP(A83,'Données projet'!$A$217:$I$237,5,0)),0%,VLOOKUP(A83,'Données projet'!$A$217:$I$237,5,0)*VLOOKUP('Données projet'!$B$16,Paramètres!$A$1:$I$89,7,0))</f>
        <v>0.318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79.355679667410485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79.355679667410485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275</v>
      </c>
      <c r="FX83" s="12">
        <f>VLOOKUP(A83,'Données projet'!$A$243:$I$263,9,0)</f>
        <v>2.8</v>
      </c>
      <c r="FY83" s="12">
        <f t="array" ref="FY83">INDEX(FX:FX,MIN(IF(ISNUMBER(FX83:FX279),ROW(FX83:FX279),"")))</f>
        <v>2.8</v>
      </c>
      <c r="FZ83" s="12">
        <f>IF('Données projet'!$A$244&gt;35,FZ82+FY83-GH82,IF(A83&lt;'Données projet'!$A$244,$FW$205^A83,IF(A83='Données projet'!$A$244,'Données projet'!$B$244,FZ82+FY83-GH82)))</f>
        <v>274.99999999999983</v>
      </c>
      <c r="GA83" s="17">
        <f>FZ83*VLOOKUP('Données projet'!$B$17,Paramètres!$A$1:$I$89,3,0)*VLOOKUP('Données projet'!$B$17,Paramètres!$A$1:$I$89,5,0)</f>
        <v>218.78999999999988</v>
      </c>
      <c r="GB83" s="13">
        <f t="shared" si="103"/>
        <v>53.851813843863468</v>
      </c>
      <c r="GC83" s="20">
        <f t="shared" si="79"/>
        <v>474.85115911139536</v>
      </c>
      <c r="GD83" s="59">
        <f t="shared" si="80"/>
        <v>745.57977075008148</v>
      </c>
      <c r="GE83" s="59">
        <f ca="1">AVERAGE(OFFSET($GD$3,0,0,'Données projet'!$E$17+1,1))-AVERAGE(OFFSET($H$3,0,0,'Données projet'!$E$17+1,1))</f>
        <v>323.01113210765487</v>
      </c>
      <c r="GF83" s="59">
        <f t="shared" si="104"/>
        <v>311.68541696405975</v>
      </c>
      <c r="GG83" s="15">
        <f>IF(ISNA(VLOOKUP(A83,'Données projet'!$A$243:$I$263,3,0)),0,VLOOKUP(A83,'Données projet'!$A$243:$I$263,3,0))</f>
        <v>14</v>
      </c>
      <c r="GH83" s="15">
        <f>IF(ISNA(VLOOKUP(A83,'Données projet'!$A$243:$I$263,4,0)),0,VLOOKUP(A83,'Données projet'!$A$243:$I$263,4,0))</f>
        <v>275</v>
      </c>
      <c r="GI83" s="16">
        <f>IF(ISNA(VLOOKUP(A83,'Données projet'!$A$243:$I$263,5,0)),0%,VLOOKUP(A83,'Données projet'!$A$243:$I$263,5,0)*VLOOKUP('Données projet'!$B$17,Paramètres!$A$1:$I$89,7,0))</f>
        <v>0.318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91.096658988720193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91.096658988720193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219</v>
      </c>
      <c r="GS83" s="12">
        <f>VLOOKUP(A83,'Données projet'!$A$269:$I$289,9,0)</f>
        <v>2.4</v>
      </c>
      <c r="GT83" s="12">
        <f t="array" ref="GT83">INDEX(GS:GS,MIN(IF(ISNUMBER(GS83:GS279),ROW(GS83:GS279),"")))</f>
        <v>2.4</v>
      </c>
      <c r="GU83" s="12">
        <f>IF('Données projet'!$A$270&gt;35,GU82+GT83-HC82,IF(A83&lt;'Données projet'!$A$270,$GR$205^A83,IF(A83='Données projet'!$A$270,'Données projet'!$B$270,GU82+GT83-HC82)))</f>
        <v>219.00000000000003</v>
      </c>
      <c r="GV83" s="17">
        <f>GU83*VLOOKUP('Données projet'!$B$18,Paramètres!$A$1:$I$89,3,0)*VLOOKUP('Données projet'!$B$18,Paramètres!$A$1:$I$89,5,0)</f>
        <v>191.31840000000005</v>
      </c>
      <c r="GW83" s="13">
        <f t="shared" si="105"/>
        <v>47.831314962098396</v>
      </c>
      <c r="GX83" s="20">
        <f t="shared" si="82"/>
        <v>416.51908689232141</v>
      </c>
      <c r="GY83" s="59">
        <f t="shared" si="83"/>
        <v>687.24769853100747</v>
      </c>
      <c r="GZ83" s="59">
        <f ca="1">AVERAGE(OFFSET($GY$3,0,0,'Données projet'!$E$18+1,1))-AVERAGE(OFFSET($H$3,0,0,'Données projet'!$E$18+1,1))</f>
        <v>285.8437404763045</v>
      </c>
      <c r="HA83" s="59">
        <f t="shared" si="106"/>
        <v>276.01618888357268</v>
      </c>
      <c r="HB83" s="15">
        <f>IF(ISNA(VLOOKUP(A83,'Données projet'!$A$269:$I$289,3,0)),0,VLOOKUP(A83,'Données projet'!$A$269:$I$289,3,0))</f>
        <v>14</v>
      </c>
      <c r="HC83" s="15">
        <f>IF(ISNA(VLOOKUP(A83,'Données projet'!$A$269:$I$289,4,0)),0,VLOOKUP(A83,'Données projet'!$A$269:$I$289,4,0))</f>
        <v>219</v>
      </c>
      <c r="HD83" s="16">
        <f>IF(ISNA(VLOOKUP(A83,'Données projet'!$A$269:$I$289,5,0)),0%,VLOOKUP(A83,'Données projet'!$A$269:$I$289,5,0)*VLOOKUP('Données projet'!$B$18,Paramètres!$A$1:$I$89,7,0))</f>
        <v>0.318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79.355679667410485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79.355679667410485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4.4000000000000004</v>
      </c>
      <c r="N84" s="13">
        <f>IF('Données projet'!$A$36&gt;35,N83+M84-V83,IF(A84&lt;'Données projet'!$A$36,$K$205^A84,IF(A84='Données projet'!$A$36,'Données projet'!$B$36,N83+M84-V83)))</f>
        <v>182.39999999999998</v>
      </c>
      <c r="O84" s="13">
        <f>N84*VLOOKUP('Données projet'!$B$9,Paramètres!$A$1:$I$89,3,0)*VLOOKUP('Données projet'!$B$9,Paramètres!$A$1:$I$89,5,0)</f>
        <v>165.03551999999996</v>
      </c>
      <c r="P84" s="13">
        <f t="shared" si="87"/>
        <v>41.976234598846517</v>
      </c>
      <c r="Q84" s="20">
        <f t="shared" si="54"/>
        <v>360.54547259299096</v>
      </c>
      <c r="R84" s="59">
        <f t="shared" si="55"/>
        <v>631.6662256164924</v>
      </c>
      <c r="S84" s="59">
        <f ca="1">AVERAGE(OFFSET($R$3,0,0,'Données projet'!$E$9+1,1))-AVERAGE(OFFSET($H$3,0,0,'Données projet'!$E$9+1,1))</f>
        <v>315.34103933739129</v>
      </c>
      <c r="T84" s="59">
        <f t="shared" si="88"/>
        <v>165.80901858372513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13.364573797057568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13.364573797057568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-3.4106051316484809E-13</v>
      </c>
      <c r="AJ84" s="13">
        <f>AI84*VLOOKUP('Données projet'!$B$10,Paramètres!$A$1:$I$89,3,0)*VLOOKUP('Données projet'!$B$10,Paramètres!$A$1:$I$89,5,0)</f>
        <v>-2.0395418687257919E-13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317.328615425664</v>
      </c>
      <c r="AO84" s="59">
        <f t="shared" si="90"/>
        <v>324.95872842255744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115.80803356861333</v>
      </c>
      <c r="AV84" s="21">
        <f>EXP(-LN(2)/25)*AV83+(1-EXP(-LN(2)/25))/(LN(2)/25)*Calculateur!AQ84*Calculateur!AS84*VLOOKUP('Données projet'!$B$10,Paramètres!$A$1:$I$89,3,0)*0.475*44/12</f>
        <v>18.90403459308526</v>
      </c>
      <c r="AW84" s="21">
        <f>EXP(-LN(2)/2)*AW83+(1-EXP(-LN(2)/2))/(LN(2)/2)*AQ84*AT84*VLOOKUP('Données projet'!$B$10,Paramètres!$A$1:$I$89,3,0)*0.475*44/12</f>
        <v>1.8573474966859183E-2</v>
      </c>
      <c r="AX84" s="21">
        <f t="shared" si="60"/>
        <v>134.73064163666547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-5.6843418860808015E-14</v>
      </c>
      <c r="BE84" s="13">
        <f>BD84*VLOOKUP('Données projet'!$B$11,Paramètres!$A$1:$I$89,3,0)*VLOOKUP('Données projet'!$B$11,Paramètres!$A$1:$I$89,5,0)</f>
        <v>-6.5483618527650828E-14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418.31716673276725</v>
      </c>
      <c r="BJ84" s="59">
        <f t="shared" si="92"/>
        <v>472.37891533957929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90.350499888675571</v>
      </c>
      <c r="BQ84" s="21">
        <f>EXP(-LN(2)/25)*BQ83+(1-EXP(-LN(2)/25))/(LN(2)/25)*Calculateur!BL84*Calculateur!BN84*VLOOKUP('Données projet'!$B$11,Paramètres!$A$1:$I$89,3,0)*0.475*44/12</f>
        <v>17.244556679379937</v>
      </c>
      <c r="BR84" s="21">
        <f>EXP(-LN(2)/2)*BR83+(1-EXP(-LN(2)/2))/(LN(2)/2)*BL84*BO84*VLOOKUP('Données projet'!$B$11,Paramètres!$A$1:$I$89,3,0)*0.475*44/12</f>
        <v>2.8807300411640497E-2</v>
      </c>
      <c r="BS84" s="22">
        <f t="shared" si="63"/>
        <v>107.62386386846715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3.5250000000000008</v>
      </c>
      <c r="BY84" s="12">
        <f>IF('Données projet'!$A$114&gt;35,BY83+BX84-CG83,IF(A84&lt;'Données projet'!$A$114,$BV$205^A84,IF(A84='Données projet'!$A$114,'Données projet'!$B$114,BY83+BX84-CG83)))</f>
        <v>129.74500000000012</v>
      </c>
      <c r="BZ84" s="13">
        <f>BY84*VLOOKUP('Données projet'!$B$12,Paramètres!$A$1:$I$89,3,0)*VLOOKUP('Données projet'!$B$12,Paramètres!$A$1:$I$89,5,0)</f>
        <v>75.900825000000069</v>
      </c>
      <c r="CA84" s="13">
        <f t="shared" si="93"/>
        <v>21.131867023732866</v>
      </c>
      <c r="CB84" s="20">
        <f t="shared" si="64"/>
        <v>168.99860527466819</v>
      </c>
      <c r="CC84" s="59">
        <f t="shared" si="65"/>
        <v>440.11935829816963</v>
      </c>
      <c r="CD84" s="59">
        <f ca="1">AVERAGE(OFFSET($CC$3,0,0,'Données projet'!$E$12+1,1))-AVERAGE(OFFSET($H$3,0,0,'Données projet'!$E$12+1,1))</f>
        <v>184.11352167663844</v>
      </c>
      <c r="CE84" s="59">
        <f t="shared" si="94"/>
        <v>145.86653500981791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26.111465507621752</v>
      </c>
      <c r="CL84" s="21">
        <f>EXP(-LN(2)/25)*CL83+(1-EXP(-LN(2)/25))/(LN(2)/25)*Calculateur!CG84*Calculateur!CI84*VLOOKUP('Données projet'!$B$12,Paramètres!$A$1:$I$89,3,0)*0.475*44/12</f>
        <v>11.841009076327678</v>
      </c>
      <c r="CM84" s="21">
        <f>EXP(-LN(2)/2)*CM83+(1-EXP(-LN(2)/2))/(LN(2)/2)*CG84*CJ84*VLOOKUP('Données projet'!$B$12,Paramètres!$A$1:$I$89,3,0)*0.475*44/12</f>
        <v>1.1429479060744705</v>
      </c>
      <c r="CN84" s="22">
        <f t="shared" si="66"/>
        <v>39.0954224900239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6.8914285714285644</v>
      </c>
      <c r="CT84" s="12">
        <f>IF('Données projet'!$A$140&gt;35,CT83+CS84-DB83,IF(A84&lt;'Données projet'!$A$140,$CQ$205^A84,IF(A84='Données projet'!$A$140,'Données projet'!$B$140,CT83+CS84-DB83)))</f>
        <v>311.31857142857132</v>
      </c>
      <c r="CU84" s="17">
        <f>CT84*VLOOKUP('Données projet'!$B$13,Paramètres!$A$1:$I$89,3,0)*VLOOKUP('Données projet'!$B$13,Paramètres!$A$1:$I$89,5,0)</f>
        <v>149.7442328571428</v>
      </c>
      <c r="CV84" s="13">
        <f t="shared" si="95"/>
        <v>38.520455848101093</v>
      </c>
      <c r="CW84" s="20">
        <f t="shared" si="67"/>
        <v>327.8943328282997</v>
      </c>
      <c r="CX84" s="59">
        <f t="shared" si="68"/>
        <v>599.01508585180113</v>
      </c>
      <c r="CY84" s="59">
        <f ca="1">AVERAGE(OFFSET($CX$3,0,0,'Données projet'!$E$13+1,1))-AVERAGE(OFFSET($H$3,0,0,'Données projet'!$E$13+1,1))</f>
        <v>303.76035885073708</v>
      </c>
      <c r="CZ84" s="59">
        <f t="shared" si="96"/>
        <v>127.43112562890414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16.199209582342252</v>
      </c>
      <c r="DH84" s="21">
        <f>EXP(-LN(2)/2)*DH83+(1-EXP(-LN(2)/2))/(LN(2)/2)*DB84*DE84*VLOOKUP('Données projet'!$B$13,Paramètres!$A$1:$I$89,3,0)*0.475*44/12</f>
        <v>0.22839319141185305</v>
      </c>
      <c r="DI84" s="22">
        <f t="shared" si="69"/>
        <v>16.427602773754106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5.6843418860808015E-14</v>
      </c>
      <c r="DP84" s="17">
        <f>DO84*VLOOKUP('Données projet'!$B$14,Paramètres!$A$1:$I$89,3,0)*VLOOKUP('Données projet'!$B$14,Paramètres!$A$1:$I$89,5,0)</f>
        <v>3.2810021366458389E-14</v>
      </c>
      <c r="DQ84" s="13">
        <f t="shared" si="97"/>
        <v>5.6117125884464641E-13</v>
      </c>
      <c r="DR84" s="20">
        <f t="shared" si="70"/>
        <v>1.0345173963676741E-12</v>
      </c>
      <c r="DS84" s="59">
        <f t="shared" si="71"/>
        <v>271.12075302350246</v>
      </c>
      <c r="DT84" s="59">
        <f ca="1">AVERAGE(OFFSET($DS$3,0,0,'Données projet'!$E$14+1,1))-AVERAGE(OFFSET($H$3,0,0,'Données projet'!$E$14+1,1))</f>
        <v>243.65374431792841</v>
      </c>
      <c r="DU84" s="59">
        <f t="shared" si="98"/>
        <v>271.60754570002939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39.276888800626828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39.276888800626828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5.8</v>
      </c>
      <c r="EJ84" s="12">
        <f>IF('Données projet'!$A$192&gt;35,EJ83+EI84-ER83,IF(A84&lt;'Données projet'!$A$192,$EG$205^A84,IF(A84='Données projet'!$A$192,'Données projet'!$B$192,EJ83+EI84-ER83)))</f>
        <v>245.79999999999995</v>
      </c>
      <c r="EK84" s="17">
        <f>EJ84*VLOOKUP('Données projet'!$B$15,Paramètres!$A$1:$I$89,3,0)*VLOOKUP('Données projet'!$B$15,Paramètres!$A$1:$I$89,5,0)</f>
        <v>164.88263999999995</v>
      </c>
      <c r="EL84" s="13">
        <f t="shared" si="99"/>
        <v>41.941874385207427</v>
      </c>
      <c r="EM84" s="20">
        <f t="shared" si="73"/>
        <v>360.21936255423617</v>
      </c>
      <c r="EN84" s="59">
        <f t="shared" si="74"/>
        <v>631.34011557773761</v>
      </c>
      <c r="EO84" s="59">
        <f ca="1">AVERAGE(OFFSET($EN$3,0,0,'Données projet'!$E$15+1,1))-AVERAGE(OFFSET($H$3,0,0,'Données projet'!$E$15+1,1))</f>
        <v>321.44781099085594</v>
      </c>
      <c r="EP84" s="59">
        <f t="shared" si="100"/>
        <v>201.22243186578183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20.782842815461979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20.782842815461979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2.8421709430404007E-14</v>
      </c>
      <c r="FF84" s="17">
        <f>FE84*VLOOKUP('Données projet'!$B$16,Paramètres!$A$1:$I$89,3,0)*VLOOKUP('Données projet'!$B$16,Paramètres!$A$1:$I$89,5,0)</f>
        <v>2.4829205358400945E-14</v>
      </c>
      <c r="FG84" s="13">
        <f t="shared" si="101"/>
        <v>4.3867331143352915E-13</v>
      </c>
      <c r="FH84" s="20">
        <f t="shared" si="76"/>
        <v>8.0726688341261168E-13</v>
      </c>
      <c r="FI84" s="59">
        <f t="shared" si="77"/>
        <v>271.12075302350223</v>
      </c>
      <c r="FJ84" s="59">
        <f ca="1">AVERAGE(OFFSET($FI$3,0,0,'Données projet'!$E$16+1,1))-AVERAGE(OFFSET($H$3,0,0,'Données projet'!$E$16+1,1))</f>
        <v>285.8437404763045</v>
      </c>
      <c r="FK84" s="59">
        <f t="shared" si="102"/>
        <v>276.01618888357268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77.799563191317844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77.799563191317844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-1.7053025658242404E-13</v>
      </c>
      <c r="GA84" s="17">
        <f>FZ84*VLOOKUP('Données projet'!$B$17,Paramètres!$A$1:$I$89,3,0)*VLOOKUP('Données projet'!$B$17,Paramètres!$A$1:$I$89,5,0)</f>
        <v>-1.3567387213697657E-13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323.01113210765487</v>
      </c>
      <c r="GF84" s="59">
        <f t="shared" si="104"/>
        <v>311.68541696405975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89.310309069426935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89.310309069426935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2.8421709430404007E-14</v>
      </c>
      <c r="GV84" s="17">
        <f>GU84*VLOOKUP('Données projet'!$B$18,Paramètres!$A$1:$I$89,3,0)*VLOOKUP('Données projet'!$B$18,Paramètres!$A$1:$I$89,5,0)</f>
        <v>2.4829205358400945E-14</v>
      </c>
      <c r="GW84" s="13">
        <f t="shared" si="105"/>
        <v>4.3867331143352915E-13</v>
      </c>
      <c r="GX84" s="20">
        <f t="shared" si="82"/>
        <v>8.0726688341261168E-13</v>
      </c>
      <c r="GY84" s="59">
        <f t="shared" si="83"/>
        <v>271.12075302350223</v>
      </c>
      <c r="GZ84" s="59">
        <f ca="1">AVERAGE(OFFSET($GY$3,0,0,'Données projet'!$E$18+1,1))-AVERAGE(OFFSET($H$3,0,0,'Données projet'!$E$18+1,1))</f>
        <v>285.8437404763045</v>
      </c>
      <c r="HA84" s="59">
        <f t="shared" si="106"/>
        <v>276.01618888357268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77.799563191317844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77.799563191317844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4.4000000000000004</v>
      </c>
      <c r="N85" s="13">
        <f>IF('Données projet'!$A$36&gt;35,N84+M85-V84,IF(A85&lt;'Données projet'!$A$36,$K$205^A85,IF(A85='Données projet'!$A$36,'Données projet'!$B$36,N84+M85-V84)))</f>
        <v>186.79999999999998</v>
      </c>
      <c r="O85" s="13">
        <f>N85*VLOOKUP('Données projet'!$B$9,Paramètres!$A$1:$I$89,3,0)*VLOOKUP('Données projet'!$B$9,Paramètres!$A$1:$I$89,5,0)</f>
        <v>169.01663999999997</v>
      </c>
      <c r="P85" s="13">
        <f t="shared" si="87"/>
        <v>42.869709352189666</v>
      </c>
      <c r="Q85" s="20">
        <f t="shared" si="54"/>
        <v>369.03539178839691</v>
      </c>
      <c r="R85" s="59">
        <f t="shared" si="55"/>
        <v>640.54148342038388</v>
      </c>
      <c r="S85" s="59">
        <f ca="1">AVERAGE(OFFSET($R$3,0,0,'Données projet'!$E$9+1,1))-AVERAGE(OFFSET($H$3,0,0,'Données projet'!$E$9+1,1))</f>
        <v>315.34103933739129</v>
      </c>
      <c r="T85" s="59">
        <f t="shared" si="88"/>
        <v>165.80901858372513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13.102502656482384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13.102502656482384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-3.4106051316484809E-13</v>
      </c>
      <c r="AJ85" s="13">
        <f>AI85*VLOOKUP('Données projet'!$B$10,Paramètres!$A$1:$I$89,3,0)*VLOOKUP('Données projet'!$B$10,Paramètres!$A$1:$I$89,5,0)</f>
        <v>-2.0395418687257919E-13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317.328615425664</v>
      </c>
      <c r="AO85" s="59">
        <f t="shared" si="90"/>
        <v>324.95872842255744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113.53710866625858</v>
      </c>
      <c r="AV85" s="21">
        <f>EXP(-LN(2)/25)*AV84+(1-EXP(-LN(2)/25))/(LN(2)/25)*Calculateur!AQ85*Calculateur!AS85*VLOOKUP('Données projet'!$B$10,Paramètres!$A$1:$I$89,3,0)*0.475*44/12</f>
        <v>18.387102773017372</v>
      </c>
      <c r="AW85" s="21">
        <f>EXP(-LN(2)/2)*AW84+(1-EXP(-LN(2)/2))/(LN(2)/2)*AQ85*AT85*VLOOKUP('Données projet'!$B$10,Paramètres!$A$1:$I$89,3,0)*0.475*44/12</f>
        <v>1.3133430099264714E-2</v>
      </c>
      <c r="AX85" s="21">
        <f t="shared" si="60"/>
        <v>131.93734486937521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-5.6843418860808015E-14</v>
      </c>
      <c r="BE85" s="13">
        <f>BD85*VLOOKUP('Données projet'!$B$11,Paramètres!$A$1:$I$89,3,0)*VLOOKUP('Données projet'!$B$11,Paramètres!$A$1:$I$89,5,0)</f>
        <v>-6.5483618527650828E-14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418.31716673276725</v>
      </c>
      <c r="BJ85" s="59">
        <f t="shared" si="92"/>
        <v>472.37891533957929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88.578781694222073</v>
      </c>
      <c r="BQ85" s="21">
        <f>EXP(-LN(2)/25)*BQ84+(1-EXP(-LN(2)/25))/(LN(2)/25)*Calculateur!BL85*Calculateur!BN85*VLOOKUP('Données projet'!$B$11,Paramètres!$A$1:$I$89,3,0)*0.475*44/12</f>
        <v>16.773003370130468</v>
      </c>
      <c r="BR85" s="21">
        <f>EXP(-LN(2)/2)*BR84+(1-EXP(-LN(2)/2))/(LN(2)/2)*BL85*BO85*VLOOKUP('Données projet'!$B$11,Paramètres!$A$1:$I$89,3,0)*0.475*44/12</f>
        <v>2.0369837468749017E-2</v>
      </c>
      <c r="BS85" s="22">
        <f t="shared" si="63"/>
        <v>105.37215490182129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3.5250000000000008</v>
      </c>
      <c r="BY85" s="12">
        <f>IF('Données projet'!$A$114&gt;35,BY84+BX85-CG84,IF(A85&lt;'Données projet'!$A$114,$BV$205^A85,IF(A85='Données projet'!$A$114,'Données projet'!$B$114,BY84+BX85-CG84)))</f>
        <v>133.27000000000012</v>
      </c>
      <c r="BZ85" s="13">
        <f>BY85*VLOOKUP('Données projet'!$B$12,Paramètres!$A$1:$I$89,3,0)*VLOOKUP('Données projet'!$B$12,Paramètres!$A$1:$I$89,5,0)</f>
        <v>77.962950000000077</v>
      </c>
      <c r="CA85" s="13">
        <f t="shared" si="93"/>
        <v>21.638369607998069</v>
      </c>
      <c r="CB85" s="20">
        <f t="shared" si="64"/>
        <v>173.47229831726341</v>
      </c>
      <c r="CC85" s="59">
        <f t="shared" si="65"/>
        <v>444.97838994925041</v>
      </c>
      <c r="CD85" s="59">
        <f ca="1">AVERAGE(OFFSET($CC$3,0,0,'Données projet'!$E$12+1,1))-AVERAGE(OFFSET($H$3,0,0,'Données projet'!$E$12+1,1))</f>
        <v>184.11352167663844</v>
      </c>
      <c r="CE85" s="59">
        <f t="shared" si="94"/>
        <v>145.86653500981791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25.599435595438646</v>
      </c>
      <c r="CL85" s="21">
        <f>EXP(-LN(2)/25)*CL84+(1-EXP(-LN(2)/25))/(LN(2)/25)*Calculateur!CG85*Calculateur!CI85*VLOOKUP('Données projet'!$B$12,Paramètres!$A$1:$I$89,3,0)*0.475*44/12</f>
        <v>11.517216060443893</v>
      </c>
      <c r="CM85" s="21">
        <f>EXP(-LN(2)/2)*CM84+(1-EXP(-LN(2)/2))/(LN(2)/2)*CG85*CJ85*VLOOKUP('Données projet'!$B$12,Paramètres!$A$1:$I$89,3,0)*0.475*44/12</f>
        <v>0.80818621492822329</v>
      </c>
      <c r="CN85" s="22">
        <f t="shared" si="66"/>
        <v>37.924837870810755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>
        <f>VLOOKUP(A85,'Données projet'!$A$139:$I$159,2,0)</f>
        <v>318.20999999999998</v>
      </c>
      <c r="CR85" s="12">
        <f>VLOOKUP(A85,'Données projet'!$A$139:$I$159,9,0)</f>
        <v>6.8914285714285644</v>
      </c>
      <c r="CS85" s="12">
        <f t="array" ref="CS85">INDEX(CR:CR,MIN(IF(ISNUMBER(CR85:CR281),ROW(CR85:CR281),"")))</f>
        <v>6.8914285714285644</v>
      </c>
      <c r="CT85" s="12">
        <f>IF('Données projet'!$A$140&gt;35,CT84+CS85-DB84,IF(A85&lt;'Données projet'!$A$140,$CQ$205^A85,IF(A85='Données projet'!$A$140,'Données projet'!$B$140,CT84+CS85-DB84)))</f>
        <v>318.20999999999987</v>
      </c>
      <c r="CU85" s="17">
        <f>CT85*VLOOKUP('Données projet'!$B$13,Paramètres!$A$1:$I$89,3,0)*VLOOKUP('Données projet'!$B$13,Paramètres!$A$1:$I$89,5,0)</f>
        <v>153.05900999999994</v>
      </c>
      <c r="CV85" s="13">
        <f t="shared" si="95"/>
        <v>39.272937719585201</v>
      </c>
      <c r="CW85" s="20">
        <f t="shared" si="67"/>
        <v>334.9781422782774</v>
      </c>
      <c r="CX85" s="59">
        <f t="shared" si="68"/>
        <v>606.48423391026449</v>
      </c>
      <c r="CY85" s="59">
        <f ca="1">AVERAGE(OFFSET($CX$3,0,0,'Données projet'!$E$13+1,1))-AVERAGE(OFFSET($H$3,0,0,'Données projet'!$E$13+1,1))</f>
        <v>303.76035885073708</v>
      </c>
      <c r="CZ85" s="59">
        <f t="shared" si="96"/>
        <v>127.43112562890414</v>
      </c>
      <c r="DA85" s="15">
        <f>IF(ISNA(VLOOKUP(A85,'Données projet'!$A$139:$I$159,3,0)),0,VLOOKUP(A85,'Données projet'!$A$139:$I$159,3,0))</f>
        <v>8</v>
      </c>
      <c r="DB85" s="15">
        <f>IF(ISNA(VLOOKUP(A85,'Données projet'!$A$139:$I$159,4,0)),0,VLOOKUP(A85,'Données projet'!$A$139:$I$159,4,0))</f>
        <v>92</v>
      </c>
      <c r="DC85" s="16">
        <f>IF(ISNA(VLOOKUP(A85,'Données projet'!$A$139:$I$159,5,0)),0%,VLOOKUP(A85,'Données projet'!$A$139:$I$159,5,0)*VLOOKUP('Données projet'!$B$13,Paramètres!$A$1:$I$89,7,0))</f>
        <v>0.11000000000000001</v>
      </c>
      <c r="DD85" s="16">
        <f>IF(ISNA(VLOOKUP(A85,'Données projet'!$A$139:$I$159,6,0)),0%,VLOOKUP(A85,'Données projet'!$A$139:$I$159,6,0)*VLOOKUP('Données projet'!$B$13,Paramètres!$A$1:$I$89,7,0))</f>
        <v>0.24750000000000003</v>
      </c>
      <c r="DE85" s="16">
        <f>IF(ISNA(VLOOKUP(A85,'Données projet'!$A$139:$I$159,7,0)),0%,VLOOKUP(A85,'Données projet'!$A$139:$I$159,7,0))</f>
        <v>0.35</v>
      </c>
      <c r="DF85" s="21">
        <f>EXP(-LN(2)/35)*DF84+(1-EXP(-LN(2)/35))/(LN(2)/35)*DB85*DC85*VLOOKUP('Données projet'!$B$13,Paramètres!$A$1:$I$89,3,0)*0.475*44/12</f>
        <v>6.4573443310321599</v>
      </c>
      <c r="DG85" s="21">
        <f>EXP(-LN(2)/25)*DG84+(1-EXP(-LN(2)/25))/(LN(2)/25)*Calculateur!DB85*Calculateur!DD85*VLOOKUP('Données projet'!$B$13,Paramètres!$A$1:$I$89,3,0)*0.475*44/12</f>
        <v>30.228059782843243</v>
      </c>
      <c r="DH85" s="21">
        <f>EXP(-LN(2)/2)*DH84+(1-EXP(-LN(2)/2))/(LN(2)/2)*DB85*DE85*VLOOKUP('Données projet'!$B$13,Paramètres!$A$1:$I$89,3,0)*0.475*44/12</f>
        <v>17.697738644973562</v>
      </c>
      <c r="DI85" s="22">
        <f t="shared" si="69"/>
        <v>54.383142758848962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5.6843418860808015E-14</v>
      </c>
      <c r="DP85" s="17">
        <f>DO85*VLOOKUP('Données projet'!$B$14,Paramètres!$A$1:$I$89,3,0)*VLOOKUP('Données projet'!$B$14,Paramètres!$A$1:$I$89,5,0)</f>
        <v>3.2810021366458389E-14</v>
      </c>
      <c r="DQ85" s="13">
        <f t="shared" si="97"/>
        <v>5.6117125884464641E-13</v>
      </c>
      <c r="DR85" s="20">
        <f t="shared" si="70"/>
        <v>1.0345173963676741E-12</v>
      </c>
      <c r="DS85" s="59">
        <f t="shared" si="71"/>
        <v>271.50609163198806</v>
      </c>
      <c r="DT85" s="59">
        <f ca="1">AVERAGE(OFFSET($DS$3,0,0,'Données projet'!$E$14+1,1))-AVERAGE(OFFSET($H$3,0,0,'Données projet'!$E$14+1,1))</f>
        <v>243.65374431792841</v>
      </c>
      <c r="DU85" s="59">
        <f t="shared" si="98"/>
        <v>271.60754570002939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38.506692967783195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38.506692967783195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5.8</v>
      </c>
      <c r="EJ85" s="12">
        <f>IF('Données projet'!$A$192&gt;35,EJ84+EI85-ER84,IF(A85&lt;'Données projet'!$A$192,$EG$205^A85,IF(A85='Données projet'!$A$192,'Données projet'!$B$192,EJ84+EI85-ER84)))</f>
        <v>251.59999999999997</v>
      </c>
      <c r="EK85" s="17">
        <f>EJ85*VLOOKUP('Données projet'!$B$15,Paramètres!$A$1:$I$89,3,0)*VLOOKUP('Données projet'!$B$15,Paramètres!$A$1:$I$89,5,0)</f>
        <v>168.77328</v>
      </c>
      <c r="EL85" s="13">
        <f t="shared" si="99"/>
        <v>42.815163417148412</v>
      </c>
      <c r="EM85" s="20">
        <f t="shared" si="73"/>
        <v>368.51653895153345</v>
      </c>
      <c r="EN85" s="59">
        <f t="shared" si="74"/>
        <v>640.02263058352048</v>
      </c>
      <c r="EO85" s="59">
        <f ca="1">AVERAGE(OFFSET($EN$3,0,0,'Données projet'!$E$15+1,1))-AVERAGE(OFFSET($H$3,0,0,'Données projet'!$E$15+1,1))</f>
        <v>321.44781099085594</v>
      </c>
      <c r="EP85" s="59">
        <f t="shared" si="100"/>
        <v>201.22243186578183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20.375303944133208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20.375303944133208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2.8421709430404007E-14</v>
      </c>
      <c r="FF85" s="17">
        <f>FE85*VLOOKUP('Données projet'!$B$16,Paramètres!$A$1:$I$89,3,0)*VLOOKUP('Données projet'!$B$16,Paramètres!$A$1:$I$89,5,0)</f>
        <v>2.4829205358400945E-14</v>
      </c>
      <c r="FG85" s="13">
        <f t="shared" si="101"/>
        <v>4.3867331143352915E-13</v>
      </c>
      <c r="FH85" s="20">
        <f t="shared" si="76"/>
        <v>8.0726688341261168E-13</v>
      </c>
      <c r="FI85" s="59">
        <f t="shared" si="77"/>
        <v>271.50609163198783</v>
      </c>
      <c r="FJ85" s="59">
        <f ca="1">AVERAGE(OFFSET($FI$3,0,0,'Données projet'!$E$16+1,1))-AVERAGE(OFFSET($H$3,0,0,'Données projet'!$E$16+1,1))</f>
        <v>285.8437404763045</v>
      </c>
      <c r="FK85" s="59">
        <f t="shared" si="102"/>
        <v>276.01618888357268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76.273961210184055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76.273961210184055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-1.7053025658242404E-13</v>
      </c>
      <c r="GA85" s="17">
        <f>FZ85*VLOOKUP('Données projet'!$B$17,Paramètres!$A$1:$I$89,3,0)*VLOOKUP('Données projet'!$B$17,Paramètres!$A$1:$I$89,5,0)</f>
        <v>-1.3567387213697657E-13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323.01113210765487</v>
      </c>
      <c r="GF85" s="59">
        <f t="shared" si="104"/>
        <v>311.68541696405975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87.558988382485154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87.558988382485154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2.8421709430404007E-14</v>
      </c>
      <c r="GV85" s="17">
        <f>GU85*VLOOKUP('Données projet'!$B$18,Paramètres!$A$1:$I$89,3,0)*VLOOKUP('Données projet'!$B$18,Paramètres!$A$1:$I$89,5,0)</f>
        <v>2.4829205358400945E-14</v>
      </c>
      <c r="GW85" s="13">
        <f t="shared" si="105"/>
        <v>4.3867331143352915E-13</v>
      </c>
      <c r="GX85" s="20">
        <f t="shared" si="82"/>
        <v>8.0726688341261168E-13</v>
      </c>
      <c r="GY85" s="59">
        <f t="shared" si="83"/>
        <v>271.50609163198783</v>
      </c>
      <c r="GZ85" s="59">
        <f ca="1">AVERAGE(OFFSET($GY$3,0,0,'Données projet'!$E$18+1,1))-AVERAGE(OFFSET($H$3,0,0,'Données projet'!$E$18+1,1))</f>
        <v>285.8437404763045</v>
      </c>
      <c r="HA85" s="59">
        <f t="shared" si="106"/>
        <v>276.01618888357268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76.273961210184055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76.273961210184055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4.4000000000000004</v>
      </c>
      <c r="N86" s="13">
        <f>IF('Données projet'!$A$36&gt;35,N85+M86-V85,IF(A86&lt;'Données projet'!$A$36,$K$205^A86,IF(A86='Données projet'!$A$36,'Données projet'!$B$36,N85+M86-V85)))</f>
        <v>191.2</v>
      </c>
      <c r="O86" s="13">
        <f>N86*VLOOKUP('Données projet'!$B$9,Paramètres!$A$1:$I$89,3,0)*VLOOKUP('Données projet'!$B$9,Paramètres!$A$1:$I$89,5,0)</f>
        <v>172.99775999999997</v>
      </c>
      <c r="P86" s="13">
        <f t="shared" si="87"/>
        <v>43.760737531919609</v>
      </c>
      <c r="Q86" s="20">
        <f t="shared" si="54"/>
        <v>377.52104986809326</v>
      </c>
      <c r="R86" s="59">
        <f t="shared" si="55"/>
        <v>649.40579534519679</v>
      </c>
      <c r="S86" s="59">
        <f ca="1">AVERAGE(OFFSET($R$3,0,0,'Données projet'!$E$9+1,1))-AVERAGE(OFFSET($H$3,0,0,'Données projet'!$E$9+1,1))</f>
        <v>315.34103933739129</v>
      </c>
      <c r="T86" s="59">
        <f t="shared" si="88"/>
        <v>165.80901858372513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12.845570571126267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12.845570571126267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-3.4106051316484809E-13</v>
      </c>
      <c r="AJ86" s="13">
        <f>AI86*VLOOKUP('Données projet'!$B$10,Paramètres!$A$1:$I$89,3,0)*VLOOKUP('Données projet'!$B$10,Paramètres!$A$1:$I$89,5,0)</f>
        <v>-2.0395418687257919E-13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317.328615425664</v>
      </c>
      <c r="AO86" s="59">
        <f t="shared" si="90"/>
        <v>324.95872842255744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111.31071521611159</v>
      </c>
      <c r="AV86" s="21">
        <f>EXP(-LN(2)/25)*AV85+(1-EXP(-LN(2)/25))/(LN(2)/25)*Calculateur!AQ86*Calculateur!AS86*VLOOKUP('Données projet'!$B$10,Paramètres!$A$1:$I$89,3,0)*0.475*44/12</f>
        <v>17.884306480753501</v>
      </c>
      <c r="AW86" s="21">
        <f>EXP(-LN(2)/2)*AW85+(1-EXP(-LN(2)/2))/(LN(2)/2)*AQ86*AT86*VLOOKUP('Données projet'!$B$10,Paramètres!$A$1:$I$89,3,0)*0.475*44/12</f>
        <v>9.2867374834295913E-3</v>
      </c>
      <c r="AX86" s="21">
        <f t="shared" si="60"/>
        <v>129.20430843434852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-5.6843418860808015E-14</v>
      </c>
      <c r="BE86" s="13">
        <f>BD86*VLOOKUP('Données projet'!$B$11,Paramètres!$A$1:$I$89,3,0)*VLOOKUP('Données projet'!$B$11,Paramètres!$A$1:$I$89,5,0)</f>
        <v>-6.5483618527650828E-14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418.31716673276725</v>
      </c>
      <c r="BJ86" s="59">
        <f t="shared" si="92"/>
        <v>472.37891533957929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86.841805812920413</v>
      </c>
      <c r="BQ86" s="21">
        <f>EXP(-LN(2)/25)*BQ85+(1-EXP(-LN(2)/25))/(LN(2)/25)*Calculateur!BL86*Calculateur!BN86*VLOOKUP('Données projet'!$B$11,Paramètres!$A$1:$I$89,3,0)*0.475*44/12</f>
        <v>16.314344710920338</v>
      </c>
      <c r="BR86" s="21">
        <f>EXP(-LN(2)/2)*BR85+(1-EXP(-LN(2)/2))/(LN(2)/2)*BL86*BO86*VLOOKUP('Données projet'!$B$11,Paramètres!$A$1:$I$89,3,0)*0.475*44/12</f>
        <v>1.4403650205820248E-2</v>
      </c>
      <c r="BS86" s="22">
        <f t="shared" si="63"/>
        <v>103.17055417404657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3.5250000000000008</v>
      </c>
      <c r="BY86" s="12">
        <f>IF('Données projet'!$A$114&gt;35,BY85+BX86-CG85,IF(A86&lt;'Données projet'!$A$114,$BV$205^A86,IF(A86='Données projet'!$A$114,'Données projet'!$B$114,BY85+BX86-CG85)))</f>
        <v>136.79500000000013</v>
      </c>
      <c r="BZ86" s="13">
        <f>BY86*VLOOKUP('Données projet'!$B$12,Paramètres!$A$1:$I$89,3,0)*VLOOKUP('Données projet'!$B$12,Paramètres!$A$1:$I$89,5,0)</f>
        <v>80.025075000000086</v>
      </c>
      <c r="CA86" s="13">
        <f t="shared" si="93"/>
        <v>22.143314984690338</v>
      </c>
      <c r="CB86" s="20">
        <f t="shared" si="64"/>
        <v>177.94327922333582</v>
      </c>
      <c r="CC86" s="59">
        <f t="shared" si="65"/>
        <v>449.8280247004393</v>
      </c>
      <c r="CD86" s="59">
        <f ca="1">AVERAGE(OFFSET($CC$3,0,0,'Données projet'!$E$12+1,1))-AVERAGE(OFFSET($H$3,0,0,'Données projet'!$E$12+1,1))</f>
        <v>184.11352167663844</v>
      </c>
      <c r="CE86" s="59">
        <f t="shared" si="94"/>
        <v>145.86653500981791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25.097446277526043</v>
      </c>
      <c r="CL86" s="21">
        <f>EXP(-LN(2)/25)*CL85+(1-EXP(-LN(2)/25))/(LN(2)/25)*Calculateur!CG86*Calculateur!CI86*VLOOKUP('Données projet'!$B$12,Paramètres!$A$1:$I$89,3,0)*0.475*44/12</f>
        <v>11.202277181606984</v>
      </c>
      <c r="CM86" s="21">
        <f>EXP(-LN(2)/2)*CM85+(1-EXP(-LN(2)/2))/(LN(2)/2)*CG86*CJ86*VLOOKUP('Données projet'!$B$12,Paramètres!$A$1:$I$89,3,0)*0.475*44/12</f>
        <v>0.57147395303723525</v>
      </c>
      <c r="CN86" s="22">
        <f t="shared" si="66"/>
        <v>36.871197412170261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5.9112500000000026</v>
      </c>
      <c r="CT86" s="12">
        <f>IF('Données projet'!$A$140&gt;35,CT85+CS86-DB85,IF(A86&lt;'Données projet'!$A$140,$CQ$205^A86,IF(A86='Données projet'!$A$140,'Données projet'!$B$140,CT85+CS86-DB85)))</f>
        <v>232.12124999999986</v>
      </c>
      <c r="CU86" s="17">
        <f>CT86*VLOOKUP('Données projet'!$B$13,Paramètres!$A$1:$I$89,3,0)*VLOOKUP('Données projet'!$B$13,Paramètres!$A$1:$I$89,5,0)</f>
        <v>111.65032124999995</v>
      </c>
      <c r="CV86" s="13">
        <f t="shared" si="95"/>
        <v>29.719475498293747</v>
      </c>
      <c r="CW86" s="20">
        <f t="shared" si="67"/>
        <v>246.21906266994486</v>
      </c>
      <c r="CX86" s="59">
        <f t="shared" si="68"/>
        <v>518.10380814704831</v>
      </c>
      <c r="CY86" s="59">
        <f ca="1">AVERAGE(OFFSET($CX$3,0,0,'Données projet'!$E$13+1,1))-AVERAGE(OFFSET($H$3,0,0,'Données projet'!$E$13+1,1))</f>
        <v>303.76035885073708</v>
      </c>
      <c r="CZ86" s="59">
        <f t="shared" si="96"/>
        <v>127.43112562890414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6.3307197472917576</v>
      </c>
      <c r="DG86" s="21">
        <f>EXP(-LN(2)/25)*DG85+(1-EXP(-LN(2)/25))/(LN(2)/25)*Calculateur!DB86*Calculateur!DD86*VLOOKUP('Données projet'!$B$13,Paramètres!$A$1:$I$89,3,0)*0.475*44/12</f>
        <v>29.401471898456819</v>
      </c>
      <c r="DH86" s="21">
        <f>EXP(-LN(2)/2)*DH85+(1-EXP(-LN(2)/2))/(LN(2)/2)*DB86*DE86*VLOOKUP('Données projet'!$B$13,Paramètres!$A$1:$I$89,3,0)*0.475*44/12</f>
        <v>12.514191007528026</v>
      </c>
      <c r="DI86" s="22">
        <f t="shared" si="69"/>
        <v>48.246382653276605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5.6843418860808015E-14</v>
      </c>
      <c r="DP86" s="17">
        <f>DO86*VLOOKUP('Données projet'!$B$14,Paramètres!$A$1:$I$89,3,0)*VLOOKUP('Données projet'!$B$14,Paramètres!$A$1:$I$89,5,0)</f>
        <v>3.2810021366458389E-14</v>
      </c>
      <c r="DQ86" s="13">
        <f t="shared" si="97"/>
        <v>5.6117125884464641E-13</v>
      </c>
      <c r="DR86" s="20">
        <f t="shared" si="70"/>
        <v>1.0345173963676741E-12</v>
      </c>
      <c r="DS86" s="59">
        <f t="shared" si="71"/>
        <v>271.8847454771045</v>
      </c>
      <c r="DT86" s="59">
        <f ca="1">AVERAGE(OFFSET($DS$3,0,0,'Données projet'!$E$14+1,1))-AVERAGE(OFFSET($H$3,0,0,'Données projet'!$E$14+1,1))</f>
        <v>243.65374431792841</v>
      </c>
      <c r="DU86" s="59">
        <f t="shared" si="98"/>
        <v>271.60754570002939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37.751600205448554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37.751600205448554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5.8</v>
      </c>
      <c r="EJ86" s="12">
        <f>IF('Données projet'!$A$192&gt;35,EJ85+EI86-ER85,IF(A86&lt;'Données projet'!$A$192,$EG$205^A86,IF(A86='Données projet'!$A$192,'Données projet'!$B$192,EJ85+EI86-ER85)))</f>
        <v>257.39999999999998</v>
      </c>
      <c r="EK86" s="17">
        <f>EJ86*VLOOKUP('Données projet'!$B$15,Paramètres!$A$1:$I$89,3,0)*VLOOKUP('Données projet'!$B$15,Paramètres!$A$1:$I$89,5,0)</f>
        <v>172.66391999999999</v>
      </c>
      <c r="EL86" s="13">
        <f t="shared" si="99"/>
        <v>43.686112068665423</v>
      </c>
      <c r="EM86" s="20">
        <f t="shared" si="73"/>
        <v>376.80963918625895</v>
      </c>
      <c r="EN86" s="59">
        <f t="shared" si="74"/>
        <v>648.69438466336237</v>
      </c>
      <c r="EO86" s="59">
        <f ca="1">AVERAGE(OFFSET($EN$3,0,0,'Données projet'!$E$15+1,1))-AVERAGE(OFFSET($H$3,0,0,'Données projet'!$E$15+1,1))</f>
        <v>321.44781099085594</v>
      </c>
      <c r="EP86" s="59">
        <f t="shared" si="100"/>
        <v>201.22243186578183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19.975756661497027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19.975756661497027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2.8421709430404007E-14</v>
      </c>
      <c r="FF86" s="17">
        <f>FE86*VLOOKUP('Données projet'!$B$16,Paramètres!$A$1:$I$89,3,0)*VLOOKUP('Données projet'!$B$16,Paramètres!$A$1:$I$89,5,0)</f>
        <v>2.4829205358400945E-14</v>
      </c>
      <c r="FG86" s="13">
        <f t="shared" si="101"/>
        <v>4.3867331143352915E-13</v>
      </c>
      <c r="FH86" s="20">
        <f t="shared" si="76"/>
        <v>8.0726688341261168E-13</v>
      </c>
      <c r="FI86" s="59">
        <f t="shared" si="77"/>
        <v>271.88474547710427</v>
      </c>
      <c r="FJ86" s="59">
        <f ca="1">AVERAGE(OFFSET($FI$3,0,0,'Données projet'!$E$16+1,1))-AVERAGE(OFFSET($H$3,0,0,'Données projet'!$E$16+1,1))</f>
        <v>285.8437404763045</v>
      </c>
      <c r="FK86" s="59">
        <f t="shared" si="102"/>
        <v>276.01618888357268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74.778275353374966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74.778275353374966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-1.7053025658242404E-13</v>
      </c>
      <c r="GA86" s="17">
        <f>FZ86*VLOOKUP('Données projet'!$B$17,Paramètres!$A$1:$I$89,3,0)*VLOOKUP('Données projet'!$B$17,Paramètres!$A$1:$I$89,5,0)</f>
        <v>-1.3567387213697657E-13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323.01113210765487</v>
      </c>
      <c r="GF86" s="59">
        <f t="shared" si="104"/>
        <v>311.68541696405975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85.842010026014151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85.842010026014151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2.8421709430404007E-14</v>
      </c>
      <c r="GV86" s="17">
        <f>GU86*VLOOKUP('Données projet'!$B$18,Paramètres!$A$1:$I$89,3,0)*VLOOKUP('Données projet'!$B$18,Paramètres!$A$1:$I$89,5,0)</f>
        <v>2.4829205358400945E-14</v>
      </c>
      <c r="GW86" s="13">
        <f t="shared" si="105"/>
        <v>4.3867331143352915E-13</v>
      </c>
      <c r="GX86" s="20">
        <f t="shared" si="82"/>
        <v>8.0726688341261168E-13</v>
      </c>
      <c r="GY86" s="59">
        <f t="shared" si="83"/>
        <v>271.88474547710427</v>
      </c>
      <c r="GZ86" s="59">
        <f ca="1">AVERAGE(OFFSET($GY$3,0,0,'Données projet'!$E$18+1,1))-AVERAGE(OFFSET($H$3,0,0,'Données projet'!$E$18+1,1))</f>
        <v>285.8437404763045</v>
      </c>
      <c r="HA86" s="59">
        <f t="shared" si="106"/>
        <v>276.01618888357268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74.778275353374966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74.778275353374966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4.4000000000000004</v>
      </c>
      <c r="N87" s="13">
        <f>IF('Données projet'!$A$36&gt;35,N86+M87-V86,IF(A87&lt;'Données projet'!$A$36,$K$205^A87,IF(A87='Données projet'!$A$36,'Données projet'!$B$36,N86+M87-V86)))</f>
        <v>195.6</v>
      </c>
      <c r="O87" s="13">
        <f>N87*VLOOKUP('Données projet'!$B$9,Paramètres!$A$1:$I$89,3,0)*VLOOKUP('Données projet'!$B$9,Paramètres!$A$1:$I$89,5,0)</f>
        <v>176.97888</v>
      </c>
      <c r="P87" s="13">
        <f t="shared" si="87"/>
        <v>44.649381920571734</v>
      </c>
      <c r="Q87" s="20">
        <f t="shared" si="54"/>
        <v>386.00255617832909</v>
      </c>
      <c r="R87" s="59">
        <f t="shared" si="55"/>
        <v>658.2593867028794</v>
      </c>
      <c r="S87" s="59">
        <f ca="1">AVERAGE(OFFSET($R$3,0,0,'Données projet'!$E$9+1,1))-AVERAGE(OFFSET($H$3,0,0,'Données projet'!$E$9+1,1))</f>
        <v>315.34103933739129</v>
      </c>
      <c r="T87" s="59">
        <f t="shared" si="88"/>
        <v>165.80901858372513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12.593676767250885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12.593676767250885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-3.4106051316484809E-13</v>
      </c>
      <c r="AJ87" s="13">
        <f>AI87*VLOOKUP('Données projet'!$B$10,Paramètres!$A$1:$I$89,3,0)*VLOOKUP('Données projet'!$B$10,Paramètres!$A$1:$I$89,5,0)</f>
        <v>-2.0395418687257919E-13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317.328615425664</v>
      </c>
      <c r="AO87" s="59">
        <f t="shared" si="90"/>
        <v>324.95872842255744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109.12797998355606</v>
      </c>
      <c r="AV87" s="21">
        <f>EXP(-LN(2)/25)*AV86+(1-EXP(-LN(2)/25))/(LN(2)/25)*Calculateur!AQ87*Calculateur!AS87*VLOOKUP('Données projet'!$B$10,Paramètres!$A$1:$I$89,3,0)*0.475*44/12</f>
        <v>17.395259179542496</v>
      </c>
      <c r="AW87" s="21">
        <f>EXP(-LN(2)/2)*AW86+(1-EXP(-LN(2)/2))/(LN(2)/2)*AQ87*AT87*VLOOKUP('Données projet'!$B$10,Paramètres!$A$1:$I$89,3,0)*0.475*44/12</f>
        <v>6.5667150496323571E-3</v>
      </c>
      <c r="AX87" s="21">
        <f t="shared" si="60"/>
        <v>126.52980587814818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-5.6843418860808015E-14</v>
      </c>
      <c r="BE87" s="13">
        <f>BD87*VLOOKUP('Données projet'!$B$11,Paramètres!$A$1:$I$89,3,0)*VLOOKUP('Données projet'!$B$11,Paramètres!$A$1:$I$89,5,0)</f>
        <v>-6.5483618527650828E-14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418.31716673276725</v>
      </c>
      <c r="BJ87" s="59">
        <f t="shared" si="92"/>
        <v>472.37891533957929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85.138890969200403</v>
      </c>
      <c r="BQ87" s="21">
        <f>EXP(-LN(2)/25)*BQ86+(1-EXP(-LN(2)/25))/(LN(2)/25)*Calculateur!BL87*Calculateur!BN87*VLOOKUP('Données projet'!$B$11,Paramètres!$A$1:$I$89,3,0)*0.475*44/12</f>
        <v>15.868228096866121</v>
      </c>
      <c r="BR87" s="21">
        <f>EXP(-LN(2)/2)*BR86+(1-EXP(-LN(2)/2))/(LN(2)/2)*BL87*BO87*VLOOKUP('Données projet'!$B$11,Paramètres!$A$1:$I$89,3,0)*0.475*44/12</f>
        <v>1.0184918734374509E-2</v>
      </c>
      <c r="BS87" s="22">
        <f t="shared" si="63"/>
        <v>101.01730398480089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3.5250000000000008</v>
      </c>
      <c r="BY87" s="12">
        <f>IF('Données projet'!$A$114&gt;35,BY86+BX87-CG86,IF(A87&lt;'Données projet'!$A$114,$BV$205^A87,IF(A87='Données projet'!$A$114,'Données projet'!$B$114,BY86+BX87-CG86)))</f>
        <v>140.32000000000014</v>
      </c>
      <c r="BZ87" s="13">
        <f>BY87*VLOOKUP('Données projet'!$B$12,Paramètres!$A$1:$I$89,3,0)*VLOOKUP('Données projet'!$B$12,Paramètres!$A$1:$I$89,5,0)</f>
        <v>82.087200000000081</v>
      </c>
      <c r="CA87" s="13">
        <f t="shared" si="93"/>
        <v>22.646747894363067</v>
      </c>
      <c r="CB87" s="20">
        <f t="shared" si="64"/>
        <v>182.41162591601582</v>
      </c>
      <c r="CC87" s="59">
        <f t="shared" si="65"/>
        <v>454.66845644056616</v>
      </c>
      <c r="CD87" s="59">
        <f ca="1">AVERAGE(OFFSET($CC$3,0,0,'Données projet'!$E$12+1,1))-AVERAGE(OFFSET($H$3,0,0,'Données projet'!$E$12+1,1))</f>
        <v>184.11352167663844</v>
      </c>
      <c r="CE87" s="59">
        <f t="shared" si="94"/>
        <v>145.86653500981791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24.605300663954452</v>
      </c>
      <c r="CL87" s="21">
        <f>EXP(-LN(2)/25)*CL86+(1-EXP(-LN(2)/25))/(LN(2)/25)*Calculateur!CG87*Calculateur!CI87*VLOOKUP('Données projet'!$B$12,Paramètres!$A$1:$I$89,3,0)*0.475*44/12</f>
        <v>10.895950322973787</v>
      </c>
      <c r="CM87" s="21">
        <f>EXP(-LN(2)/2)*CM86+(1-EXP(-LN(2)/2))/(LN(2)/2)*CG87*CJ87*VLOOKUP('Données projet'!$B$12,Paramètres!$A$1:$I$89,3,0)*0.475*44/12</f>
        <v>0.40409310746411164</v>
      </c>
      <c r="CN87" s="22">
        <f t="shared" si="66"/>
        <v>35.905344094392355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5.9112500000000026</v>
      </c>
      <c r="CT87" s="12">
        <f>IF('Données projet'!$A$140&gt;35,CT86+CS87-DB86,IF(A87&lt;'Données projet'!$A$140,$CQ$205^A87,IF(A87='Données projet'!$A$140,'Données projet'!$B$140,CT86+CS87-DB86)))</f>
        <v>238.03249999999986</v>
      </c>
      <c r="CU87" s="17">
        <f>CT87*VLOOKUP('Données projet'!$B$13,Paramètres!$A$1:$I$89,3,0)*VLOOKUP('Données projet'!$B$13,Paramètres!$A$1:$I$89,5,0)</f>
        <v>114.49363249999992</v>
      </c>
      <c r="CV87" s="13">
        <f t="shared" si="95"/>
        <v>30.387239713853752</v>
      </c>
      <c r="CW87" s="20">
        <f t="shared" si="67"/>
        <v>252.33418577246178</v>
      </c>
      <c r="CX87" s="59">
        <f t="shared" si="68"/>
        <v>524.59101629701206</v>
      </c>
      <c r="CY87" s="59">
        <f ca="1">AVERAGE(OFFSET($CX$3,0,0,'Données projet'!$E$13+1,1))-AVERAGE(OFFSET($H$3,0,0,'Données projet'!$E$13+1,1))</f>
        <v>303.76035885073708</v>
      </c>
      <c r="CZ87" s="59">
        <f t="shared" si="96"/>
        <v>127.43112562890414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6.206578194405135</v>
      </c>
      <c r="DG87" s="21">
        <f>EXP(-LN(2)/25)*DG86+(1-EXP(-LN(2)/25))/(LN(2)/25)*Calculateur!DB87*Calculateur!DD87*VLOOKUP('Données projet'!$B$13,Paramètres!$A$1:$I$89,3,0)*0.475*44/12</f>
        <v>28.597487103237309</v>
      </c>
      <c r="DH87" s="21">
        <f>EXP(-LN(2)/2)*DH86+(1-EXP(-LN(2)/2))/(LN(2)/2)*DB87*DE87*VLOOKUP('Données projet'!$B$13,Paramètres!$A$1:$I$89,3,0)*0.475*44/12</f>
        <v>8.8488693224867809</v>
      </c>
      <c r="DI87" s="22">
        <f t="shared" si="69"/>
        <v>43.65293462012923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5.6843418860808015E-14</v>
      </c>
      <c r="DP87" s="17">
        <f>DO87*VLOOKUP('Données projet'!$B$14,Paramètres!$A$1:$I$89,3,0)*VLOOKUP('Données projet'!$B$14,Paramètres!$A$1:$I$89,5,0)</f>
        <v>3.2810021366458389E-14</v>
      </c>
      <c r="DQ87" s="13">
        <f t="shared" si="97"/>
        <v>5.6117125884464641E-13</v>
      </c>
      <c r="DR87" s="20">
        <f t="shared" si="70"/>
        <v>1.0345173963676741E-12</v>
      </c>
      <c r="DS87" s="59">
        <f t="shared" si="71"/>
        <v>272.25683052455133</v>
      </c>
      <c r="DT87" s="59">
        <f ca="1">AVERAGE(OFFSET($DS$3,0,0,'Données projet'!$E$14+1,1))-AVERAGE(OFFSET($H$3,0,0,'Données projet'!$E$14+1,1))</f>
        <v>243.65374431792841</v>
      </c>
      <c r="DU87" s="59">
        <f t="shared" si="98"/>
        <v>271.60754570002939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37.011314351622183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37.011314351622183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5.8</v>
      </c>
      <c r="EJ87" s="12">
        <f>IF('Données projet'!$A$192&gt;35,EJ86+EI87-ER86,IF(A87&lt;'Données projet'!$A$192,$EG$205^A87,IF(A87='Données projet'!$A$192,'Données projet'!$B$192,EJ86+EI87-ER86)))</f>
        <v>263.2</v>
      </c>
      <c r="EK87" s="17">
        <f>EJ87*VLOOKUP('Données projet'!$B$15,Paramètres!$A$1:$I$89,3,0)*VLOOKUP('Données projet'!$B$15,Paramètres!$A$1:$I$89,5,0)</f>
        <v>176.55455999999998</v>
      </c>
      <c r="EL87" s="13">
        <f t="shared" si="99"/>
        <v>44.554779146969786</v>
      </c>
      <c r="EM87" s="20">
        <f t="shared" si="73"/>
        <v>385.09876568097235</v>
      </c>
      <c r="EN87" s="59">
        <f t="shared" si="74"/>
        <v>657.35559620552272</v>
      </c>
      <c r="EO87" s="59">
        <f ca="1">AVERAGE(OFFSET($EN$3,0,0,'Données projet'!$E$15+1,1))-AVERAGE(OFFSET($H$3,0,0,'Données projet'!$E$15+1,1))</f>
        <v>321.44781099085594</v>
      </c>
      <c r="EP87" s="59">
        <f t="shared" si="100"/>
        <v>201.22243186578183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19.584044257373563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19.584044257373563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2.8421709430404007E-14</v>
      </c>
      <c r="FF87" s="17">
        <f>FE87*VLOOKUP('Données projet'!$B$16,Paramètres!$A$1:$I$89,3,0)*VLOOKUP('Données projet'!$B$16,Paramètres!$A$1:$I$89,5,0)</f>
        <v>2.4829205358400945E-14</v>
      </c>
      <c r="FG87" s="13">
        <f t="shared" si="101"/>
        <v>4.3867331143352915E-13</v>
      </c>
      <c r="FH87" s="20">
        <f t="shared" si="76"/>
        <v>8.0726688341261168E-13</v>
      </c>
      <c r="FI87" s="59">
        <f t="shared" si="77"/>
        <v>272.25683052455111</v>
      </c>
      <c r="FJ87" s="59">
        <f ca="1">AVERAGE(OFFSET($FI$3,0,0,'Données projet'!$E$16+1,1))-AVERAGE(OFFSET($H$3,0,0,'Données projet'!$E$16+1,1))</f>
        <v>285.8437404763045</v>
      </c>
      <c r="FK87" s="59">
        <f t="shared" si="102"/>
        <v>276.01618888357268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73.311918983939606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73.311918983939606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-1.7053025658242404E-13</v>
      </c>
      <c r="GA87" s="17">
        <f>FZ87*VLOOKUP('Données projet'!$B$17,Paramètres!$A$1:$I$89,3,0)*VLOOKUP('Données projet'!$B$17,Paramètres!$A$1:$I$89,5,0)</f>
        <v>-1.3567387213697657E-13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323.01113210765487</v>
      </c>
      <c r="GF87" s="59">
        <f t="shared" si="104"/>
        <v>311.68541696405975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84.158700567860166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84.158700567860166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2.8421709430404007E-14</v>
      </c>
      <c r="GV87" s="17">
        <f>GU87*VLOOKUP('Données projet'!$B$18,Paramètres!$A$1:$I$89,3,0)*VLOOKUP('Données projet'!$B$18,Paramètres!$A$1:$I$89,5,0)</f>
        <v>2.4829205358400945E-14</v>
      </c>
      <c r="GW87" s="13">
        <f t="shared" si="105"/>
        <v>4.3867331143352915E-13</v>
      </c>
      <c r="GX87" s="20">
        <f t="shared" si="82"/>
        <v>8.0726688341261168E-13</v>
      </c>
      <c r="GY87" s="59">
        <f t="shared" si="83"/>
        <v>272.25683052455111</v>
      </c>
      <c r="GZ87" s="59">
        <f ca="1">AVERAGE(OFFSET($GY$3,0,0,'Données projet'!$E$18+1,1))-AVERAGE(OFFSET($H$3,0,0,'Données projet'!$E$18+1,1))</f>
        <v>285.8437404763045</v>
      </c>
      <c r="HA87" s="59">
        <f t="shared" si="106"/>
        <v>276.01618888357268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73.311918983939606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73.311918983939606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200</v>
      </c>
      <c r="L88" s="12">
        <f>VLOOKUP(A88,'Données projet'!$A$35:$I$55,9,0)</f>
        <v>4.4000000000000004</v>
      </c>
      <c r="M88" s="12">
        <f t="array" ref="M88">INDEX(L:L,MIN(IF(ISNUMBER(L88:L284),ROW(L88:L284),"")))</f>
        <v>4.4000000000000004</v>
      </c>
      <c r="N88" s="13">
        <f>IF('Données projet'!$A$36&gt;35,N87+M88-V87,IF(A88&lt;'Données projet'!$A$36,$K$205^A88,IF(A88='Données projet'!$A$36,'Données projet'!$B$36,N87+M88-V87)))</f>
        <v>200</v>
      </c>
      <c r="O88" s="13">
        <f>N88*VLOOKUP('Données projet'!$B$9,Paramètres!$A$1:$I$89,3,0)*VLOOKUP('Données projet'!$B$9,Paramètres!$A$1:$I$89,5,0)</f>
        <v>180.95999999999998</v>
      </c>
      <c r="P88" s="13">
        <f t="shared" si="87"/>
        <v>45.53570231487172</v>
      </c>
      <c r="Q88" s="20">
        <f t="shared" si="54"/>
        <v>394.4800148650682</v>
      </c>
      <c r="R88" s="59">
        <f t="shared" si="55"/>
        <v>667.10247559334971</v>
      </c>
      <c r="S88" s="59">
        <f ca="1">AVERAGE(OFFSET($R$3,0,0,'Données projet'!$E$9+1,1))-AVERAGE(OFFSET($H$3,0,0,'Données projet'!$E$9+1,1))</f>
        <v>315.34103933739129</v>
      </c>
      <c r="T88" s="59">
        <f t="shared" si="88"/>
        <v>165.80901858372513</v>
      </c>
      <c r="U88" s="15">
        <f>IF(ISNA(VLOOKUP(A88,'Données projet'!$A$35:$I$55,3,0)),0,VLOOKUP(A88,'Données projet'!$A$35:$I$55,3,0))</f>
        <v>13</v>
      </c>
      <c r="V88" s="15">
        <f>IF(ISNA(VLOOKUP(A88,'Données projet'!$A$35:$I$55,4,0)),0,VLOOKUP(A88,'Données projet'!$A$35:$I$55,4,0))</f>
        <v>14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15.959551760267354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15.959551760267354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-3.4106051316484809E-13</v>
      </c>
      <c r="AJ88" s="13">
        <f>AI88*VLOOKUP('Données projet'!$B$10,Paramètres!$A$1:$I$89,3,0)*VLOOKUP('Données projet'!$B$10,Paramètres!$A$1:$I$89,5,0)</f>
        <v>-2.0395418687257919E-13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317.328615425664</v>
      </c>
      <c r="AO88" s="59">
        <f t="shared" si="90"/>
        <v>324.95872842255744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106.98804685757392</v>
      </c>
      <c r="AV88" s="21">
        <f>EXP(-LN(2)/25)*AV87+(1-EXP(-LN(2)/25))/(LN(2)/25)*Calculateur!AQ88*Calculateur!AS88*VLOOKUP('Données projet'!$B$10,Paramètres!$A$1:$I$89,3,0)*0.475*44/12</f>
        <v>16.919584902500983</v>
      </c>
      <c r="AW88" s="21">
        <f>EXP(-LN(2)/2)*AW87+(1-EXP(-LN(2)/2))/(LN(2)/2)*AQ88*AT88*VLOOKUP('Données projet'!$B$10,Paramètres!$A$1:$I$89,3,0)*0.475*44/12</f>
        <v>4.6433687417147956E-3</v>
      </c>
      <c r="AX88" s="21">
        <f t="shared" si="60"/>
        <v>123.91227512881662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-5.6843418860808015E-14</v>
      </c>
      <c r="BE88" s="13">
        <f>BD88*VLOOKUP('Données projet'!$B$11,Paramètres!$A$1:$I$89,3,0)*VLOOKUP('Données projet'!$B$11,Paramètres!$A$1:$I$89,5,0)</f>
        <v>-6.5483618527650828E-14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418.31716673276725</v>
      </c>
      <c r="BJ88" s="59">
        <f t="shared" si="92"/>
        <v>472.37891533957929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83.469369246890253</v>
      </c>
      <c r="BQ88" s="21">
        <f>EXP(-LN(2)/25)*BQ87+(1-EXP(-LN(2)/25))/(LN(2)/25)*Calculateur!BL88*Calculateur!BN88*VLOOKUP('Données projet'!$B$11,Paramètres!$A$1:$I$89,3,0)*0.475*44/12</f>
        <v>15.434310565083468</v>
      </c>
      <c r="BR88" s="21">
        <f>EXP(-LN(2)/2)*BR87+(1-EXP(-LN(2)/2))/(LN(2)/2)*BL88*BO88*VLOOKUP('Données projet'!$B$11,Paramètres!$A$1:$I$89,3,0)*0.475*44/12</f>
        <v>7.2018251029101242E-3</v>
      </c>
      <c r="BS88" s="22">
        <f t="shared" si="63"/>
        <v>98.910881637076628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3.5250000000000008</v>
      </c>
      <c r="BY88" s="12">
        <f>IF('Données projet'!$A$114&gt;35,BY87+BX88-CG87,IF(A88&lt;'Données projet'!$A$114,$BV$205^A88,IF(A88='Données projet'!$A$114,'Données projet'!$B$114,BY87+BX88-CG87)))</f>
        <v>143.84500000000014</v>
      </c>
      <c r="BZ88" s="13">
        <f>BY88*VLOOKUP('Données projet'!$B$12,Paramètres!$A$1:$I$89,3,0)*VLOOKUP('Données projet'!$B$12,Paramètres!$A$1:$I$89,5,0)</f>
        <v>84.14932500000009</v>
      </c>
      <c r="CA88" s="13">
        <f t="shared" si="93"/>
        <v>23.148710701596134</v>
      </c>
      <c r="CB88" s="20">
        <f t="shared" si="64"/>
        <v>186.87741218028009</v>
      </c>
      <c r="CC88" s="59">
        <f t="shared" si="65"/>
        <v>459.4998729085616</v>
      </c>
      <c r="CD88" s="59">
        <f ca="1">AVERAGE(OFFSET($CC$3,0,0,'Données projet'!$E$12+1,1))-AVERAGE(OFFSET($H$3,0,0,'Données projet'!$E$12+1,1))</f>
        <v>184.11352167663844</v>
      </c>
      <c r="CE88" s="59">
        <f t="shared" si="94"/>
        <v>145.86653500981791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24.122805725685819</v>
      </c>
      <c r="CL88" s="21">
        <f>EXP(-LN(2)/25)*CL87+(1-EXP(-LN(2)/25))/(LN(2)/25)*Calculateur!CG88*Calculateur!CI88*VLOOKUP('Données projet'!$B$12,Paramètres!$A$1:$I$89,3,0)*0.475*44/12</f>
        <v>10.597999988398945</v>
      </c>
      <c r="CM88" s="21">
        <f>EXP(-LN(2)/2)*CM87+(1-EXP(-LN(2)/2))/(LN(2)/2)*CG88*CJ88*VLOOKUP('Données projet'!$B$12,Paramètres!$A$1:$I$89,3,0)*0.475*44/12</f>
        <v>0.28573697651861762</v>
      </c>
      <c r="CN88" s="22">
        <f t="shared" si="66"/>
        <v>35.006542690603382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5.9112500000000026</v>
      </c>
      <c r="CT88" s="12">
        <f>IF('Données projet'!$A$140&gt;35,CT87+CS88-DB87,IF(A88&lt;'Données projet'!$A$140,$CQ$205^A88,IF(A88='Données projet'!$A$140,'Données projet'!$B$140,CT87+CS88-DB87)))</f>
        <v>243.94374999999985</v>
      </c>
      <c r="CU88" s="17">
        <f>CT88*VLOOKUP('Données projet'!$B$13,Paramètres!$A$1:$I$89,3,0)*VLOOKUP('Données projet'!$B$13,Paramètres!$A$1:$I$89,5,0)</f>
        <v>117.33694374999992</v>
      </c>
      <c r="CV88" s="13">
        <f t="shared" si="95"/>
        <v>31.05307623217967</v>
      </c>
      <c r="CW88" s="20">
        <f t="shared" si="67"/>
        <v>258.44595146896279</v>
      </c>
      <c r="CX88" s="59">
        <f t="shared" si="68"/>
        <v>531.06841219724424</v>
      </c>
      <c r="CY88" s="59">
        <f ca="1">AVERAGE(OFFSET($CX$3,0,0,'Données projet'!$E$13+1,1))-AVERAGE(OFFSET($H$3,0,0,'Données projet'!$E$13+1,1))</f>
        <v>303.76035885073708</v>
      </c>
      <c r="CZ88" s="59">
        <f t="shared" si="96"/>
        <v>127.43112562890414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6.0848709816517479</v>
      </c>
      <c r="DG88" s="21">
        <f>EXP(-LN(2)/25)*DG87+(1-EXP(-LN(2)/25))/(LN(2)/25)*Calculateur!DB88*Calculateur!DD88*VLOOKUP('Données projet'!$B$13,Paramètres!$A$1:$I$89,3,0)*0.475*44/12</f>
        <v>27.815487314522798</v>
      </c>
      <c r="DH88" s="21">
        <f>EXP(-LN(2)/2)*DH87+(1-EXP(-LN(2)/2))/(LN(2)/2)*DB88*DE88*VLOOKUP('Données projet'!$B$13,Paramètres!$A$1:$I$89,3,0)*0.475*44/12</f>
        <v>6.2570955037640132</v>
      </c>
      <c r="DI88" s="22">
        <f t="shared" si="69"/>
        <v>40.157453799938558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5.6843418860808015E-14</v>
      </c>
      <c r="DP88" s="17">
        <f>DO88*VLOOKUP('Données projet'!$B$14,Paramètres!$A$1:$I$89,3,0)*VLOOKUP('Données projet'!$B$14,Paramètres!$A$1:$I$89,5,0)</f>
        <v>3.2810021366458389E-14</v>
      </c>
      <c r="DQ88" s="13">
        <f t="shared" si="97"/>
        <v>5.6117125884464641E-13</v>
      </c>
      <c r="DR88" s="20">
        <f t="shared" si="70"/>
        <v>1.0345173963676741E-12</v>
      </c>
      <c r="DS88" s="59">
        <f t="shared" si="71"/>
        <v>272.62246072828253</v>
      </c>
      <c r="DT88" s="59">
        <f ca="1">AVERAGE(OFFSET($DS$3,0,0,'Données projet'!$E$14+1,1))-AVERAGE(OFFSET($H$3,0,0,'Données projet'!$E$14+1,1))</f>
        <v>243.65374431792841</v>
      </c>
      <c r="DU88" s="59">
        <f t="shared" si="98"/>
        <v>271.60754570002939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36.285545051859565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36.285545051859565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269</v>
      </c>
      <c r="EH88" s="12">
        <f>VLOOKUP(A88,'Données projet'!$A$191:$I$211,9,0)</f>
        <v>5.8</v>
      </c>
      <c r="EI88" s="12">
        <f t="array" ref="EI88">INDEX(EH:EH,MIN(IF(ISNUMBER(EH88:EH284),ROW(EH88:EH284),"")))</f>
        <v>5.8</v>
      </c>
      <c r="EJ88" s="12">
        <f>IF('Données projet'!$A$192&gt;35,EJ87+EI88-ER87,IF(A88&lt;'Données projet'!$A$192,$EG$205^A88,IF(A88='Données projet'!$A$192,'Données projet'!$B$192,EJ87+EI88-ER87)))</f>
        <v>269</v>
      </c>
      <c r="EK88" s="17">
        <f>EJ88*VLOOKUP('Données projet'!$B$15,Paramètres!$A$1:$I$89,3,0)*VLOOKUP('Données projet'!$B$15,Paramètres!$A$1:$I$89,5,0)</f>
        <v>180.4452</v>
      </c>
      <c r="EL88" s="13">
        <f t="shared" si="99"/>
        <v>45.421220719470348</v>
      </c>
      <c r="EM88" s="20">
        <f t="shared" si="73"/>
        <v>393.38401608641084</v>
      </c>
      <c r="EN88" s="59">
        <f t="shared" si="74"/>
        <v>666.00647681469241</v>
      </c>
      <c r="EO88" s="59">
        <f ca="1">AVERAGE(OFFSET($EN$3,0,0,'Données projet'!$E$15+1,1))-AVERAGE(OFFSET($H$3,0,0,'Données projet'!$E$15+1,1))</f>
        <v>321.44781099085594</v>
      </c>
      <c r="EP88" s="59">
        <f t="shared" si="100"/>
        <v>201.22243186578183</v>
      </c>
      <c r="EQ88" s="15">
        <f>IF(ISNA(VLOOKUP(A88,'Données projet'!$A$191:$I$211,3,0)),0,VLOOKUP(A88,'Données projet'!$A$191:$I$211,3,0))</f>
        <v>14</v>
      </c>
      <c r="ER88" s="15">
        <f>IF(ISNA(VLOOKUP(A88,'Données projet'!$A$191:$I$211,4,0)),0,VLOOKUP(A88,'Données projet'!$A$191:$I$211,4,0))</f>
        <v>21</v>
      </c>
      <c r="ES88" s="16">
        <f>IF(ISNA(VLOOKUP(A88,'Données projet'!$A$191:$I$211,5,0)),0%,VLOOKUP(A88,'Données projet'!$A$191:$I$211,5,0)*VLOOKUP('Données projet'!$B$15,Paramètres!$A$1:$I$89,7,0))</f>
        <v>0.318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24.1520808598587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24.1520808598587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2.8421709430404007E-14</v>
      </c>
      <c r="FF88" s="17">
        <f>FE88*VLOOKUP('Données projet'!$B$16,Paramètres!$A$1:$I$89,3,0)*VLOOKUP('Données projet'!$B$16,Paramètres!$A$1:$I$89,5,0)</f>
        <v>2.4829205358400945E-14</v>
      </c>
      <c r="FG88" s="13">
        <f t="shared" si="101"/>
        <v>4.3867331143352915E-13</v>
      </c>
      <c r="FH88" s="20">
        <f t="shared" si="76"/>
        <v>8.0726688341261168E-13</v>
      </c>
      <c r="FI88" s="59">
        <f t="shared" si="77"/>
        <v>272.62246072828231</v>
      </c>
      <c r="FJ88" s="59">
        <f ca="1">AVERAGE(OFFSET($FI$3,0,0,'Données projet'!$E$16+1,1))-AVERAGE(OFFSET($H$3,0,0,'Données projet'!$E$16+1,1))</f>
        <v>285.8437404763045</v>
      </c>
      <c r="FK88" s="59">
        <f t="shared" si="102"/>
        <v>276.01618888357268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71.874316968519807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71.874316968519807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-1.7053025658242404E-13</v>
      </c>
      <c r="GA88" s="17">
        <f>FZ88*VLOOKUP('Données projet'!$B$17,Paramètres!$A$1:$I$89,3,0)*VLOOKUP('Données projet'!$B$17,Paramètres!$A$1:$I$89,5,0)</f>
        <v>-1.3567387213697657E-13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323.01113210765487</v>
      </c>
      <c r="GF88" s="59">
        <f t="shared" si="104"/>
        <v>311.68541696405975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82.508399781463183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82.508399781463183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2.8421709430404007E-14</v>
      </c>
      <c r="GV88" s="17">
        <f>GU88*VLOOKUP('Données projet'!$B$18,Paramètres!$A$1:$I$89,3,0)*VLOOKUP('Données projet'!$B$18,Paramètres!$A$1:$I$89,5,0)</f>
        <v>2.4829205358400945E-14</v>
      </c>
      <c r="GW88" s="13">
        <f t="shared" si="105"/>
        <v>4.3867331143352915E-13</v>
      </c>
      <c r="GX88" s="20">
        <f t="shared" si="82"/>
        <v>8.0726688341261168E-13</v>
      </c>
      <c r="GY88" s="59">
        <f t="shared" si="83"/>
        <v>272.62246072828231</v>
      </c>
      <c r="GZ88" s="59">
        <f ca="1">AVERAGE(OFFSET($GY$3,0,0,'Données projet'!$E$18+1,1))-AVERAGE(OFFSET($H$3,0,0,'Données projet'!$E$18+1,1))</f>
        <v>285.8437404763045</v>
      </c>
      <c r="HA88" s="59">
        <f t="shared" si="106"/>
        <v>276.01618888357268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71.874316968519807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71.874316968519807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4.2</v>
      </c>
      <c r="N89" s="13">
        <f>IF('Données projet'!$A$36&gt;35,N88+M89-V88,IF(A89&lt;'Données projet'!$A$36,$K$205^A89,IF(A89='Données projet'!$A$36,'Données projet'!$B$36,N88+M89-V88)))</f>
        <v>190.2</v>
      </c>
      <c r="O89" s="13">
        <f>N89*VLOOKUP('Données projet'!$B$9,Paramètres!$A$1:$I$89,3,0)*VLOOKUP('Données projet'!$B$9,Paramètres!$A$1:$I$89,5,0)</f>
        <v>172.09295999999998</v>
      </c>
      <c r="P89" s="13">
        <f t="shared" si="87"/>
        <v>43.558442654163649</v>
      </c>
      <c r="Q89" s="20">
        <f t="shared" si="54"/>
        <v>375.5928596226683</v>
      </c>
      <c r="R89" s="59">
        <f t="shared" si="55"/>
        <v>648.574607688073</v>
      </c>
      <c r="S89" s="59">
        <f ca="1">AVERAGE(OFFSET($R$3,0,0,'Données projet'!$E$9+1,1))-AVERAGE(OFFSET($H$3,0,0,'Données projet'!$E$9+1,1))</f>
        <v>315.34103933739129</v>
      </c>
      <c r="T89" s="59">
        <f t="shared" si="88"/>
        <v>165.80901858372513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15.646594684613897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15.646594684613897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-3.4106051316484809E-13</v>
      </c>
      <c r="AJ89" s="13">
        <f>AI89*VLOOKUP('Données projet'!$B$10,Paramètres!$A$1:$I$89,3,0)*VLOOKUP('Données projet'!$B$10,Paramètres!$A$1:$I$89,5,0)</f>
        <v>-2.0395418687257919E-13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317.328615425664</v>
      </c>
      <c r="AO89" s="59">
        <f t="shared" si="90"/>
        <v>324.95872842255744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104.89007651496196</v>
      </c>
      <c r="AV89" s="21">
        <f>EXP(-LN(2)/25)*AV88+(1-EXP(-LN(2)/25))/(LN(2)/25)*Calculateur!AQ89*Calculateur!AS89*VLOOKUP('Données projet'!$B$10,Paramètres!$A$1:$I$89,3,0)*0.475*44/12</f>
        <v>16.456917963579794</v>
      </c>
      <c r="AW89" s="21">
        <f>EXP(-LN(2)/2)*AW88+(1-EXP(-LN(2)/2))/(LN(2)/2)*AQ89*AT89*VLOOKUP('Données projet'!$B$10,Paramètres!$A$1:$I$89,3,0)*0.475*44/12</f>
        <v>3.2833575248161786E-3</v>
      </c>
      <c r="AX89" s="21">
        <f t="shared" si="60"/>
        <v>121.35027783606658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-5.6843418860808015E-14</v>
      </c>
      <c r="BE89" s="13">
        <f>BD89*VLOOKUP('Données projet'!$B$11,Paramètres!$A$1:$I$89,3,0)*VLOOKUP('Données projet'!$B$11,Paramètres!$A$1:$I$89,5,0)</f>
        <v>-6.5483618527650828E-14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418.31716673276725</v>
      </c>
      <c r="BJ89" s="59">
        <f t="shared" si="92"/>
        <v>472.37891533957929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81.832585827246902</v>
      </c>
      <c r="BQ89" s="21">
        <f>EXP(-LN(2)/25)*BQ88+(1-EXP(-LN(2)/25))/(LN(2)/25)*Calculateur!BL89*Calculateur!BN89*VLOOKUP('Données projet'!$B$11,Paramètres!$A$1:$I$89,3,0)*0.475*44/12</f>
        <v>15.012258531026143</v>
      </c>
      <c r="BR89" s="21">
        <f>EXP(-LN(2)/2)*BR88+(1-EXP(-LN(2)/2))/(LN(2)/2)*BL89*BO89*VLOOKUP('Données projet'!$B$11,Paramètres!$A$1:$I$89,3,0)*0.475*44/12</f>
        <v>5.0924593671872543E-3</v>
      </c>
      <c r="BS89" s="22">
        <f t="shared" si="63"/>
        <v>96.849936817640241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>
        <f>VLOOKUP(A89,'Données projet'!$A$113:$I$133,2,0)</f>
        <v>147.37</v>
      </c>
      <c r="BW89" s="12">
        <f>VLOOKUP(A89,'Données projet'!$A$113:$I$133,9,0)</f>
        <v>3.5250000000000008</v>
      </c>
      <c r="BX89" s="12">
        <f t="array" ref="BX89">INDEX(BW:BW,MIN(IF(ISNUMBER(BW89:BW285),ROW(BW89:BW285),"")))</f>
        <v>3.5250000000000008</v>
      </c>
      <c r="BY89" s="12">
        <f>IF('Données projet'!$A$114&gt;35,BY88+BX89-CG88,IF(A89&lt;'Données projet'!$A$114,$BV$205^A89,IF(A89='Données projet'!$A$114,'Données projet'!$B$114,BY88+BX89-CG88)))</f>
        <v>147.37000000000015</v>
      </c>
      <c r="BZ89" s="13">
        <f>BY89*VLOOKUP('Données projet'!$B$12,Paramètres!$A$1:$I$89,3,0)*VLOOKUP('Données projet'!$B$12,Paramètres!$A$1:$I$89,5,0)</f>
        <v>86.211450000000085</v>
      </c>
      <c r="CA89" s="13">
        <f t="shared" si="93"/>
        <v>23.64924357626143</v>
      </c>
      <c r="CB89" s="20">
        <f t="shared" si="64"/>
        <v>191.34070797865547</v>
      </c>
      <c r="CC89" s="59">
        <f t="shared" si="65"/>
        <v>464.32245604406017</v>
      </c>
      <c r="CD89" s="59">
        <f ca="1">AVERAGE(OFFSET($CC$3,0,0,'Données projet'!$E$12+1,1))-AVERAGE(OFFSET($H$3,0,0,'Données projet'!$E$12+1,1))</f>
        <v>184.11352167663844</v>
      </c>
      <c r="CE89" s="59">
        <f t="shared" si="94"/>
        <v>145.86653500981791</v>
      </c>
      <c r="CF89" s="15">
        <f>IF(ISNA(VLOOKUP(A89,'Données projet'!$A$113:$I$133,3,0)),0,VLOOKUP(A89,'Données projet'!$A$113:$I$133,3,0))</f>
        <v>15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0.27</v>
      </c>
      <c r="CI89" s="16">
        <f>IF(ISNA(VLOOKUP(A89,'Données projet'!$A$113:$I$133,6,0)),0%,VLOOKUP(A89,'Données projet'!$A$113:$I$133,6,0)*VLOOKUP('Données projet'!$B$12,Paramètres!$A$1:$I$89,7,0))</f>
        <v>9.9000000000000005E-2</v>
      </c>
      <c r="CJ89" s="16">
        <f>IF(ISNA(VLOOKUP(A89,'Données projet'!$A$113:$I$133,7,0)),0%,VLOOKUP(A89,'Données projet'!$A$113:$I$133,7,0))</f>
        <v>0.18</v>
      </c>
      <c r="CK89" s="21">
        <f>EXP(-LN(2)/35)*CK88+(1-EXP(-LN(2)/35))/(LN(2)/35)*CG89*CH89*VLOOKUP('Données projet'!$B$12,Paramètres!$A$1:$I$89,3,0)*0.475*44/12</f>
        <v>23.649772218863777</v>
      </c>
      <c r="CL89" s="21">
        <f>EXP(-LN(2)/25)*CL88+(1-EXP(-LN(2)/25))/(LN(2)/25)*Calculateur!CG89*Calculateur!CI89*VLOOKUP('Données projet'!$B$12,Paramètres!$A$1:$I$89,3,0)*0.475*44/12</f>
        <v>10.308197121391578</v>
      </c>
      <c r="CM89" s="21">
        <f>EXP(-LN(2)/2)*CM88+(1-EXP(-LN(2)/2))/(LN(2)/2)*CG89*CJ89*VLOOKUP('Données projet'!$B$12,Paramètres!$A$1:$I$89,3,0)*0.475*44/12</f>
        <v>0.20204655373205582</v>
      </c>
      <c r="CN89" s="22">
        <f t="shared" si="66"/>
        <v>34.160015893987406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5.9112500000000026</v>
      </c>
      <c r="CT89" s="12">
        <f>IF('Données projet'!$A$140&gt;35,CT88+CS89-DB88,IF(A89&lt;'Données projet'!$A$140,$CQ$205^A89,IF(A89='Données projet'!$A$140,'Données projet'!$B$140,CT88+CS89-DB88)))</f>
        <v>249.85499999999985</v>
      </c>
      <c r="CU89" s="17">
        <f>CT89*VLOOKUP('Données projet'!$B$13,Paramètres!$A$1:$I$89,3,0)*VLOOKUP('Données projet'!$B$13,Paramètres!$A$1:$I$89,5,0)</f>
        <v>120.18025499999992</v>
      </c>
      <c r="CV89" s="13">
        <f t="shared" si="95"/>
        <v>31.717037139378728</v>
      </c>
      <c r="CW89" s="20">
        <f t="shared" si="67"/>
        <v>264.55445047608447</v>
      </c>
      <c r="CX89" s="59">
        <f t="shared" si="68"/>
        <v>537.53619854148917</v>
      </c>
      <c r="CY89" s="59">
        <f ca="1">AVERAGE(OFFSET($CX$3,0,0,'Données projet'!$E$13+1,1))-AVERAGE(OFFSET($H$3,0,0,'Données projet'!$E$13+1,1))</f>
        <v>303.76035885073708</v>
      </c>
      <c r="CZ89" s="59">
        <f t="shared" si="96"/>
        <v>127.43112562890414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5.9655503731063853</v>
      </c>
      <c r="DG89" s="21">
        <f>EXP(-LN(2)/25)*DG88+(1-EXP(-LN(2)/25))/(LN(2)/25)*Calculateur!DB89*Calculateur!DD89*VLOOKUP('Données projet'!$B$13,Paramètres!$A$1:$I$89,3,0)*0.475*44/12</f>
        <v>27.054871351154269</v>
      </c>
      <c r="DH89" s="21">
        <f>EXP(-LN(2)/2)*DH88+(1-EXP(-LN(2)/2))/(LN(2)/2)*DB89*DE89*VLOOKUP('Données projet'!$B$13,Paramètres!$A$1:$I$89,3,0)*0.475*44/12</f>
        <v>4.4244346612433905</v>
      </c>
      <c r="DI89" s="22">
        <f t="shared" si="69"/>
        <v>37.444856385504046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5.6843418860808015E-14</v>
      </c>
      <c r="DP89" s="17">
        <f>DO89*VLOOKUP('Données projet'!$B$14,Paramètres!$A$1:$I$89,3,0)*VLOOKUP('Données projet'!$B$14,Paramètres!$A$1:$I$89,5,0)</f>
        <v>3.2810021366458389E-14</v>
      </c>
      <c r="DQ89" s="13">
        <f t="shared" si="97"/>
        <v>5.6117125884464641E-13</v>
      </c>
      <c r="DR89" s="20">
        <f t="shared" si="70"/>
        <v>1.0345173963676741E-12</v>
      </c>
      <c r="DS89" s="59">
        <f t="shared" si="71"/>
        <v>272.98174806540572</v>
      </c>
      <c r="DT89" s="59">
        <f ca="1">AVERAGE(OFFSET($DS$3,0,0,'Données projet'!$E$14+1,1))-AVERAGE(OFFSET($H$3,0,0,'Données projet'!$E$14+1,1))</f>
        <v>243.65374431792841</v>
      </c>
      <c r="DU89" s="59">
        <f t="shared" si="98"/>
        <v>271.60754570002939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35.574007645389727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35.574007645389727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5.4</v>
      </c>
      <c r="EJ89" s="12">
        <f>IF('Données projet'!$A$192&gt;35,EJ88+EI89-ER88,IF(A89&lt;'Données projet'!$A$192,$EG$205^A89,IF(A89='Données projet'!$A$192,'Données projet'!$B$192,EJ88+EI89-ER88)))</f>
        <v>253.39999999999998</v>
      </c>
      <c r="EK89" s="17">
        <f>EJ89*VLOOKUP('Données projet'!$B$15,Paramètres!$A$1:$I$89,3,0)*VLOOKUP('Données projet'!$B$15,Paramètres!$A$1:$I$89,5,0)</f>
        <v>169.98071999999999</v>
      </c>
      <c r="EL89" s="13">
        <f t="shared" si="99"/>
        <v>43.085705478170858</v>
      </c>
      <c r="EM89" s="20">
        <f t="shared" si="73"/>
        <v>371.09069104114752</v>
      </c>
      <c r="EN89" s="59">
        <f t="shared" si="74"/>
        <v>644.07243910655222</v>
      </c>
      <c r="EO89" s="59">
        <f ca="1">AVERAGE(OFFSET($EN$3,0,0,'Données projet'!$E$15+1,1))-AVERAGE(OFFSET($H$3,0,0,'Données projet'!$E$15+1,1))</f>
        <v>321.44781099085594</v>
      </c>
      <c r="EP89" s="59">
        <f t="shared" si="100"/>
        <v>201.22243186578183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23.678473285511597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23.678473285511597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2.8421709430404007E-14</v>
      </c>
      <c r="FF89" s="17">
        <f>FE89*VLOOKUP('Données projet'!$B$16,Paramètres!$A$1:$I$89,3,0)*VLOOKUP('Données projet'!$B$16,Paramètres!$A$1:$I$89,5,0)</f>
        <v>2.4829205358400945E-14</v>
      </c>
      <c r="FG89" s="13">
        <f t="shared" si="101"/>
        <v>4.3867331143352915E-13</v>
      </c>
      <c r="FH89" s="20">
        <f t="shared" si="76"/>
        <v>8.0726688341261168E-13</v>
      </c>
      <c r="FI89" s="59">
        <f t="shared" si="77"/>
        <v>272.9817480654055</v>
      </c>
      <c r="FJ89" s="59">
        <f ca="1">AVERAGE(OFFSET($FI$3,0,0,'Données projet'!$E$16+1,1))-AVERAGE(OFFSET($H$3,0,0,'Données projet'!$E$16+1,1))</f>
        <v>285.8437404763045</v>
      </c>
      <c r="FK89" s="59">
        <f t="shared" si="102"/>
        <v>276.01618888357268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70.464905451771742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70.464905451771742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-1.7053025658242404E-13</v>
      </c>
      <c r="GA89" s="17">
        <f>FZ89*VLOOKUP('Données projet'!$B$17,Paramètres!$A$1:$I$89,3,0)*VLOOKUP('Données projet'!$B$17,Paramètres!$A$1:$I$89,5,0)</f>
        <v>-1.3567387213697657E-13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323.01113210765487</v>
      </c>
      <c r="GF89" s="59">
        <f t="shared" si="104"/>
        <v>311.68541696405975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80.890460386903356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80.890460386903356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2.8421709430404007E-14</v>
      </c>
      <c r="GV89" s="17">
        <f>GU89*VLOOKUP('Données projet'!$B$18,Paramètres!$A$1:$I$89,3,0)*VLOOKUP('Données projet'!$B$18,Paramètres!$A$1:$I$89,5,0)</f>
        <v>2.4829205358400945E-14</v>
      </c>
      <c r="GW89" s="13">
        <f t="shared" si="105"/>
        <v>4.3867331143352915E-13</v>
      </c>
      <c r="GX89" s="20">
        <f t="shared" si="82"/>
        <v>8.0726688341261168E-13</v>
      </c>
      <c r="GY89" s="59">
        <f t="shared" si="83"/>
        <v>272.9817480654055</v>
      </c>
      <c r="GZ89" s="59">
        <f ca="1">AVERAGE(OFFSET($GY$3,0,0,'Données projet'!$E$18+1,1))-AVERAGE(OFFSET($H$3,0,0,'Données projet'!$E$18+1,1))</f>
        <v>285.8437404763045</v>
      </c>
      <c r="HA89" s="59">
        <f t="shared" si="106"/>
        <v>276.01618888357268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70.464905451771742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70.464905451771742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4.2</v>
      </c>
      <c r="N90" s="13">
        <f>IF('Données projet'!$A$36&gt;35,N89+M90-V89,IF(A90&lt;'Données projet'!$A$36,$K$205^A90,IF(A90='Données projet'!$A$36,'Données projet'!$B$36,N89+M90-V89)))</f>
        <v>194.39999999999998</v>
      </c>
      <c r="O90" s="13">
        <f>N90*VLOOKUP('Données projet'!$B$9,Paramètres!$A$1:$I$89,3,0)*VLOOKUP('Données projet'!$B$9,Paramètres!$A$1:$I$89,5,0)</f>
        <v>175.89311999999998</v>
      </c>
      <c r="P90" s="13">
        <f t="shared" si="87"/>
        <v>44.407257302525892</v>
      </c>
      <c r="Q90" s="20">
        <f t="shared" si="54"/>
        <v>383.68982380189919</v>
      </c>
      <c r="R90" s="59">
        <f t="shared" si="55"/>
        <v>657.02462637237409</v>
      </c>
      <c r="S90" s="59">
        <f ca="1">AVERAGE(OFFSET($R$3,0,0,'Données projet'!$E$9+1,1))-AVERAGE(OFFSET($H$3,0,0,'Données projet'!$E$9+1,1))</f>
        <v>315.34103933739129</v>
      </c>
      <c r="T90" s="59">
        <f t="shared" si="88"/>
        <v>165.80901858372513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15.339774506329036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15.339774506329036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-3.4106051316484809E-13</v>
      </c>
      <c r="AJ90" s="13">
        <f>AI90*VLOOKUP('Données projet'!$B$10,Paramètres!$A$1:$I$89,3,0)*VLOOKUP('Données projet'!$B$10,Paramètres!$A$1:$I$89,5,0)</f>
        <v>-2.0395418687257919E-13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317.328615425664</v>
      </c>
      <c r="AO90" s="59">
        <f t="shared" si="90"/>
        <v>324.95872842255744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102.83324609113306</v>
      </c>
      <c r="AV90" s="21">
        <f>EXP(-LN(2)/25)*AV89+(1-EXP(-LN(2)/25))/(LN(2)/25)*Calculateur!AQ90*Calculateur!AS90*VLOOKUP('Données projet'!$B$10,Paramètres!$A$1:$I$89,3,0)*0.475*44/12</f>
        <v>16.006902676434002</v>
      </c>
      <c r="AW90" s="21">
        <f>EXP(-LN(2)/2)*AW89+(1-EXP(-LN(2)/2))/(LN(2)/2)*AQ90*AT90*VLOOKUP('Données projet'!$B$10,Paramètres!$A$1:$I$89,3,0)*0.475*44/12</f>
        <v>2.3216843708573978E-3</v>
      </c>
      <c r="AX90" s="21">
        <f t="shared" si="60"/>
        <v>118.84247045193791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-5.6843418860808015E-14</v>
      </c>
      <c r="BE90" s="13">
        <f>BD90*VLOOKUP('Données projet'!$B$11,Paramètres!$A$1:$I$89,3,0)*VLOOKUP('Données projet'!$B$11,Paramètres!$A$1:$I$89,5,0)</f>
        <v>-6.5483618527650828E-14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418.31716673276725</v>
      </c>
      <c r="BJ90" s="59">
        <f t="shared" si="92"/>
        <v>472.37891533957929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80.22789873212345</v>
      </c>
      <c r="BQ90" s="21">
        <f>EXP(-LN(2)/25)*BQ89+(1-EXP(-LN(2)/25))/(LN(2)/25)*Calculateur!BL90*Calculateur!BN90*VLOOKUP('Données projet'!$B$11,Paramètres!$A$1:$I$89,3,0)*0.475*44/12</f>
        <v>14.601747532034867</v>
      </c>
      <c r="BR90" s="21">
        <f>EXP(-LN(2)/2)*BR89+(1-EXP(-LN(2)/2))/(LN(2)/2)*BL90*BO90*VLOOKUP('Données projet'!$B$11,Paramètres!$A$1:$I$89,3,0)*0.475*44/12</f>
        <v>3.6009125514550621E-3</v>
      </c>
      <c r="BS90" s="22">
        <f t="shared" si="63"/>
        <v>94.833247176709762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2.6625000000000014</v>
      </c>
      <c r="BY90" s="12">
        <f>IF('Données projet'!$A$114&gt;35,BY89+BX90-CG89,IF(A90&lt;'Données projet'!$A$114,$BV$205^A90,IF(A90='Données projet'!$A$114,'Données projet'!$B$114,BY89+BX90-CG89)))</f>
        <v>150.03250000000014</v>
      </c>
      <c r="BZ90" s="13">
        <f>BY90*VLOOKUP('Données projet'!$B$12,Paramètres!$A$1:$I$89,3,0)*VLOOKUP('Données projet'!$B$12,Paramètres!$A$1:$I$89,5,0)</f>
        <v>87.769012500000088</v>
      </c>
      <c r="CA90" s="13">
        <f t="shared" si="93"/>
        <v>24.026381012118126</v>
      </c>
      <c r="CB90" s="20">
        <f t="shared" si="64"/>
        <v>194.71031036693921</v>
      </c>
      <c r="CC90" s="59">
        <f t="shared" si="65"/>
        <v>468.04511293741405</v>
      </c>
      <c r="CD90" s="59">
        <f ca="1">AVERAGE(OFFSET($CC$3,0,0,'Données projet'!$E$12+1,1))-AVERAGE(OFFSET($H$3,0,0,'Données projet'!$E$12+1,1))</f>
        <v>184.11352167663844</v>
      </c>
      <c r="CE90" s="59">
        <f t="shared" si="94"/>
        <v>145.86653500981791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23.186014610588568</v>
      </c>
      <c r="CL90" s="21">
        <f>EXP(-LN(2)/25)*CL89+(1-EXP(-LN(2)/25))/(LN(2)/25)*Calculateur!CG90*Calculateur!CI90*VLOOKUP('Données projet'!$B$12,Paramètres!$A$1:$I$89,3,0)*0.475*44/12</f>
        <v>10.026318929022597</v>
      </c>
      <c r="CM90" s="21">
        <f>EXP(-LN(2)/2)*CM89+(1-EXP(-LN(2)/2))/(LN(2)/2)*CG90*CJ90*VLOOKUP('Données projet'!$B$12,Paramètres!$A$1:$I$89,3,0)*0.475*44/12</f>
        <v>0.14286848825930881</v>
      </c>
      <c r="CN90" s="22">
        <f t="shared" si="66"/>
        <v>33.355202027870476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5.9112500000000026</v>
      </c>
      <c r="CT90" s="12">
        <f>IF('Données projet'!$A$140&gt;35,CT89+CS90-DB89,IF(A90&lt;'Données projet'!$A$140,$CQ$205^A90,IF(A90='Données projet'!$A$140,'Données projet'!$B$140,CT89+CS90-DB89)))</f>
        <v>255.76624999999984</v>
      </c>
      <c r="CU90" s="17">
        <f>CT90*VLOOKUP('Données projet'!$B$13,Paramètres!$A$1:$I$89,3,0)*VLOOKUP('Données projet'!$B$13,Paramètres!$A$1:$I$89,5,0)</f>
        <v>123.02356624999992</v>
      </c>
      <c r="CV90" s="13">
        <f t="shared" si="95"/>
        <v>32.379171916394085</v>
      </c>
      <c r="CW90" s="20">
        <f t="shared" si="67"/>
        <v>270.65976897313618</v>
      </c>
      <c r="CX90" s="59">
        <f t="shared" si="68"/>
        <v>543.99457154361107</v>
      </c>
      <c r="CY90" s="59">
        <f ca="1">AVERAGE(OFFSET($CX$3,0,0,'Données projet'!$E$13+1,1))-AVERAGE(OFFSET($H$3,0,0,'Données projet'!$E$13+1,1))</f>
        <v>303.76035885073708</v>
      </c>
      <c r="CZ90" s="59">
        <f t="shared" si="96"/>
        <v>127.43112562890414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5.8485695689162123</v>
      </c>
      <c r="DG90" s="21">
        <f>EXP(-LN(2)/25)*DG89+(1-EXP(-LN(2)/25))/(LN(2)/25)*Calculateur!DB90*Calculateur!DD90*VLOOKUP('Données projet'!$B$13,Paramètres!$A$1:$I$89,3,0)*0.475*44/12</f>
        <v>26.315054471303107</v>
      </c>
      <c r="DH90" s="21">
        <f>EXP(-LN(2)/2)*DH89+(1-EXP(-LN(2)/2))/(LN(2)/2)*DB90*DE90*VLOOKUP('Données projet'!$B$13,Paramètres!$A$1:$I$89,3,0)*0.475*44/12</f>
        <v>3.1285477518820066</v>
      </c>
      <c r="DI90" s="22">
        <f t="shared" si="69"/>
        <v>35.292171792101328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5.6843418860808015E-14</v>
      </c>
      <c r="DP90" s="17">
        <f>DO90*VLOOKUP('Données projet'!$B$14,Paramètres!$A$1:$I$89,3,0)*VLOOKUP('Données projet'!$B$14,Paramètres!$A$1:$I$89,5,0)</f>
        <v>3.2810021366458389E-14</v>
      </c>
      <c r="DQ90" s="13">
        <f t="shared" si="97"/>
        <v>5.6117125884464641E-13</v>
      </c>
      <c r="DR90" s="20">
        <f t="shared" si="70"/>
        <v>1.0345173963676741E-12</v>
      </c>
      <c r="DS90" s="59">
        <f t="shared" si="71"/>
        <v>273.33480257047586</v>
      </c>
      <c r="DT90" s="59">
        <f ca="1">AVERAGE(OFFSET($DS$3,0,0,'Données projet'!$E$14+1,1))-AVERAGE(OFFSET($H$3,0,0,'Données projet'!$E$14+1,1))</f>
        <v>243.65374431792841</v>
      </c>
      <c r="DU90" s="59">
        <f t="shared" si="98"/>
        <v>271.60754570002939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34.8764230534658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34.8764230534658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5.4</v>
      </c>
      <c r="EJ90" s="12">
        <f>IF('Données projet'!$A$192&gt;35,EJ89+EI90-ER89,IF(A90&lt;'Données projet'!$A$192,$EG$205^A90,IF(A90='Données projet'!$A$192,'Données projet'!$B$192,EJ89+EI90-ER89)))</f>
        <v>258.79999999999995</v>
      </c>
      <c r="EK90" s="17">
        <f>EJ90*VLOOKUP('Données projet'!$B$15,Paramètres!$A$1:$I$89,3,0)*VLOOKUP('Données projet'!$B$15,Paramètres!$A$1:$I$89,5,0)</f>
        <v>173.60303999999996</v>
      </c>
      <c r="EL90" s="13">
        <f t="shared" si="99"/>
        <v>43.895997056101073</v>
      </c>
      <c r="EM90" s="20">
        <f t="shared" si="73"/>
        <v>378.81082287270925</v>
      </c>
      <c r="EN90" s="59">
        <f t="shared" si="74"/>
        <v>652.14562544318414</v>
      </c>
      <c r="EO90" s="59">
        <f ca="1">AVERAGE(OFFSET($EN$3,0,0,'Données projet'!$E$15+1,1))-AVERAGE(OFFSET($H$3,0,0,'Données projet'!$E$15+1,1))</f>
        <v>321.44781099085594</v>
      </c>
      <c r="EP90" s="59">
        <f t="shared" si="100"/>
        <v>201.22243186578183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23.214152866825344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23.214152866825344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2.8421709430404007E-14</v>
      </c>
      <c r="FF90" s="17">
        <f>FE90*VLOOKUP('Données projet'!$B$16,Paramètres!$A$1:$I$89,3,0)*VLOOKUP('Données projet'!$B$16,Paramètres!$A$1:$I$89,5,0)</f>
        <v>2.4829205358400945E-14</v>
      </c>
      <c r="FG90" s="13">
        <f t="shared" si="101"/>
        <v>4.3867331143352915E-13</v>
      </c>
      <c r="FH90" s="20">
        <f t="shared" si="76"/>
        <v>8.0726688341261168E-13</v>
      </c>
      <c r="FI90" s="59">
        <f t="shared" si="77"/>
        <v>273.33480257047563</v>
      </c>
      <c r="FJ90" s="59">
        <f ca="1">AVERAGE(OFFSET($FI$3,0,0,'Données projet'!$E$16+1,1))-AVERAGE(OFFSET($H$3,0,0,'Données projet'!$E$16+1,1))</f>
        <v>285.8437404763045</v>
      </c>
      <c r="FK90" s="59">
        <f t="shared" si="102"/>
        <v>276.01618888357268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69.083131635210961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69.083131635210961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-1.7053025658242404E-13</v>
      </c>
      <c r="GA90" s="17">
        <f>FZ90*VLOOKUP('Données projet'!$B$17,Paramètres!$A$1:$I$89,3,0)*VLOOKUP('Données projet'!$B$17,Paramètres!$A$1:$I$89,5,0)</f>
        <v>-1.3567387213697657E-13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323.01113210765487</v>
      </c>
      <c r="GF90" s="59">
        <f t="shared" si="104"/>
        <v>311.68541696405975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79.304247797025269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79.304247797025269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2.8421709430404007E-14</v>
      </c>
      <c r="GV90" s="17">
        <f>GU90*VLOOKUP('Données projet'!$B$18,Paramètres!$A$1:$I$89,3,0)*VLOOKUP('Données projet'!$B$18,Paramètres!$A$1:$I$89,5,0)</f>
        <v>2.4829205358400945E-14</v>
      </c>
      <c r="GW90" s="13">
        <f t="shared" si="105"/>
        <v>4.3867331143352915E-13</v>
      </c>
      <c r="GX90" s="20">
        <f t="shared" si="82"/>
        <v>8.0726688341261168E-13</v>
      </c>
      <c r="GY90" s="59">
        <f t="shared" si="83"/>
        <v>273.33480257047563</v>
      </c>
      <c r="GZ90" s="59">
        <f ca="1">AVERAGE(OFFSET($GY$3,0,0,'Données projet'!$E$18+1,1))-AVERAGE(OFFSET($H$3,0,0,'Données projet'!$E$18+1,1))</f>
        <v>285.8437404763045</v>
      </c>
      <c r="HA90" s="59">
        <f t="shared" si="106"/>
        <v>276.01618888357268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69.083131635210961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69.083131635210961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4.2</v>
      </c>
      <c r="N91" s="13">
        <f>IF('Données projet'!$A$36&gt;35,N90+M91-V90,IF(A91&lt;'Données projet'!$A$36,$K$205^A91,IF(A91='Données projet'!$A$36,'Données projet'!$B$36,N90+M91-V90)))</f>
        <v>198.59999999999997</v>
      </c>
      <c r="O91" s="13">
        <f>N91*VLOOKUP('Données projet'!$B$9,Paramètres!$A$1:$I$89,3,0)*VLOOKUP('Données projet'!$B$9,Paramètres!$A$1:$I$89,5,0)</f>
        <v>179.69327999999996</v>
      </c>
      <c r="P91" s="13">
        <f t="shared" si="87"/>
        <v>45.253939845742309</v>
      </c>
      <c r="Q91" s="20">
        <f t="shared" si="54"/>
        <v>391.78307456466774</v>
      </c>
      <c r="R91" s="59">
        <f t="shared" si="55"/>
        <v>665.46480693386138</v>
      </c>
      <c r="S91" s="59">
        <f ca="1">AVERAGE(OFFSET($R$3,0,0,'Données projet'!$E$9+1,1))-AVERAGE(OFFSET($H$3,0,0,'Données projet'!$E$9+1,1))</f>
        <v>315.34103933739129</v>
      </c>
      <c r="T91" s="59">
        <f t="shared" si="88"/>
        <v>165.80901858372513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15.038970884598511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15.038970884598511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-3.4106051316484809E-13</v>
      </c>
      <c r="AJ91" s="13">
        <f>AI91*VLOOKUP('Données projet'!$B$10,Paramètres!$A$1:$I$89,3,0)*VLOOKUP('Données projet'!$B$10,Paramètres!$A$1:$I$89,5,0)</f>
        <v>-2.0395418687257919E-13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317.328615425664</v>
      </c>
      <c r="AO91" s="59">
        <f t="shared" si="90"/>
        <v>324.95872842255744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100.81674885737277</v>
      </c>
      <c r="AV91" s="21">
        <f>EXP(-LN(2)/25)*AV90+(1-EXP(-LN(2)/25))/(LN(2)/25)*Calculateur!AQ91*Calculateur!AS91*VLOOKUP('Données projet'!$B$10,Paramètres!$A$1:$I$89,3,0)*0.475*44/12</f>
        <v>15.569193080980487</v>
      </c>
      <c r="AW91" s="21">
        <f>EXP(-LN(2)/2)*AW90+(1-EXP(-LN(2)/2))/(LN(2)/2)*AQ91*AT91*VLOOKUP('Données projet'!$B$10,Paramètres!$A$1:$I$89,3,0)*0.475*44/12</f>
        <v>1.6416787624080893E-3</v>
      </c>
      <c r="AX91" s="21">
        <f t="shared" si="60"/>
        <v>116.38758361711567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-5.6843418860808015E-14</v>
      </c>
      <c r="BE91" s="13">
        <f>BD91*VLOOKUP('Données projet'!$B$11,Paramètres!$A$1:$I$89,3,0)*VLOOKUP('Données projet'!$B$11,Paramètres!$A$1:$I$89,5,0)</f>
        <v>-6.5483618527650828E-14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418.31716673276725</v>
      </c>
      <c r="BJ91" s="59">
        <f t="shared" si="92"/>
        <v>472.37891533957929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78.654678572172884</v>
      </c>
      <c r="BQ91" s="21">
        <f>EXP(-LN(2)/25)*BQ90+(1-EXP(-LN(2)/25))/(LN(2)/25)*Calculateur!BL91*Calculateur!BN91*VLOOKUP('Données projet'!$B$11,Paramètres!$A$1:$I$89,3,0)*0.475*44/12</f>
        <v>14.202461977898844</v>
      </c>
      <c r="BR91" s="21">
        <f>EXP(-LN(2)/2)*BR90+(1-EXP(-LN(2)/2))/(LN(2)/2)*BL91*BO91*VLOOKUP('Données projet'!$B$11,Paramètres!$A$1:$I$89,3,0)*0.475*44/12</f>
        <v>2.5462296835936271E-3</v>
      </c>
      <c r="BS91" s="22">
        <f t="shared" si="63"/>
        <v>92.859686779755322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2.6625000000000014</v>
      </c>
      <c r="BY91" s="12">
        <f>IF('Données projet'!$A$114&gt;35,BY90+BX91-CG90,IF(A91&lt;'Données projet'!$A$114,$BV$205^A91,IF(A91='Données projet'!$A$114,'Données projet'!$B$114,BY90+BX91-CG90)))</f>
        <v>152.69500000000014</v>
      </c>
      <c r="BZ91" s="13">
        <f>BY91*VLOOKUP('Données projet'!$B$12,Paramètres!$A$1:$I$89,3,0)*VLOOKUP('Données projet'!$B$12,Paramètres!$A$1:$I$89,5,0)</f>
        <v>89.326575000000076</v>
      </c>
      <c r="CA91" s="13">
        <f t="shared" si="93"/>
        <v>24.402740173977467</v>
      </c>
      <c r="CB91" s="20">
        <f t="shared" si="64"/>
        <v>198.07855726134417</v>
      </c>
      <c r="CC91" s="59">
        <f t="shared" si="65"/>
        <v>471.76028963053784</v>
      </c>
      <c r="CD91" s="59">
        <f ca="1">AVERAGE(OFFSET($CC$3,0,0,'Données projet'!$E$12+1,1))-AVERAGE(OFFSET($H$3,0,0,'Données projet'!$E$12+1,1))</f>
        <v>184.11352167663844</v>
      </c>
      <c r="CE91" s="59">
        <f t="shared" si="94"/>
        <v>145.86653500981791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22.731351006147424</v>
      </c>
      <c r="CL91" s="21">
        <f>EXP(-LN(2)/25)*CL90+(1-EXP(-LN(2)/25))/(LN(2)/25)*Calculateur!CG91*Calculateur!CI91*VLOOKUP('Données projet'!$B$12,Paramètres!$A$1:$I$89,3,0)*0.475*44/12</f>
        <v>9.752148710647278</v>
      </c>
      <c r="CM91" s="21">
        <f>EXP(-LN(2)/2)*CM90+(1-EXP(-LN(2)/2))/(LN(2)/2)*CG91*CJ91*VLOOKUP('Données projet'!$B$12,Paramètres!$A$1:$I$89,3,0)*0.475*44/12</f>
        <v>0.10102327686602791</v>
      </c>
      <c r="CN91" s="22">
        <f t="shared" si="66"/>
        <v>32.584522993660734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5.9112500000000026</v>
      </c>
      <c r="CT91" s="12">
        <f>IF('Données projet'!$A$140&gt;35,CT90+CS91-DB90,IF(A91&lt;'Données projet'!$A$140,$CQ$205^A91,IF(A91='Données projet'!$A$140,'Données projet'!$B$140,CT90+CS91-DB90)))</f>
        <v>261.67749999999984</v>
      </c>
      <c r="CU91" s="17">
        <f>CT91*VLOOKUP('Données projet'!$B$13,Paramètres!$A$1:$I$89,3,0)*VLOOKUP('Données projet'!$B$13,Paramètres!$A$1:$I$89,5,0)</f>
        <v>125.86687749999993</v>
      </c>
      <c r="CV91" s="13">
        <f t="shared" si="95"/>
        <v>33.03952762645941</v>
      </c>
      <c r="CW91" s="20">
        <f t="shared" si="67"/>
        <v>276.76198892858332</v>
      </c>
      <c r="CX91" s="59">
        <f t="shared" si="68"/>
        <v>550.44372129777707</v>
      </c>
      <c r="CY91" s="59">
        <f ca="1">AVERAGE(OFFSET($CX$3,0,0,'Données projet'!$E$13+1,1))-AVERAGE(OFFSET($H$3,0,0,'Données projet'!$E$13+1,1))</f>
        <v>303.76035885073708</v>
      </c>
      <c r="CZ91" s="59">
        <f t="shared" si="96"/>
        <v>127.43112562890414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5.7338826869449635</v>
      </c>
      <c r="DG91" s="21">
        <f>EXP(-LN(2)/25)*DG90+(1-EXP(-LN(2)/25))/(LN(2)/25)*Calculateur!DB91*Calculateur!DD91*VLOOKUP('Données projet'!$B$13,Paramètres!$A$1:$I$89,3,0)*0.475*44/12</f>
        <v>25.595467922936752</v>
      </c>
      <c r="DH91" s="21">
        <f>EXP(-LN(2)/2)*DH90+(1-EXP(-LN(2)/2))/(LN(2)/2)*DB91*DE91*VLOOKUP('Données projet'!$B$13,Paramètres!$A$1:$I$89,3,0)*0.475*44/12</f>
        <v>2.2122173306216952</v>
      </c>
      <c r="DI91" s="22">
        <f t="shared" si="69"/>
        <v>33.541567940503413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5.6843418860808015E-14</v>
      </c>
      <c r="DP91" s="17">
        <f>DO91*VLOOKUP('Données projet'!$B$14,Paramètres!$A$1:$I$89,3,0)*VLOOKUP('Données projet'!$B$14,Paramètres!$A$1:$I$89,5,0)</f>
        <v>3.2810021366458389E-14</v>
      </c>
      <c r="DQ91" s="13">
        <f t="shared" si="97"/>
        <v>5.6117125884464641E-13</v>
      </c>
      <c r="DR91" s="20">
        <f t="shared" si="70"/>
        <v>1.0345173963676741E-12</v>
      </c>
      <c r="DS91" s="59">
        <f t="shared" si="71"/>
        <v>273.68173236919472</v>
      </c>
      <c r="DT91" s="59">
        <f ca="1">AVERAGE(OFFSET($DS$3,0,0,'Données projet'!$E$14+1,1))-AVERAGE(OFFSET($H$3,0,0,'Données projet'!$E$14+1,1))</f>
        <v>243.65374431792841</v>
      </c>
      <c r="DU91" s="59">
        <f t="shared" si="98"/>
        <v>271.60754570002939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34.192517669904909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34.192517669904909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5.4</v>
      </c>
      <c r="EJ91" s="12">
        <f>IF('Données projet'!$A$192&gt;35,EJ90+EI91-ER90,IF(A91&lt;'Données projet'!$A$192,$EG$205^A91,IF(A91='Données projet'!$A$192,'Données projet'!$B$192,EJ90+EI91-ER90)))</f>
        <v>264.19999999999993</v>
      </c>
      <c r="EK91" s="17">
        <f>EJ91*VLOOKUP('Données projet'!$B$15,Paramètres!$A$1:$I$89,3,0)*VLOOKUP('Données projet'!$B$15,Paramètres!$A$1:$I$89,5,0)</f>
        <v>177.22535999999997</v>
      </c>
      <c r="EL91" s="13">
        <f t="shared" si="99"/>
        <v>44.704322877101163</v>
      </c>
      <c r="EM91" s="20">
        <f t="shared" si="73"/>
        <v>386.52753101095112</v>
      </c>
      <c r="EN91" s="59">
        <f t="shared" si="74"/>
        <v>660.20926338014488</v>
      </c>
      <c r="EO91" s="59">
        <f ca="1">AVERAGE(OFFSET($EN$3,0,0,'Données projet'!$E$15+1,1))-AVERAGE(OFFSET($H$3,0,0,'Données projet'!$E$15+1,1))</f>
        <v>321.44781099085594</v>
      </c>
      <c r="EP91" s="59">
        <f t="shared" si="100"/>
        <v>201.22243186578183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22.758937488342038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22.758937488342038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2.8421709430404007E-14</v>
      </c>
      <c r="FF91" s="17">
        <f>FE91*VLOOKUP('Données projet'!$B$16,Paramètres!$A$1:$I$89,3,0)*VLOOKUP('Données projet'!$B$16,Paramètres!$A$1:$I$89,5,0)</f>
        <v>2.4829205358400945E-14</v>
      </c>
      <c r="FG91" s="13">
        <f t="shared" si="101"/>
        <v>4.3867331143352915E-13</v>
      </c>
      <c r="FH91" s="20">
        <f t="shared" si="76"/>
        <v>8.0726688341261168E-13</v>
      </c>
      <c r="FI91" s="59">
        <f t="shared" si="77"/>
        <v>273.68173236919449</v>
      </c>
      <c r="FJ91" s="59">
        <f ca="1">AVERAGE(OFFSET($FI$3,0,0,'Données projet'!$E$16+1,1))-AVERAGE(OFFSET($H$3,0,0,'Données projet'!$E$16+1,1))</f>
        <v>285.8437404763045</v>
      </c>
      <c r="FK91" s="59">
        <f t="shared" si="102"/>
        <v>276.01618888357268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67.728453560394129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67.728453560394129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-1.7053025658242404E-13</v>
      </c>
      <c r="GA91" s="17">
        <f>FZ91*VLOOKUP('Données projet'!$B$17,Paramètres!$A$1:$I$89,3,0)*VLOOKUP('Données projet'!$B$17,Paramètres!$A$1:$I$89,5,0)</f>
        <v>-1.3567387213697657E-13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323.01113210765487</v>
      </c>
      <c r="GF91" s="59">
        <f t="shared" si="104"/>
        <v>311.68541696405975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77.749139868540539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77.749139868540539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2.8421709430404007E-14</v>
      </c>
      <c r="GV91" s="17">
        <f>GU91*VLOOKUP('Données projet'!$B$18,Paramètres!$A$1:$I$89,3,0)*VLOOKUP('Données projet'!$B$18,Paramètres!$A$1:$I$89,5,0)</f>
        <v>2.4829205358400945E-14</v>
      </c>
      <c r="GW91" s="13">
        <f t="shared" si="105"/>
        <v>4.3867331143352915E-13</v>
      </c>
      <c r="GX91" s="20">
        <f t="shared" si="82"/>
        <v>8.0726688341261168E-13</v>
      </c>
      <c r="GY91" s="59">
        <f t="shared" si="83"/>
        <v>273.68173236919449</v>
      </c>
      <c r="GZ91" s="59">
        <f ca="1">AVERAGE(OFFSET($GY$3,0,0,'Données projet'!$E$18+1,1))-AVERAGE(OFFSET($H$3,0,0,'Données projet'!$E$18+1,1))</f>
        <v>285.8437404763045</v>
      </c>
      <c r="HA91" s="59">
        <f t="shared" si="106"/>
        <v>276.01618888357268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67.728453560394129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67.728453560394129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4.2</v>
      </c>
      <c r="N92" s="13">
        <f>IF('Données projet'!$A$36&gt;35,N91+M92-V91,IF(A92&lt;'Données projet'!$A$36,$K$205^A92,IF(A92='Données projet'!$A$36,'Données projet'!$B$36,N91+M92-V91)))</f>
        <v>202.79999999999995</v>
      </c>
      <c r="O92" s="13">
        <f>N92*VLOOKUP('Données projet'!$B$9,Paramètres!$A$1:$I$89,3,0)*VLOOKUP('Données projet'!$B$9,Paramètres!$A$1:$I$89,5,0)</f>
        <v>183.49343999999996</v>
      </c>
      <c r="P92" s="13">
        <f t="shared" si="87"/>
        <v>46.09854056776922</v>
      </c>
      <c r="Q92" s="20">
        <f t="shared" si="54"/>
        <v>399.87269948886461</v>
      </c>
      <c r="R92" s="59">
        <f t="shared" si="55"/>
        <v>673.8953432003882</v>
      </c>
      <c r="S92" s="59">
        <f ca="1">AVERAGE(OFFSET($R$3,0,0,'Données projet'!$E$9+1,1))-AVERAGE(OFFSET($H$3,0,0,'Données projet'!$E$9+1,1))</f>
        <v>315.34103933739129</v>
      </c>
      <c r="T92" s="59">
        <f t="shared" si="88"/>
        <v>165.80901858372513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14.744065838418027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14.744065838418027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-3.4106051316484809E-13</v>
      </c>
      <c r="AJ92" s="13">
        <f>AI92*VLOOKUP('Données projet'!$B$10,Paramètres!$A$1:$I$89,3,0)*VLOOKUP('Données projet'!$B$10,Paramètres!$A$1:$I$89,5,0)</f>
        <v>-2.0395418687257919E-13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317.328615425664</v>
      </c>
      <c r="AO92" s="59">
        <f t="shared" si="90"/>
        <v>324.95872842255744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98.839793904424653</v>
      </c>
      <c r="AV92" s="21">
        <f>EXP(-LN(2)/25)*AV91+(1-EXP(-LN(2)/25))/(LN(2)/25)*Calculateur!AQ92*Calculateur!AS92*VLOOKUP('Données projet'!$B$10,Paramètres!$A$1:$I$89,3,0)*0.475*44/12</f>
        <v>15.143452677432794</v>
      </c>
      <c r="AW92" s="21">
        <f>EXP(-LN(2)/2)*AW91+(1-EXP(-LN(2)/2))/(LN(2)/2)*AQ92*AT92*VLOOKUP('Données projet'!$B$10,Paramètres!$A$1:$I$89,3,0)*0.475*44/12</f>
        <v>1.1608421854286989E-3</v>
      </c>
      <c r="AX92" s="21">
        <f t="shared" si="60"/>
        <v>113.98440742404287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-5.6843418860808015E-14</v>
      </c>
      <c r="BE92" s="13">
        <f>BD92*VLOOKUP('Données projet'!$B$11,Paramètres!$A$1:$I$89,3,0)*VLOOKUP('Données projet'!$B$11,Paramètres!$A$1:$I$89,5,0)</f>
        <v>-6.5483618527650828E-14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418.31716673276725</v>
      </c>
      <c r="BJ92" s="59">
        <f t="shared" si="92"/>
        <v>472.37891533957929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77.112308299989408</v>
      </c>
      <c r="BQ92" s="21">
        <f>EXP(-LN(2)/25)*BQ91+(1-EXP(-LN(2)/25))/(LN(2)/25)*Calculateur!BL92*Calculateur!BN92*VLOOKUP('Données projet'!$B$11,Paramètres!$A$1:$I$89,3,0)*0.475*44/12</f>
        <v>13.814094908238186</v>
      </c>
      <c r="BR92" s="21">
        <f>EXP(-LN(2)/2)*BR91+(1-EXP(-LN(2)/2))/(LN(2)/2)*BL92*BO92*VLOOKUP('Données projet'!$B$11,Paramètres!$A$1:$I$89,3,0)*0.475*44/12</f>
        <v>1.8004562757275311E-3</v>
      </c>
      <c r="BS92" s="22">
        <f t="shared" si="63"/>
        <v>90.928203664503329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2.6625000000000014</v>
      </c>
      <c r="BY92" s="12">
        <f>IF('Données projet'!$A$114&gt;35,BY91+BX92-CG91,IF(A92&lt;'Données projet'!$A$114,$BV$205^A92,IF(A92='Données projet'!$A$114,'Données projet'!$B$114,BY91+BX92-CG91)))</f>
        <v>155.35750000000013</v>
      </c>
      <c r="BZ92" s="13">
        <f>BY92*VLOOKUP('Données projet'!$B$12,Paramètres!$A$1:$I$89,3,0)*VLOOKUP('Données projet'!$B$12,Paramètres!$A$1:$I$89,5,0)</f>
        <v>90.88413750000008</v>
      </c>
      <c r="CA92" s="13">
        <f t="shared" si="93"/>
        <v>24.778336198178909</v>
      </c>
      <c r="CB92" s="20">
        <f t="shared" si="64"/>
        <v>201.44547502432837</v>
      </c>
      <c r="CC92" s="59">
        <f t="shared" si="65"/>
        <v>475.46811873585193</v>
      </c>
      <c r="CD92" s="59">
        <f ca="1">AVERAGE(OFFSET($CC$3,0,0,'Données projet'!$E$12+1,1))-AVERAGE(OFFSET($H$3,0,0,'Données projet'!$E$12+1,1))</f>
        <v>184.11352167663844</v>
      </c>
      <c r="CE92" s="59">
        <f t="shared" si="94"/>
        <v>145.86653500981791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22.285603077671954</v>
      </c>
      <c r="CL92" s="21">
        <f>EXP(-LN(2)/25)*CL91+(1-EXP(-LN(2)/25))/(LN(2)/25)*Calculateur!CG92*Calculateur!CI92*VLOOKUP('Données projet'!$B$12,Paramètres!$A$1:$I$89,3,0)*0.475*44/12</f>
        <v>9.4854756913114162</v>
      </c>
      <c r="CM92" s="21">
        <f>EXP(-LN(2)/2)*CM91+(1-EXP(-LN(2)/2))/(LN(2)/2)*CG92*CJ92*VLOOKUP('Données projet'!$B$12,Paramètres!$A$1:$I$89,3,0)*0.475*44/12</f>
        <v>7.1434244129654406E-2</v>
      </c>
      <c r="CN92" s="22">
        <f t="shared" si="66"/>
        <v>31.842513013113027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5.9112500000000026</v>
      </c>
      <c r="CT92" s="12">
        <f>IF('Données projet'!$A$140&gt;35,CT91+CS92-DB91,IF(A92&lt;'Données projet'!$A$140,$CQ$205^A92,IF(A92='Données projet'!$A$140,'Données projet'!$B$140,CT91+CS92-DB91)))</f>
        <v>267.58874999999983</v>
      </c>
      <c r="CU92" s="17">
        <f>CT92*VLOOKUP('Données projet'!$B$13,Paramètres!$A$1:$I$89,3,0)*VLOOKUP('Données projet'!$B$13,Paramètres!$A$1:$I$89,5,0)</f>
        <v>128.71018874999993</v>
      </c>
      <c r="CV92" s="13">
        <f t="shared" si="95"/>
        <v>33.698149085137594</v>
      </c>
      <c r="CW92" s="20">
        <f t="shared" si="67"/>
        <v>282.86118839619786</v>
      </c>
      <c r="CX92" s="59">
        <f t="shared" si="68"/>
        <v>556.88383210772145</v>
      </c>
      <c r="CY92" s="59">
        <f ca="1">AVERAGE(OFFSET($CX$3,0,0,'Données projet'!$E$13+1,1))-AVERAGE(OFFSET($H$3,0,0,'Données projet'!$E$13+1,1))</f>
        <v>303.76035885073708</v>
      </c>
      <c r="CZ92" s="59">
        <f t="shared" si="96"/>
        <v>127.43112562890414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5.6214447447770794</v>
      </c>
      <c r="DG92" s="21">
        <f>EXP(-LN(2)/25)*DG91+(1-EXP(-LN(2)/25))/(LN(2)/25)*Calculateur!DB92*Calculateur!DD92*VLOOKUP('Données projet'!$B$13,Paramètres!$A$1:$I$89,3,0)*0.475*44/12</f>
        <v>24.895558506576887</v>
      </c>
      <c r="DH92" s="21">
        <f>EXP(-LN(2)/2)*DH91+(1-EXP(-LN(2)/2))/(LN(2)/2)*DB92*DE92*VLOOKUP('Données projet'!$B$13,Paramètres!$A$1:$I$89,3,0)*0.475*44/12</f>
        <v>1.5642738759410033</v>
      </c>
      <c r="DI92" s="22">
        <f t="shared" si="69"/>
        <v>32.081277127294967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5.6843418860808015E-14</v>
      </c>
      <c r="DP92" s="17">
        <f>DO92*VLOOKUP('Données projet'!$B$14,Paramètres!$A$1:$I$89,3,0)*VLOOKUP('Données projet'!$B$14,Paramètres!$A$1:$I$89,5,0)</f>
        <v>3.2810021366458389E-14</v>
      </c>
      <c r="DQ92" s="13">
        <f t="shared" si="97"/>
        <v>5.6117125884464641E-13</v>
      </c>
      <c r="DR92" s="20">
        <f t="shared" si="70"/>
        <v>1.0345173963676741E-12</v>
      </c>
      <c r="DS92" s="59">
        <f t="shared" si="71"/>
        <v>274.02264371152461</v>
      </c>
      <c r="DT92" s="59">
        <f ca="1">AVERAGE(OFFSET($DS$3,0,0,'Données projet'!$E$14+1,1))-AVERAGE(OFFSET($H$3,0,0,'Données projet'!$E$14+1,1))</f>
        <v>243.65374431792841</v>
      </c>
      <c r="DU92" s="59">
        <f t="shared" si="98"/>
        <v>271.60754570002939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33.522023253774556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33.522023253774556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5.4</v>
      </c>
      <c r="EJ92" s="12">
        <f>IF('Données projet'!$A$192&gt;35,EJ91+EI92-ER91,IF(A92&lt;'Données projet'!$A$192,$EG$205^A92,IF(A92='Données projet'!$A$192,'Données projet'!$B$192,EJ91+EI92-ER91)))</f>
        <v>269.59999999999991</v>
      </c>
      <c r="EK92" s="17">
        <f>EJ92*VLOOKUP('Données projet'!$B$15,Paramètres!$A$1:$I$89,3,0)*VLOOKUP('Données projet'!$B$15,Paramètres!$A$1:$I$89,5,0)</f>
        <v>180.84767999999994</v>
      </c>
      <c r="EL92" s="13">
        <f t="shared" si="99"/>
        <v>45.510727749125792</v>
      </c>
      <c r="EM92" s="20">
        <f t="shared" si="73"/>
        <v>394.24089349639394</v>
      </c>
      <c r="EN92" s="59">
        <f t="shared" si="74"/>
        <v>668.26353720791758</v>
      </c>
      <c r="EO92" s="59">
        <f ca="1">AVERAGE(OFFSET($EN$3,0,0,'Données projet'!$E$15+1,1))-AVERAGE(OFFSET($H$3,0,0,'Données projet'!$E$15+1,1))</f>
        <v>321.44781099085594</v>
      </c>
      <c r="EP92" s="59">
        <f t="shared" si="100"/>
        <v>201.22243186578183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22.312648605776825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22.312648605776825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2.8421709430404007E-14</v>
      </c>
      <c r="FF92" s="17">
        <f>FE92*VLOOKUP('Données projet'!$B$16,Paramètres!$A$1:$I$89,3,0)*VLOOKUP('Données projet'!$B$16,Paramètres!$A$1:$I$89,5,0)</f>
        <v>2.4829205358400945E-14</v>
      </c>
      <c r="FG92" s="13">
        <f t="shared" si="101"/>
        <v>4.3867331143352915E-13</v>
      </c>
      <c r="FH92" s="20">
        <f t="shared" si="76"/>
        <v>8.0726688341261168E-13</v>
      </c>
      <c r="FI92" s="59">
        <f t="shared" si="77"/>
        <v>274.02264371152438</v>
      </c>
      <c r="FJ92" s="59">
        <f ca="1">AVERAGE(OFFSET($FI$3,0,0,'Données projet'!$E$16+1,1))-AVERAGE(OFFSET($H$3,0,0,'Données projet'!$E$16+1,1))</f>
        <v>285.8437404763045</v>
      </c>
      <c r="FK92" s="59">
        <f t="shared" si="102"/>
        <v>276.01618888357268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66.400339896352421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66.400339896352421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-1.7053025658242404E-13</v>
      </c>
      <c r="GA92" s="17">
        <f>FZ92*VLOOKUP('Données projet'!$B$17,Paramètres!$A$1:$I$89,3,0)*VLOOKUP('Données projet'!$B$17,Paramètres!$A$1:$I$89,5,0)</f>
        <v>-1.3567387213697657E-13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323.01113210765487</v>
      </c>
      <c r="GF92" s="59">
        <f t="shared" si="104"/>
        <v>311.68541696405975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76.224526658011214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76.224526658011214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2.8421709430404007E-14</v>
      </c>
      <c r="GV92" s="17">
        <f>GU92*VLOOKUP('Données projet'!$B$18,Paramètres!$A$1:$I$89,3,0)*VLOOKUP('Données projet'!$B$18,Paramètres!$A$1:$I$89,5,0)</f>
        <v>2.4829205358400945E-14</v>
      </c>
      <c r="GW92" s="13">
        <f t="shared" si="105"/>
        <v>4.3867331143352915E-13</v>
      </c>
      <c r="GX92" s="20">
        <f t="shared" si="82"/>
        <v>8.0726688341261168E-13</v>
      </c>
      <c r="GY92" s="59">
        <f t="shared" si="83"/>
        <v>274.02264371152438</v>
      </c>
      <c r="GZ92" s="59">
        <f ca="1">AVERAGE(OFFSET($GY$3,0,0,'Données projet'!$E$18+1,1))-AVERAGE(OFFSET($H$3,0,0,'Données projet'!$E$18+1,1))</f>
        <v>285.8437404763045</v>
      </c>
      <c r="HA92" s="59">
        <f t="shared" si="106"/>
        <v>276.01618888357268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66.400339896352421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66.400339896352421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207</v>
      </c>
      <c r="L93" s="12">
        <f>VLOOKUP(A93,'Données projet'!$A$35:$I$55,9,0)</f>
        <v>4.2</v>
      </c>
      <c r="M93" s="12">
        <f t="array" ref="M93">INDEX(L:L,MIN(IF(ISNUMBER(L93:L289),ROW(L93:L289),"")))</f>
        <v>4.2</v>
      </c>
      <c r="N93" s="13">
        <f>IF('Données projet'!$A$36&gt;35,N92+M93-V92,IF(A93&lt;'Données projet'!$A$36,$K$205^A93,IF(A93='Données projet'!$A$36,'Données projet'!$B$36,N92+M93-V92)))</f>
        <v>206.99999999999994</v>
      </c>
      <c r="O93" s="13">
        <f>N93*VLOOKUP('Données projet'!$B$9,Paramètres!$A$1:$I$89,3,0)*VLOOKUP('Données projet'!$B$9,Paramètres!$A$1:$I$89,5,0)</f>
        <v>187.29359999999994</v>
      </c>
      <c r="P93" s="13">
        <f t="shared" si="87"/>
        <v>46.941107550760421</v>
      </c>
      <c r="Q93" s="20">
        <f t="shared" si="54"/>
        <v>407.95878231757433</v>
      </c>
      <c r="R93" s="59">
        <f t="shared" si="55"/>
        <v>682.31642332180195</v>
      </c>
      <c r="S93" s="59">
        <f ca="1">AVERAGE(OFFSET($R$3,0,0,'Données projet'!$E$9+1,1))-AVERAGE(OFFSET($H$3,0,0,'Données projet'!$E$9+1,1))</f>
        <v>315.34103933739129</v>
      </c>
      <c r="T93" s="59">
        <f t="shared" si="88"/>
        <v>165.80901858372513</v>
      </c>
      <c r="U93" s="15">
        <f>IF(ISNA(VLOOKUP(A93,'Données projet'!$A$35:$I$55,3,0)),0,VLOOKUP(A93,'Données projet'!$A$35:$I$55,3,0))</f>
        <v>14</v>
      </c>
      <c r="V93" s="15">
        <f>IF(ISNA(VLOOKUP(A93,'Données projet'!$A$35:$I$55,4,0)),0,VLOOKUP(A93,'Données projet'!$A$35:$I$55,4,0))</f>
        <v>14</v>
      </c>
      <c r="W93" s="16">
        <f>IF(ISNA(VLOOKUP(A93,'Données projet'!$A$35:$I$55,5,0)),0%,VLOOKUP(A93,'Données projet'!$A$35:$I$55,5,0)*VLOOKUP('Données projet'!$B$9,Paramètres!$A$1:$I$89,7,0))</f>
        <v>0.25800000000000001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18.067773013356732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18.067773013356732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-3.4106051316484809E-13</v>
      </c>
      <c r="AJ93" s="13">
        <f>AI93*VLOOKUP('Données projet'!$B$10,Paramètres!$A$1:$I$89,3,0)*VLOOKUP('Données projet'!$B$10,Paramètres!$A$1:$I$89,5,0)</f>
        <v>-2.0395418687257919E-13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317.328615425664</v>
      </c>
      <c r="AO93" s="59">
        <f t="shared" si="90"/>
        <v>324.95872842255744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96.901605832280381</v>
      </c>
      <c r="AV93" s="21">
        <f>EXP(-LN(2)/25)*AV92+(1-EXP(-LN(2)/25))/(LN(2)/25)*Calculateur!AQ93*Calculateur!AS93*VLOOKUP('Données projet'!$B$10,Paramètres!$A$1:$I$89,3,0)*0.475*44/12</f>
        <v>14.729354167608829</v>
      </c>
      <c r="AW93" s="21">
        <f>EXP(-LN(2)/2)*AW92+(1-EXP(-LN(2)/2))/(LN(2)/2)*AQ93*AT93*VLOOKUP('Données projet'!$B$10,Paramètres!$A$1:$I$89,3,0)*0.475*44/12</f>
        <v>8.2083938120404464E-4</v>
      </c>
      <c r="AX93" s="21">
        <f t="shared" si="60"/>
        <v>111.63178083927042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-5.6843418860808015E-14</v>
      </c>
      <c r="BE93" s="13">
        <f>BD93*VLOOKUP('Données projet'!$B$11,Paramètres!$A$1:$I$89,3,0)*VLOOKUP('Données projet'!$B$11,Paramètres!$A$1:$I$89,5,0)</f>
        <v>-6.5483618527650828E-14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418.31716673276725</v>
      </c>
      <c r="BJ93" s="59">
        <f t="shared" si="92"/>
        <v>472.37891533957929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75.600182968090465</v>
      </c>
      <c r="BQ93" s="21">
        <f>EXP(-LN(2)/25)*BQ92+(1-EXP(-LN(2)/25))/(LN(2)/25)*Calculateur!BL93*Calculateur!BN93*VLOOKUP('Données projet'!$B$11,Paramètres!$A$1:$I$89,3,0)*0.475*44/12</f>
        <v>13.436347756520734</v>
      </c>
      <c r="BR93" s="21">
        <f>EXP(-LN(2)/2)*BR92+(1-EXP(-LN(2)/2))/(LN(2)/2)*BL93*BO93*VLOOKUP('Données projet'!$B$11,Paramètres!$A$1:$I$89,3,0)*0.475*44/12</f>
        <v>1.2731148417968136E-3</v>
      </c>
      <c r="BS93" s="22">
        <f t="shared" si="63"/>
        <v>89.037803839452991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158.02000000000001</v>
      </c>
      <c r="BW93" s="12">
        <f>VLOOKUP(A93,'Données projet'!$A$113:$I$133,9,0)</f>
        <v>2.6625000000000014</v>
      </c>
      <c r="BX93" s="12">
        <f t="array" ref="BX93">INDEX(BW:BW,MIN(IF(ISNUMBER(BW93:BW289),ROW(BW93:BW289),"")))</f>
        <v>2.6625000000000014</v>
      </c>
      <c r="BY93" s="12">
        <f>IF('Données projet'!$A$114&gt;35,BY92+BX93-CG92,IF(A93&lt;'Données projet'!$A$114,$BV$205^A93,IF(A93='Données projet'!$A$114,'Données projet'!$B$114,BY92+BX93-CG92)))</f>
        <v>158.02000000000012</v>
      </c>
      <c r="BZ93" s="13">
        <f>BY93*VLOOKUP('Données projet'!$B$12,Paramètres!$A$1:$I$89,3,0)*VLOOKUP('Données projet'!$B$12,Paramètres!$A$1:$I$89,5,0)</f>
        <v>92.441700000000068</v>
      </c>
      <c r="CA93" s="13">
        <f t="shared" si="93"/>
        <v>25.153183672524204</v>
      </c>
      <c r="CB93" s="20">
        <f t="shared" si="64"/>
        <v>204.81108906297979</v>
      </c>
      <c r="CC93" s="59">
        <f t="shared" si="65"/>
        <v>479.16873006720743</v>
      </c>
      <c r="CD93" s="59">
        <f ca="1">AVERAGE(OFFSET($CC$3,0,0,'Données projet'!$E$12+1,1))-AVERAGE(OFFSET($H$3,0,0,'Données projet'!$E$12+1,1))</f>
        <v>184.11352167663844</v>
      </c>
      <c r="CE93" s="59">
        <f t="shared" si="94"/>
        <v>145.86653500981791</v>
      </c>
      <c r="CF93" s="15">
        <f>IF(ISNA(VLOOKUP(A93,'Données projet'!$A$113:$I$133,3,0)),0,VLOOKUP(A93,'Données projet'!$A$113:$I$133,3,0))</f>
        <v>16</v>
      </c>
      <c r="CG93" s="15">
        <f>IF(ISNA(VLOOKUP(A93,'Données projet'!$A$113:$I$133,4,0)),0,VLOOKUP(A93,'Données projet'!$A$113:$I$133,4,0))</f>
        <v>158.02000000000001</v>
      </c>
      <c r="CH93" s="16">
        <f>IF(ISNA(VLOOKUP(A93,'Données projet'!$A$113:$I$133,5,0)),0%,VLOOKUP(A93,'Données projet'!$A$113:$I$133,5,0)*VLOOKUP('Données projet'!$B$12,Paramètres!$A$1:$I$89,7,0))</f>
        <v>0.27</v>
      </c>
      <c r="CI93" s="16">
        <f>IF(ISNA(VLOOKUP(A93,'Données projet'!$A$113:$I$133,6,0)),0%,VLOOKUP(A93,'Données projet'!$A$113:$I$133,6,0)*VLOOKUP('Données projet'!$B$12,Paramètres!$A$1:$I$89,7,0))</f>
        <v>9.9000000000000005E-2</v>
      </c>
      <c r="CJ93" s="16">
        <f>IF(ISNA(VLOOKUP(A93,'Données projet'!$A$113:$I$133,7,0)),0%,VLOOKUP(A93,'Données projet'!$A$113:$I$133,7,0))</f>
        <v>0.18</v>
      </c>
      <c r="CK93" s="21">
        <f>EXP(-LN(2)/35)*CK92+(1-EXP(-LN(2)/35))/(LN(2)/35)*CG93*CH93*VLOOKUP('Données projet'!$B$12,Paramètres!$A$1:$I$89,3,0)*0.475*44/12</f>
        <v>54.958661817703955</v>
      </c>
      <c r="CL93" s="21">
        <f>EXP(-LN(2)/25)*CL92+(1-EXP(-LN(2)/25))/(LN(2)/25)*Calculateur!CG93*Calculateur!CI93*VLOOKUP('Données projet'!$B$12,Paramètres!$A$1:$I$89,3,0)*0.475*44/12</f>
        <v>21.318651115140337</v>
      </c>
      <c r="CM93" s="21">
        <f>EXP(-LN(2)/2)*CM92+(1-EXP(-LN(2)/2))/(LN(2)/2)*CG93*CJ93*VLOOKUP('Données projet'!$B$12,Paramètres!$A$1:$I$89,3,0)*0.475*44/12</f>
        <v>18.890297746518428</v>
      </c>
      <c r="CN93" s="22">
        <f t="shared" si="66"/>
        <v>95.167610679362724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273.5</v>
      </c>
      <c r="CR93" s="12">
        <f>VLOOKUP(A93,'Données projet'!$A$139:$I$159,9,0)</f>
        <v>5.9112500000000026</v>
      </c>
      <c r="CS93" s="12">
        <f t="array" ref="CS93">INDEX(CR:CR,MIN(IF(ISNUMBER(CR93:CR289),ROW(CR93:CR289),"")))</f>
        <v>5.9112500000000026</v>
      </c>
      <c r="CT93" s="12">
        <f>IF('Données projet'!$A$140&gt;35,CT92+CS93-DB92,IF(A93&lt;'Données projet'!$A$140,$CQ$205^A93,IF(A93='Données projet'!$A$140,'Données projet'!$B$140,CT92+CS93-DB92)))</f>
        <v>273.49999999999983</v>
      </c>
      <c r="CU93" s="17">
        <f>CT93*VLOOKUP('Données projet'!$B$13,Paramètres!$A$1:$I$89,3,0)*VLOOKUP('Données projet'!$B$13,Paramètres!$A$1:$I$89,5,0)</f>
        <v>131.55349999999993</v>
      </c>
      <c r="CV93" s="13">
        <f t="shared" si="95"/>
        <v>34.355079014910537</v>
      </c>
      <c r="CW93" s="20">
        <f t="shared" si="67"/>
        <v>288.95744178430238</v>
      </c>
      <c r="CX93" s="59">
        <f t="shared" si="68"/>
        <v>563.31508278853005</v>
      </c>
      <c r="CY93" s="59">
        <f ca="1">AVERAGE(OFFSET($CX$3,0,0,'Données projet'!$E$13+1,1))-AVERAGE(OFFSET($H$3,0,0,'Données projet'!$E$13+1,1))</f>
        <v>303.76035885073708</v>
      </c>
      <c r="CZ93" s="59">
        <f t="shared" si="96"/>
        <v>127.43112562890414</v>
      </c>
      <c r="DA93" s="15">
        <f>IF(ISNA(VLOOKUP(A93,'Données projet'!$A$139:$I$159,3,0)),0,VLOOKUP(A93,'Données projet'!$A$139:$I$159,3,0))</f>
        <v>9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0.22000000000000003</v>
      </c>
      <c r="DD93" s="16">
        <f>IF(ISNA(VLOOKUP(A93,'Données projet'!$A$139:$I$159,6,0)),0%,VLOOKUP(A93,'Données projet'!$A$139:$I$159,6,0)*VLOOKUP('Données projet'!$B$13,Paramètres!$A$1:$I$89,7,0))</f>
        <v>0.18700000000000003</v>
      </c>
      <c r="DE93" s="16">
        <f>IF(ISNA(VLOOKUP(A93,'Données projet'!$A$139:$I$159,7,0)),0%,VLOOKUP(A93,'Données projet'!$A$139:$I$159,7,0))</f>
        <v>0.26</v>
      </c>
      <c r="DF93" s="21">
        <f>EXP(-LN(2)/35)*DF92+(1-EXP(-LN(2)/35))/(LN(2)/35)*DB93*DC93*VLOOKUP('Données projet'!$B$13,Paramètres!$A$1:$I$89,3,0)*0.475*44/12</f>
        <v>5.511211642074735</v>
      </c>
      <c r="DG93" s="21">
        <f>EXP(-LN(2)/25)*DG92+(1-EXP(-LN(2)/25))/(LN(2)/25)*Calculateur!DB93*Calculateur!DD93*VLOOKUP('Données projet'!$B$13,Paramètres!$A$1:$I$89,3,0)*0.475*44/12</f>
        <v>24.214788150014019</v>
      </c>
      <c r="DH93" s="21">
        <f>EXP(-LN(2)/2)*DH92+(1-EXP(-LN(2)/2))/(LN(2)/2)*DB93*DE93*VLOOKUP('Données projet'!$B$13,Paramètres!$A$1:$I$89,3,0)*0.475*44/12</f>
        <v>1.1061086653108476</v>
      </c>
      <c r="DI93" s="22">
        <f t="shared" si="69"/>
        <v>30.832108457399602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5.6843418860808015E-14</v>
      </c>
      <c r="DP93" s="17">
        <f>DO93*VLOOKUP('Données projet'!$B$14,Paramètres!$A$1:$I$89,3,0)*VLOOKUP('Données projet'!$B$14,Paramètres!$A$1:$I$89,5,0)</f>
        <v>3.2810021366458389E-14</v>
      </c>
      <c r="DQ93" s="13">
        <f t="shared" si="97"/>
        <v>5.6117125884464641E-13</v>
      </c>
      <c r="DR93" s="20">
        <f t="shared" si="70"/>
        <v>1.0345173963676741E-12</v>
      </c>
      <c r="DS93" s="59">
        <f t="shared" si="71"/>
        <v>274.3576410042287</v>
      </c>
      <c r="DT93" s="59">
        <f ca="1">AVERAGE(OFFSET($DS$3,0,0,'Données projet'!$E$14+1,1))-AVERAGE(OFFSET($H$3,0,0,'Données projet'!$E$14+1,1))</f>
        <v>243.65374431792841</v>
      </c>
      <c r="DU93" s="59">
        <f t="shared" si="98"/>
        <v>271.60754570002939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32.864676824183306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32.864676824183306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275</v>
      </c>
      <c r="EH93" s="12">
        <f>VLOOKUP(A93,'Données projet'!$A$191:$I$211,9,0)</f>
        <v>5.4</v>
      </c>
      <c r="EI93" s="12">
        <f t="array" ref="EI93">INDEX(EH:EH,MIN(IF(ISNUMBER(EH93:EH289),ROW(EH93:EH289),"")))</f>
        <v>5.4</v>
      </c>
      <c r="EJ93" s="12">
        <f>IF('Données projet'!$A$192&gt;35,EJ92+EI93-ER92,IF(A93&lt;'Données projet'!$A$192,$EG$205^A93,IF(A93='Données projet'!$A$192,'Données projet'!$B$192,EJ92+EI93-ER92)))</f>
        <v>274.99999999999989</v>
      </c>
      <c r="EK93" s="17">
        <f>EJ93*VLOOKUP('Données projet'!$B$15,Paramètres!$A$1:$I$89,3,0)*VLOOKUP('Données projet'!$B$15,Paramètres!$A$1:$I$89,5,0)</f>
        <v>184.46999999999991</v>
      </c>
      <c r="EL93" s="13">
        <f t="shared" si="99"/>
        <v>46.315254582516594</v>
      </c>
      <c r="EM93" s="20">
        <f t="shared" si="73"/>
        <v>401.95098506454957</v>
      </c>
      <c r="EN93" s="59">
        <f t="shared" si="74"/>
        <v>676.30862606877724</v>
      </c>
      <c r="EO93" s="59">
        <f ca="1">AVERAGE(OFFSET($EN$3,0,0,'Données projet'!$E$15+1,1))-AVERAGE(OFFSET($H$3,0,0,'Données projet'!$E$15+1,1))</f>
        <v>321.44781099085594</v>
      </c>
      <c r="EP93" s="59">
        <f t="shared" si="100"/>
        <v>201.22243186578183</v>
      </c>
      <c r="EQ93" s="15">
        <f>IF(ISNA(VLOOKUP(A93,'Données projet'!$A$191:$I$211,3,0)),0,VLOOKUP(A93,'Données projet'!$A$191:$I$211,3,0))</f>
        <v>15</v>
      </c>
      <c r="ER93" s="15">
        <f>IF(ISNA(VLOOKUP(A93,'Données projet'!$A$191:$I$211,4,0)),0,VLOOKUP(A93,'Données projet'!$A$191:$I$211,4,0))</f>
        <v>21</v>
      </c>
      <c r="ES93" s="16">
        <f>IF(ISNA(VLOOKUP(A93,'Données projet'!$A$191:$I$211,5,0)),0%,VLOOKUP(A93,'Données projet'!$A$191:$I$211,5,0)*VLOOKUP('Données projet'!$B$15,Paramètres!$A$1:$I$89,7,0))</f>
        <v>0.371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27.652523568821547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27.652523568821547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2.8421709430404007E-14</v>
      </c>
      <c r="FF93" s="17">
        <f>FE93*VLOOKUP('Données projet'!$B$16,Paramètres!$A$1:$I$89,3,0)*VLOOKUP('Données projet'!$B$16,Paramètres!$A$1:$I$89,5,0)</f>
        <v>2.4829205358400945E-14</v>
      </c>
      <c r="FG93" s="13">
        <f t="shared" si="101"/>
        <v>4.3867331143352915E-13</v>
      </c>
      <c r="FH93" s="20">
        <f t="shared" si="76"/>
        <v>8.0726688341261168E-13</v>
      </c>
      <c r="FI93" s="59">
        <f t="shared" si="77"/>
        <v>274.35764100422847</v>
      </c>
      <c r="FJ93" s="59">
        <f ca="1">AVERAGE(OFFSET($FI$3,0,0,'Données projet'!$E$16+1,1))-AVERAGE(OFFSET($H$3,0,0,'Données projet'!$E$16+1,1))</f>
        <v>285.8437404763045</v>
      </c>
      <c r="FK93" s="59">
        <f t="shared" si="102"/>
        <v>276.01618888357268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65.098269731193227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65.098269731193227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-1.7053025658242404E-13</v>
      </c>
      <c r="GA93" s="17">
        <f>FZ93*VLOOKUP('Données projet'!$B$17,Paramètres!$A$1:$I$89,3,0)*VLOOKUP('Données projet'!$B$17,Paramètres!$A$1:$I$89,5,0)</f>
        <v>-1.3567387213697657E-13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323.01113210765487</v>
      </c>
      <c r="GF93" s="59">
        <f t="shared" si="104"/>
        <v>311.68541696405975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74.729810182618138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74.729810182618138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2.8421709430404007E-14</v>
      </c>
      <c r="GV93" s="17">
        <f>GU93*VLOOKUP('Données projet'!$B$18,Paramètres!$A$1:$I$89,3,0)*VLOOKUP('Données projet'!$B$18,Paramètres!$A$1:$I$89,5,0)</f>
        <v>2.4829205358400945E-14</v>
      </c>
      <c r="GW93" s="13">
        <f t="shared" si="105"/>
        <v>4.3867331143352915E-13</v>
      </c>
      <c r="GX93" s="20">
        <f t="shared" si="82"/>
        <v>8.0726688341261168E-13</v>
      </c>
      <c r="GY93" s="59">
        <f t="shared" si="83"/>
        <v>274.35764100422847</v>
      </c>
      <c r="GZ93" s="59">
        <f ca="1">AVERAGE(OFFSET($GY$3,0,0,'Données projet'!$E$18+1,1))-AVERAGE(OFFSET($H$3,0,0,'Données projet'!$E$18+1,1))</f>
        <v>285.8437404763045</v>
      </c>
      <c r="HA93" s="59">
        <f t="shared" si="106"/>
        <v>276.01618888357268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65.098269731193227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65.098269731193227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3.8</v>
      </c>
      <c r="N94" s="13">
        <f>IF('Données projet'!$A$36&gt;35,N93+M94-V93,IF(A94&lt;'Données projet'!$A$36,$K$205^A94,IF(A94='Données projet'!$A$36,'Données projet'!$B$36,N93+M94-V93)))</f>
        <v>196.79999999999995</v>
      </c>
      <c r="O94" s="13">
        <f>N94*VLOOKUP('Données projet'!$B$9,Paramètres!$A$1:$I$89,3,0)*VLOOKUP('Données projet'!$B$9,Paramètres!$A$1:$I$89,5,0)</f>
        <v>178.06463999999994</v>
      </c>
      <c r="P94" s="13">
        <f t="shared" si="87"/>
        <v>44.891333695477108</v>
      </c>
      <c r="Q94" s="20">
        <f t="shared" si="54"/>
        <v>388.31498751962249</v>
      </c>
      <c r="R94" s="59">
        <f t="shared" si="55"/>
        <v>663.00181436246748</v>
      </c>
      <c r="S94" s="59">
        <f ca="1">AVERAGE(OFFSET($R$3,0,0,'Données projet'!$E$9+1,1))-AVERAGE(OFFSET($H$3,0,0,'Données projet'!$E$9+1,1))</f>
        <v>315.34103933739129</v>
      </c>
      <c r="T94" s="59">
        <f t="shared" si="88"/>
        <v>165.80901858372513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17.713475004818186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17.713475004818186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-3.4106051316484809E-13</v>
      </c>
      <c r="AJ94" s="13">
        <f>AI94*VLOOKUP('Données projet'!$B$10,Paramètres!$A$1:$I$89,3,0)*VLOOKUP('Données projet'!$B$10,Paramètres!$A$1:$I$89,5,0)</f>
        <v>-2.0395418687257919E-13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317.328615425664</v>
      </c>
      <c r="AO94" s="59">
        <f t="shared" si="90"/>
        <v>324.95872842255744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95.001424446052866</v>
      </c>
      <c r="AV94" s="21">
        <f>EXP(-LN(2)/25)*AV93+(1-EXP(-LN(2)/25))/(LN(2)/25)*Calculateur!AQ94*Calculateur!AS94*VLOOKUP('Données projet'!$B$10,Paramètres!$A$1:$I$89,3,0)*0.475*44/12</f>
        <v>14.326579203312495</v>
      </c>
      <c r="AW94" s="21">
        <f>EXP(-LN(2)/2)*AW93+(1-EXP(-LN(2)/2))/(LN(2)/2)*AQ94*AT94*VLOOKUP('Données projet'!$B$10,Paramètres!$A$1:$I$89,3,0)*0.475*44/12</f>
        <v>5.8042109271434945E-4</v>
      </c>
      <c r="AX94" s="21">
        <f t="shared" si="60"/>
        <v>109.32858407045808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-5.6843418860808015E-14</v>
      </c>
      <c r="BE94" s="13">
        <f>BD94*VLOOKUP('Données projet'!$B$11,Paramètres!$A$1:$I$89,3,0)*VLOOKUP('Données projet'!$B$11,Paramètres!$A$1:$I$89,5,0)</f>
        <v>-6.5483618527650828E-14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418.31716673276725</v>
      </c>
      <c r="BJ94" s="59">
        <f t="shared" si="92"/>
        <v>472.37891533957929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74.117709491644689</v>
      </c>
      <c r="BQ94" s="21">
        <f>EXP(-LN(2)/25)*BQ93+(1-EXP(-LN(2)/25))/(LN(2)/25)*Calculateur!BL94*Calculateur!BN94*VLOOKUP('Données projet'!$B$11,Paramètres!$A$1:$I$89,3,0)*0.475*44/12</f>
        <v>13.068930120531855</v>
      </c>
      <c r="BR94" s="21">
        <f>EXP(-LN(2)/2)*BR93+(1-EXP(-LN(2)/2))/(LN(2)/2)*BL94*BO94*VLOOKUP('Données projet'!$B$11,Paramètres!$A$1:$I$89,3,0)*0.475*44/12</f>
        <v>9.0022813786376553E-4</v>
      </c>
      <c r="BS94" s="22">
        <f t="shared" si="63"/>
        <v>87.187539840314415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1.1368683772161603E-13</v>
      </c>
      <c r="BZ94" s="13">
        <f>BY94*VLOOKUP('Données projet'!$B$12,Paramètres!$A$1:$I$89,3,0)*VLOOKUP('Données projet'!$B$12,Paramètres!$A$1:$I$89,5,0)</f>
        <v>6.6506800067145386E-14</v>
      </c>
      <c r="CA94" s="13">
        <f t="shared" si="93"/>
        <v>1.0476989505385114E-12</v>
      </c>
      <c r="CB94" s="20">
        <f t="shared" si="64"/>
        <v>1.9405750156381857E-12</v>
      </c>
      <c r="CC94" s="59">
        <f t="shared" si="65"/>
        <v>274.68682684284698</v>
      </c>
      <c r="CD94" s="59">
        <f ca="1">AVERAGE(OFFSET($CC$3,0,0,'Données projet'!$E$12+1,1))-AVERAGE(OFFSET($H$3,0,0,'Données projet'!$E$12+1,1))</f>
        <v>184.11352167663844</v>
      </c>
      <c r="CE94" s="59">
        <f t="shared" si="94"/>
        <v>145.86653500981791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53.880955980932519</v>
      </c>
      <c r="CL94" s="21">
        <f>EXP(-LN(2)/25)*CL93+(1-EXP(-LN(2)/25))/(LN(2)/25)*Calculateur!CG94*Calculateur!CI94*VLOOKUP('Données projet'!$B$12,Paramètres!$A$1:$I$89,3,0)*0.475*44/12</f>
        <v>20.735691479297689</v>
      </c>
      <c r="CM94" s="21">
        <f>EXP(-LN(2)/2)*CM93+(1-EXP(-LN(2)/2))/(LN(2)/2)*CG94*CJ94*VLOOKUP('Données projet'!$B$12,Paramètres!$A$1:$I$89,3,0)*0.475*44/12</f>
        <v>13.357457635196139</v>
      </c>
      <c r="CN94" s="22">
        <f t="shared" si="66"/>
        <v>87.974105095426353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5.833750000000002</v>
      </c>
      <c r="CT94" s="12">
        <f>IF('Données projet'!$A$140&gt;35,CT93+CS94-DB93,IF(A94&lt;'Données projet'!$A$140,$CQ$205^A94,IF(A94='Données projet'!$A$140,'Données projet'!$B$140,CT93+CS94-DB93)))</f>
        <v>279.33374999999984</v>
      </c>
      <c r="CU94" s="17">
        <f>CT94*VLOOKUP('Données projet'!$B$13,Paramètres!$A$1:$I$89,3,0)*VLOOKUP('Données projet'!$B$13,Paramètres!$A$1:$I$89,5,0)</f>
        <v>134.35953374999994</v>
      </c>
      <c r="CV94" s="13">
        <f t="shared" si="95"/>
        <v>35.001777597291714</v>
      </c>
      <c r="CW94" s="20">
        <f t="shared" si="67"/>
        <v>294.97095059653299</v>
      </c>
      <c r="CX94" s="59">
        <f t="shared" si="68"/>
        <v>569.65777743937804</v>
      </c>
      <c r="CY94" s="59">
        <f ca="1">AVERAGE(OFFSET($CX$3,0,0,'Données projet'!$E$13+1,1))-AVERAGE(OFFSET($H$3,0,0,'Données projet'!$E$13+1,1))</f>
        <v>303.76035885073708</v>
      </c>
      <c r="CZ94" s="59">
        <f t="shared" si="96"/>
        <v>127.43112562890414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5.4031401432808295</v>
      </c>
      <c r="DG94" s="21">
        <f>EXP(-LN(2)/25)*DG93+(1-EXP(-LN(2)/25))/(LN(2)/25)*Calculateur!DB94*Calculateur!DD94*VLOOKUP('Données projet'!$B$13,Paramètres!$A$1:$I$89,3,0)*0.475*44/12</f>
        <v>23.55263349465152</v>
      </c>
      <c r="DH94" s="21">
        <f>EXP(-LN(2)/2)*DH93+(1-EXP(-LN(2)/2))/(LN(2)/2)*DB94*DE94*VLOOKUP('Données projet'!$B$13,Paramètres!$A$1:$I$89,3,0)*0.475*44/12</f>
        <v>0.78213693797050166</v>
      </c>
      <c r="DI94" s="22">
        <f t="shared" si="69"/>
        <v>29.737910575902852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5.6843418860808015E-14</v>
      </c>
      <c r="DP94" s="17">
        <f>DO94*VLOOKUP('Données projet'!$B$14,Paramètres!$A$1:$I$89,3,0)*VLOOKUP('Données projet'!$B$14,Paramètres!$A$1:$I$89,5,0)</f>
        <v>3.2810021366458389E-14</v>
      </c>
      <c r="DQ94" s="13">
        <f t="shared" si="97"/>
        <v>5.6117125884464641E-13</v>
      </c>
      <c r="DR94" s="20">
        <f t="shared" si="70"/>
        <v>1.0345173963676741E-12</v>
      </c>
      <c r="DS94" s="59">
        <f t="shared" si="71"/>
        <v>274.68682684284607</v>
      </c>
      <c r="DT94" s="59">
        <f ca="1">AVERAGE(OFFSET($DS$3,0,0,'Données projet'!$E$14+1,1))-AVERAGE(OFFSET($H$3,0,0,'Données projet'!$E$14+1,1))</f>
        <v>243.65374431792841</v>
      </c>
      <c r="DU94" s="59">
        <f t="shared" si="98"/>
        <v>271.60754570002939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32.22022055713461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32.22022055713461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2.8</v>
      </c>
      <c r="EJ94" s="12">
        <f>IF('Données projet'!$A$192&gt;35,EJ93+EI94-ER93,IF(A94&lt;'Données projet'!$A$192,$EG$205^A94,IF(A94='Données projet'!$A$192,'Données projet'!$B$192,EJ93+EI94-ER93)))</f>
        <v>256.7999999999999</v>
      </c>
      <c r="EK94" s="17">
        <f>EJ94*VLOOKUP('Données projet'!$B$15,Paramètres!$A$1:$I$89,3,0)*VLOOKUP('Données projet'!$B$15,Paramètres!$A$1:$I$89,5,0)</f>
        <v>172.26143999999994</v>
      </c>
      <c r="EL94" s="13">
        <f t="shared" si="99"/>
        <v>43.596120716782643</v>
      </c>
      <c r="EM94" s="20">
        <f t="shared" si="73"/>
        <v>375.95191824839634</v>
      </c>
      <c r="EN94" s="59">
        <f t="shared" si="74"/>
        <v>650.63874509124139</v>
      </c>
      <c r="EO94" s="59">
        <f ca="1">AVERAGE(OFFSET($EN$3,0,0,'Données projet'!$E$15+1,1))-AVERAGE(OFFSET($H$3,0,0,'Données projet'!$E$15+1,1))</f>
        <v>321.44781099085594</v>
      </c>
      <c r="EP94" s="59">
        <f t="shared" si="100"/>
        <v>201.22243186578183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27.110274448010916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27.110274448010916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2.8421709430404007E-14</v>
      </c>
      <c r="FF94" s="17">
        <f>FE94*VLOOKUP('Données projet'!$B$16,Paramètres!$A$1:$I$89,3,0)*VLOOKUP('Données projet'!$B$16,Paramètres!$A$1:$I$89,5,0)</f>
        <v>2.4829205358400945E-14</v>
      </c>
      <c r="FG94" s="13">
        <f t="shared" si="101"/>
        <v>4.3867331143352915E-13</v>
      </c>
      <c r="FH94" s="20">
        <f t="shared" si="76"/>
        <v>8.0726688341261168E-13</v>
      </c>
      <c r="FI94" s="59">
        <f t="shared" si="77"/>
        <v>274.68682684284585</v>
      </c>
      <c r="FJ94" s="59">
        <f ca="1">AVERAGE(OFFSET($FI$3,0,0,'Données projet'!$E$16+1,1))-AVERAGE(OFFSET($H$3,0,0,'Données projet'!$E$16+1,1))</f>
        <v>285.8437404763045</v>
      </c>
      <c r="FK94" s="59">
        <f t="shared" si="102"/>
        <v>276.01618888357268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63.821732367788421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63.821732367788421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-1.7053025658242404E-13</v>
      </c>
      <c r="GA94" s="17">
        <f>FZ94*VLOOKUP('Données projet'!$B$17,Paramètres!$A$1:$I$89,3,0)*VLOOKUP('Données projet'!$B$17,Paramètres!$A$1:$I$89,5,0)</f>
        <v>-1.3567387213697657E-13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323.01113210765487</v>
      </c>
      <c r="GF94" s="59">
        <f t="shared" si="104"/>
        <v>311.68541696405975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73.264404185620492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73.264404185620492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2.8421709430404007E-14</v>
      </c>
      <c r="GV94" s="17">
        <f>GU94*VLOOKUP('Données projet'!$B$18,Paramètres!$A$1:$I$89,3,0)*VLOOKUP('Données projet'!$B$18,Paramètres!$A$1:$I$89,5,0)</f>
        <v>2.4829205358400945E-14</v>
      </c>
      <c r="GW94" s="13">
        <f t="shared" si="105"/>
        <v>4.3867331143352915E-13</v>
      </c>
      <c r="GX94" s="20">
        <f t="shared" si="82"/>
        <v>8.0726688341261168E-13</v>
      </c>
      <c r="GY94" s="59">
        <f t="shared" si="83"/>
        <v>274.68682684284585</v>
      </c>
      <c r="GZ94" s="59">
        <f ca="1">AVERAGE(OFFSET($GY$3,0,0,'Données projet'!$E$18+1,1))-AVERAGE(OFFSET($H$3,0,0,'Données projet'!$E$18+1,1))</f>
        <v>285.8437404763045</v>
      </c>
      <c r="HA94" s="59">
        <f t="shared" si="106"/>
        <v>276.01618888357268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63.821732367788421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63.821732367788421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3.8</v>
      </c>
      <c r="N95" s="13">
        <f>IF('Données projet'!$A$36&gt;35,N94+M95-V94,IF(A95&lt;'Données projet'!$A$36,$K$205^A95,IF(A95='Données projet'!$A$36,'Données projet'!$B$36,N94+M95-V94)))</f>
        <v>200.59999999999997</v>
      </c>
      <c r="O95" s="13">
        <f>N95*VLOOKUP('Données projet'!$B$9,Paramètres!$A$1:$I$89,3,0)*VLOOKUP('Données projet'!$B$9,Paramètres!$A$1:$I$89,5,0)</f>
        <v>181.50287999999995</v>
      </c>
      <c r="P95" s="13">
        <f t="shared" si="87"/>
        <v>45.656387302784658</v>
      </c>
      <c r="Q95" s="20">
        <f t="shared" si="54"/>
        <v>395.63572388568315</v>
      </c>
      <c r="R95" s="59">
        <f t="shared" si="55"/>
        <v>670.64602592879487</v>
      </c>
      <c r="S95" s="59">
        <f ca="1">AVERAGE(OFFSET($R$3,0,0,'Données projet'!$E$9+1,1))-AVERAGE(OFFSET($H$3,0,0,'Données projet'!$E$9+1,1))</f>
        <v>315.34103933739129</v>
      </c>
      <c r="T95" s="59">
        <f t="shared" si="88"/>
        <v>165.80901858372513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17.366124564126633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17.366124564126633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-3.4106051316484809E-13</v>
      </c>
      <c r="AJ95" s="13">
        <f>AI95*VLOOKUP('Données projet'!$B$10,Paramètres!$A$1:$I$89,3,0)*VLOOKUP('Données projet'!$B$10,Paramètres!$A$1:$I$89,5,0)</f>
        <v>-2.0395418687257919E-13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317.328615425664</v>
      </c>
      <c r="AO95" s="59">
        <f t="shared" si="90"/>
        <v>324.95872842255744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93.13850445781307</v>
      </c>
      <c r="AV95" s="21">
        <f>EXP(-LN(2)/25)*AV94+(1-EXP(-LN(2)/25))/(LN(2)/25)*Calculateur!AQ95*Calculateur!AS95*VLOOKUP('Données projet'!$B$10,Paramètres!$A$1:$I$89,3,0)*0.475*44/12</f>
        <v>13.934818141595859</v>
      </c>
      <c r="AW95" s="21">
        <f>EXP(-LN(2)/2)*AW94+(1-EXP(-LN(2)/2))/(LN(2)/2)*AQ95*AT95*VLOOKUP('Données projet'!$B$10,Paramètres!$A$1:$I$89,3,0)*0.475*44/12</f>
        <v>4.1041969060202232E-4</v>
      </c>
      <c r="AX95" s="21">
        <f t="shared" si="60"/>
        <v>107.07373301909952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-5.6843418860808015E-14</v>
      </c>
      <c r="BE95" s="13">
        <f>BD95*VLOOKUP('Données projet'!$B$11,Paramètres!$A$1:$I$89,3,0)*VLOOKUP('Données projet'!$B$11,Paramètres!$A$1:$I$89,5,0)</f>
        <v>-6.5483618527650828E-14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418.31716673276725</v>
      </c>
      <c r="BJ95" s="59">
        <f t="shared" si="92"/>
        <v>472.37891533957929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72.664306415852479</v>
      </c>
      <c r="BQ95" s="21">
        <f>EXP(-LN(2)/25)*BQ94+(1-EXP(-LN(2)/25))/(LN(2)/25)*Calculateur!BL95*Calculateur!BN95*VLOOKUP('Données projet'!$B$11,Paramètres!$A$1:$I$89,3,0)*0.475*44/12</f>
        <v>12.711559539120746</v>
      </c>
      <c r="BR95" s="21">
        <f>EXP(-LN(2)/2)*BR94+(1-EXP(-LN(2)/2))/(LN(2)/2)*BL95*BO95*VLOOKUP('Données projet'!$B$11,Paramètres!$A$1:$I$89,3,0)*0.475*44/12</f>
        <v>6.3655742089840678E-4</v>
      </c>
      <c r="BS95" s="22">
        <f t="shared" si="63"/>
        <v>85.376502512394126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1.1368683772161603E-13</v>
      </c>
      <c r="BZ95" s="13">
        <f>BY95*VLOOKUP('Données projet'!$B$12,Paramètres!$A$1:$I$89,3,0)*VLOOKUP('Données projet'!$B$12,Paramètres!$A$1:$I$89,5,0)</f>
        <v>6.6506800067145386E-14</v>
      </c>
      <c r="CA95" s="13">
        <f t="shared" si="93"/>
        <v>1.0476989505385114E-12</v>
      </c>
      <c r="CB95" s="20">
        <f t="shared" si="64"/>
        <v>1.9405750156381857E-12</v>
      </c>
      <c r="CC95" s="59">
        <f t="shared" si="65"/>
        <v>275.01030204311365</v>
      </c>
      <c r="CD95" s="59">
        <f ca="1">AVERAGE(OFFSET($CC$3,0,0,'Données projet'!$E$12+1,1))-AVERAGE(OFFSET($H$3,0,0,'Données projet'!$E$12+1,1))</f>
        <v>184.11352167663844</v>
      </c>
      <c r="CE95" s="59">
        <f t="shared" si="94"/>
        <v>145.86653500981791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52.824383298284516</v>
      </c>
      <c r="CL95" s="21">
        <f>EXP(-LN(2)/25)*CL94+(1-EXP(-LN(2)/25))/(LN(2)/25)*Calculateur!CG95*Calculateur!CI95*VLOOKUP('Données projet'!$B$12,Paramètres!$A$1:$I$89,3,0)*0.475*44/12</f>
        <v>20.16867290535367</v>
      </c>
      <c r="CM95" s="21">
        <f>EXP(-LN(2)/2)*CM94+(1-EXP(-LN(2)/2))/(LN(2)/2)*CG95*CJ95*VLOOKUP('Données projet'!$B$12,Paramètres!$A$1:$I$89,3,0)*0.475*44/12</f>
        <v>9.4451488732592157</v>
      </c>
      <c r="CN95" s="22">
        <f t="shared" si="66"/>
        <v>82.438205076897404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5.833750000000002</v>
      </c>
      <c r="CT95" s="12">
        <f>IF('Données projet'!$A$140&gt;35,CT94+CS95-DB94,IF(A95&lt;'Données projet'!$A$140,$CQ$205^A95,IF(A95='Données projet'!$A$140,'Données projet'!$B$140,CT94+CS95-DB94)))</f>
        <v>285.16749999999985</v>
      </c>
      <c r="CU95" s="17">
        <f>CT95*VLOOKUP('Données projet'!$B$13,Paramètres!$A$1:$I$89,3,0)*VLOOKUP('Données projet'!$B$13,Paramètres!$A$1:$I$89,5,0)</f>
        <v>137.16556749999992</v>
      </c>
      <c r="CV95" s="13">
        <f t="shared" si="95"/>
        <v>35.646905871486474</v>
      </c>
      <c r="CW95" s="20">
        <f t="shared" si="67"/>
        <v>300.98172445533879</v>
      </c>
      <c r="CX95" s="59">
        <f t="shared" si="68"/>
        <v>575.99202649845051</v>
      </c>
      <c r="CY95" s="59">
        <f ca="1">AVERAGE(OFFSET($CX$3,0,0,'Données projet'!$E$13+1,1))-AVERAGE(OFFSET($H$3,0,0,'Données projet'!$E$13+1,1))</f>
        <v>303.76035885073708</v>
      </c>
      <c r="CZ95" s="59">
        <f t="shared" si="96"/>
        <v>127.43112562890414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5.2971878606611673</v>
      </c>
      <c r="DG95" s="21">
        <f>EXP(-LN(2)/25)*DG94+(1-EXP(-LN(2)/25))/(LN(2)/25)*Calculateur!DB95*Calculateur!DD95*VLOOKUP('Données projet'!$B$13,Paramètres!$A$1:$I$89,3,0)*0.475*44/12</f>
        <v>22.908585493161109</v>
      </c>
      <c r="DH95" s="21">
        <f>EXP(-LN(2)/2)*DH94+(1-EXP(-LN(2)/2))/(LN(2)/2)*DB95*DE95*VLOOKUP('Données projet'!$B$13,Paramètres!$A$1:$I$89,3,0)*0.475*44/12</f>
        <v>0.55305433265542381</v>
      </c>
      <c r="DI95" s="22">
        <f t="shared" si="69"/>
        <v>28.758827686477701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5.6843418860808015E-14</v>
      </c>
      <c r="DP95" s="17">
        <f>DO95*VLOOKUP('Données projet'!$B$14,Paramètres!$A$1:$I$89,3,0)*VLOOKUP('Données projet'!$B$14,Paramètres!$A$1:$I$89,5,0)</f>
        <v>3.2810021366458389E-14</v>
      </c>
      <c r="DQ95" s="13">
        <f t="shared" si="97"/>
        <v>5.6117125884464641E-13</v>
      </c>
      <c r="DR95" s="20">
        <f t="shared" si="70"/>
        <v>1.0345173963676741E-12</v>
      </c>
      <c r="DS95" s="59">
        <f t="shared" si="71"/>
        <v>275.01030204311274</v>
      </c>
      <c r="DT95" s="59">
        <f ca="1">AVERAGE(OFFSET($DS$3,0,0,'Données projet'!$E$14+1,1))-AVERAGE(OFFSET($H$3,0,0,'Données projet'!$E$14+1,1))</f>
        <v>243.65374431792841</v>
      </c>
      <c r="DU95" s="59">
        <f t="shared" si="98"/>
        <v>271.60754570002939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31.588401684403227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31.588401684403227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2.8</v>
      </c>
      <c r="EJ95" s="12">
        <f>IF('Données projet'!$A$192&gt;35,EJ94+EI95-ER94,IF(A95&lt;'Données projet'!$A$192,$EG$205^A95,IF(A95='Données projet'!$A$192,'Données projet'!$B$192,EJ94+EI95-ER94)))</f>
        <v>259.59999999999991</v>
      </c>
      <c r="EK95" s="17">
        <f>EJ95*VLOOKUP('Données projet'!$B$15,Paramètres!$A$1:$I$89,3,0)*VLOOKUP('Données projet'!$B$15,Paramètres!$A$1:$I$89,5,0)</f>
        <v>174.13967999999994</v>
      </c>
      <c r="EL95" s="13">
        <f t="shared" si="99"/>
        <v>44.015871965031607</v>
      </c>
      <c r="EM95" s="20">
        <f t="shared" si="73"/>
        <v>379.95425300576329</v>
      </c>
      <c r="EN95" s="59">
        <f t="shared" si="74"/>
        <v>654.96455504887501</v>
      </c>
      <c r="EO95" s="59">
        <f ca="1">AVERAGE(OFFSET($EN$3,0,0,'Données projet'!$E$15+1,1))-AVERAGE(OFFSET($H$3,0,0,'Données projet'!$E$15+1,1))</f>
        <v>321.44781099085594</v>
      </c>
      <c r="EP95" s="59">
        <f t="shared" si="100"/>
        <v>201.22243186578183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26.578658501720078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26.578658501720078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2.8421709430404007E-14</v>
      </c>
      <c r="FF95" s="17">
        <f>FE95*VLOOKUP('Données projet'!$B$16,Paramètres!$A$1:$I$89,3,0)*VLOOKUP('Données projet'!$B$16,Paramètres!$A$1:$I$89,5,0)</f>
        <v>2.4829205358400945E-14</v>
      </c>
      <c r="FG95" s="13">
        <f t="shared" si="101"/>
        <v>4.3867331143352915E-13</v>
      </c>
      <c r="FH95" s="20">
        <f t="shared" si="76"/>
        <v>8.0726688341261168E-13</v>
      </c>
      <c r="FI95" s="59">
        <f t="shared" si="77"/>
        <v>275.01030204311252</v>
      </c>
      <c r="FJ95" s="59">
        <f ca="1">AVERAGE(OFFSET($FI$3,0,0,'Données projet'!$E$16+1,1))-AVERAGE(OFFSET($H$3,0,0,'Données projet'!$E$16+1,1))</f>
        <v>285.8437404763045</v>
      </c>
      <c r="FK95" s="59">
        <f t="shared" si="102"/>
        <v>276.01618888357268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62.570227123469074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62.570227123469074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-1.7053025658242404E-13</v>
      </c>
      <c r="GA95" s="17">
        <f>FZ95*VLOOKUP('Données projet'!$B$17,Paramètres!$A$1:$I$89,3,0)*VLOOKUP('Données projet'!$B$17,Paramètres!$A$1:$I$89,5,0)</f>
        <v>-1.3567387213697657E-13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323.01113210765487</v>
      </c>
      <c r="GF95" s="59">
        <f t="shared" si="104"/>
        <v>311.68541696405975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71.827733906414565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71.827733906414565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2.8421709430404007E-14</v>
      </c>
      <c r="GV95" s="17">
        <f>GU95*VLOOKUP('Données projet'!$B$18,Paramètres!$A$1:$I$89,3,0)*VLOOKUP('Données projet'!$B$18,Paramètres!$A$1:$I$89,5,0)</f>
        <v>2.4829205358400945E-14</v>
      </c>
      <c r="GW95" s="13">
        <f t="shared" si="105"/>
        <v>4.3867331143352915E-13</v>
      </c>
      <c r="GX95" s="20">
        <f t="shared" si="82"/>
        <v>8.0726688341261168E-13</v>
      </c>
      <c r="GY95" s="59">
        <f t="shared" si="83"/>
        <v>275.01030204311252</v>
      </c>
      <c r="GZ95" s="59">
        <f ca="1">AVERAGE(OFFSET($GY$3,0,0,'Données projet'!$E$18+1,1))-AVERAGE(OFFSET($H$3,0,0,'Données projet'!$E$18+1,1))</f>
        <v>285.8437404763045</v>
      </c>
      <c r="HA95" s="59">
        <f t="shared" si="106"/>
        <v>276.01618888357268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62.570227123469074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62.570227123469074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3.8</v>
      </c>
      <c r="N96" s="13">
        <f>IF('Données projet'!$A$36&gt;35,N95+M96-V95,IF(A96&lt;'Données projet'!$A$36,$K$205^A96,IF(A96='Données projet'!$A$36,'Données projet'!$B$36,N95+M96-V95)))</f>
        <v>204.39999999999998</v>
      </c>
      <c r="O96" s="13">
        <f>N96*VLOOKUP('Données projet'!$B$9,Paramètres!$A$1:$I$89,3,0)*VLOOKUP('Données projet'!$B$9,Paramètres!$A$1:$I$89,5,0)</f>
        <v>184.94111999999998</v>
      </c>
      <c r="P96" s="13">
        <f t="shared" si="87"/>
        <v>46.419755730249435</v>
      </c>
      <c r="Q96" s="20">
        <f t="shared" si="54"/>
        <v>402.95352523018437</v>
      </c>
      <c r="R96" s="59">
        <f t="shared" si="55"/>
        <v>678.28169090202027</v>
      </c>
      <c r="S96" s="59">
        <f ca="1">AVERAGE(OFFSET($R$3,0,0,'Données projet'!$E$9+1,1))-AVERAGE(OFFSET($H$3,0,0,'Données projet'!$E$9+1,1))</f>
        <v>315.34103933739129</v>
      </c>
      <c r="T96" s="59">
        <f t="shared" si="88"/>
        <v>165.80901858372513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17.025585453714193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17.025585453714193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-3.4106051316484809E-13</v>
      </c>
      <c r="AJ96" s="13">
        <f>AI96*VLOOKUP('Données projet'!$B$10,Paramètres!$A$1:$I$89,3,0)*VLOOKUP('Données projet'!$B$10,Paramètres!$A$1:$I$89,5,0)</f>
        <v>-2.0395418687257919E-13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317.328615425664</v>
      </c>
      <c r="AO96" s="59">
        <f t="shared" si="90"/>
        <v>324.95872842255744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91.312115194273659</v>
      </c>
      <c r="AV96" s="21">
        <f>EXP(-LN(2)/25)*AV95+(1-EXP(-LN(2)/25))/(LN(2)/25)*Calculateur!AQ96*Calculateur!AS96*VLOOKUP('Données projet'!$B$10,Paramètres!$A$1:$I$89,3,0)*0.475*44/12</f>
        <v>13.553769806713682</v>
      </c>
      <c r="AW96" s="21">
        <f>EXP(-LN(2)/2)*AW95+(1-EXP(-LN(2)/2))/(LN(2)/2)*AQ96*AT96*VLOOKUP('Données projet'!$B$10,Paramètres!$A$1:$I$89,3,0)*0.475*44/12</f>
        <v>2.9021054635717473E-4</v>
      </c>
      <c r="AX96" s="21">
        <f t="shared" si="60"/>
        <v>104.86617521153369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-5.6843418860808015E-14</v>
      </c>
      <c r="BE96" s="13">
        <f>BD96*VLOOKUP('Données projet'!$B$11,Paramètres!$A$1:$I$89,3,0)*VLOOKUP('Données projet'!$B$11,Paramètres!$A$1:$I$89,5,0)</f>
        <v>-6.5483618527650828E-14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418.31716673276725</v>
      </c>
      <c r="BJ96" s="59">
        <f t="shared" si="92"/>
        <v>472.37891533957929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71.239403687888199</v>
      </c>
      <c r="BQ96" s="21">
        <f>EXP(-LN(2)/25)*BQ95+(1-EXP(-LN(2)/25))/(LN(2)/25)*Calculateur!BL96*Calculateur!BN96*VLOOKUP('Données projet'!$B$11,Paramètres!$A$1:$I$89,3,0)*0.475*44/12</f>
        <v>12.363961275051626</v>
      </c>
      <c r="BR96" s="21">
        <f>EXP(-LN(2)/2)*BR95+(1-EXP(-LN(2)/2))/(LN(2)/2)*BL96*BO96*VLOOKUP('Données projet'!$B$11,Paramètres!$A$1:$I$89,3,0)*0.475*44/12</f>
        <v>4.5011406893188276E-4</v>
      </c>
      <c r="BS96" s="22">
        <f t="shared" si="63"/>
        <v>83.603815077008747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1.1368683772161603E-13</v>
      </c>
      <c r="BZ96" s="13">
        <f>BY96*VLOOKUP('Données projet'!$B$12,Paramètres!$A$1:$I$89,3,0)*VLOOKUP('Données projet'!$B$12,Paramètres!$A$1:$I$89,5,0)</f>
        <v>6.6506800067145386E-14</v>
      </c>
      <c r="CA96" s="13">
        <f t="shared" si="93"/>
        <v>1.0476989505385114E-12</v>
      </c>
      <c r="CB96" s="20">
        <f t="shared" si="64"/>
        <v>1.9405750156381857E-12</v>
      </c>
      <c r="CC96" s="59">
        <f t="shared" si="65"/>
        <v>275.32816567183789</v>
      </c>
      <c r="CD96" s="59">
        <f ca="1">AVERAGE(OFFSET($CC$3,0,0,'Données projet'!$E$12+1,1))-AVERAGE(OFFSET($H$3,0,0,'Données projet'!$E$12+1,1))</f>
        <v>184.11352167663844</v>
      </c>
      <c r="CE96" s="59">
        <f t="shared" si="94"/>
        <v>145.86653500981791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51.788529361497538</v>
      </c>
      <c r="CL96" s="21">
        <f>EXP(-LN(2)/25)*CL95+(1-EXP(-LN(2)/25))/(LN(2)/25)*Calculateur!CG96*Calculateur!CI96*VLOOKUP('Données projet'!$B$12,Paramètres!$A$1:$I$89,3,0)*0.475*44/12</f>
        <v>19.617159484132362</v>
      </c>
      <c r="CM96" s="21">
        <f>EXP(-LN(2)/2)*CM95+(1-EXP(-LN(2)/2))/(LN(2)/2)*CG96*CJ96*VLOOKUP('Données projet'!$B$12,Paramètres!$A$1:$I$89,3,0)*0.475*44/12</f>
        <v>6.6787288175980706</v>
      </c>
      <c r="CN96" s="22">
        <f t="shared" si="66"/>
        <v>78.084417663227967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5.833750000000002</v>
      </c>
      <c r="CT96" s="12">
        <f>IF('Données projet'!$A$140&gt;35,CT95+CS96-DB95,IF(A96&lt;'Données projet'!$A$140,$CQ$205^A96,IF(A96='Données projet'!$A$140,'Données projet'!$B$140,CT95+CS96-DB95)))</f>
        <v>291.00124999999986</v>
      </c>
      <c r="CU96" s="17">
        <f>CT96*VLOOKUP('Données projet'!$B$13,Paramètres!$A$1:$I$89,3,0)*VLOOKUP('Données projet'!$B$13,Paramètres!$A$1:$I$89,5,0)</f>
        <v>139.97160124999994</v>
      </c>
      <c r="CV96" s="13">
        <f t="shared" si="95"/>
        <v>36.290499663360116</v>
      </c>
      <c r="CW96" s="20">
        <f t="shared" si="67"/>
        <v>306.98982575743543</v>
      </c>
      <c r="CX96" s="59">
        <f t="shared" si="68"/>
        <v>582.31799142927139</v>
      </c>
      <c r="CY96" s="59">
        <f ca="1">AVERAGE(OFFSET($CX$3,0,0,'Données projet'!$E$13+1,1))-AVERAGE(OFFSET($H$3,0,0,'Données projet'!$E$13+1,1))</f>
        <v>303.76035885073708</v>
      </c>
      <c r="CZ96" s="59">
        <f t="shared" si="96"/>
        <v>127.43112562890414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5.1933132376791651</v>
      </c>
      <c r="DG96" s="21">
        <f>EXP(-LN(2)/25)*DG95+(1-EXP(-LN(2)/25))/(LN(2)/25)*Calculateur!DB96*Calculateur!DD96*VLOOKUP('Données projet'!$B$13,Paramètres!$A$1:$I$89,3,0)*0.475*44/12</f>
        <v>22.282149018140466</v>
      </c>
      <c r="DH96" s="21">
        <f>EXP(-LN(2)/2)*DH95+(1-EXP(-LN(2)/2))/(LN(2)/2)*DB96*DE96*VLOOKUP('Données projet'!$B$13,Paramètres!$A$1:$I$89,3,0)*0.475*44/12</f>
        <v>0.39106846898525083</v>
      </c>
      <c r="DI96" s="22">
        <f t="shared" si="69"/>
        <v>27.866530724804878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5.6843418860808015E-14</v>
      </c>
      <c r="DP96" s="17">
        <f>DO96*VLOOKUP('Données projet'!$B$14,Paramètres!$A$1:$I$89,3,0)*VLOOKUP('Données projet'!$B$14,Paramètres!$A$1:$I$89,5,0)</f>
        <v>3.2810021366458389E-14</v>
      </c>
      <c r="DQ96" s="13">
        <f t="shared" si="97"/>
        <v>5.6117125884464641E-13</v>
      </c>
      <c r="DR96" s="20">
        <f t="shared" si="70"/>
        <v>1.0345173963676741E-12</v>
      </c>
      <c r="DS96" s="59">
        <f t="shared" si="71"/>
        <v>275.32816567183698</v>
      </c>
      <c r="DT96" s="59">
        <f ca="1">AVERAGE(OFFSET($DS$3,0,0,'Données projet'!$E$14+1,1))-AVERAGE(OFFSET($H$3,0,0,'Données projet'!$E$14+1,1))</f>
        <v>243.65374431792841</v>
      </c>
      <c r="DU96" s="59">
        <f t="shared" si="98"/>
        <v>271.60754570002939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30.968972394394648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30.968972394394648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2.8</v>
      </c>
      <c r="EJ96" s="12">
        <f>IF('Données projet'!$A$192&gt;35,EJ95+EI96-ER95,IF(A96&lt;'Données projet'!$A$192,$EG$205^A96,IF(A96='Données projet'!$A$192,'Données projet'!$B$192,EJ95+EI96-ER95)))</f>
        <v>262.39999999999992</v>
      </c>
      <c r="EK96" s="17">
        <f>EJ96*VLOOKUP('Données projet'!$B$15,Paramètres!$A$1:$I$89,3,0)*VLOOKUP('Données projet'!$B$15,Paramètres!$A$1:$I$89,5,0)</f>
        <v>176.01791999999995</v>
      </c>
      <c r="EL96" s="13">
        <f t="shared" si="99"/>
        <v>44.435096548069552</v>
      </c>
      <c r="EM96" s="20">
        <f t="shared" si="73"/>
        <v>383.95567048788774</v>
      </c>
      <c r="EN96" s="59">
        <f t="shared" si="74"/>
        <v>659.28383615972371</v>
      </c>
      <c r="EO96" s="59">
        <f ca="1">AVERAGE(OFFSET($EN$3,0,0,'Données projet'!$E$15+1,1))-AVERAGE(OFFSET($H$3,0,0,'Données projet'!$E$15+1,1))</f>
        <v>321.44781099085594</v>
      </c>
      <c r="EP96" s="59">
        <f t="shared" si="100"/>
        <v>201.22243186578183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26.057467219882291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26.057467219882291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2.8421709430404007E-14</v>
      </c>
      <c r="FF96" s="17">
        <f>FE96*VLOOKUP('Données projet'!$B$16,Paramètres!$A$1:$I$89,3,0)*VLOOKUP('Données projet'!$B$16,Paramètres!$A$1:$I$89,5,0)</f>
        <v>2.4829205358400945E-14</v>
      </c>
      <c r="FG96" s="13">
        <f t="shared" si="101"/>
        <v>4.3867331143352915E-13</v>
      </c>
      <c r="FH96" s="20">
        <f t="shared" si="76"/>
        <v>8.0726688341261168E-13</v>
      </c>
      <c r="FI96" s="59">
        <f t="shared" si="77"/>
        <v>275.32816567183676</v>
      </c>
      <c r="FJ96" s="59">
        <f ca="1">AVERAGE(OFFSET($FI$3,0,0,'Données projet'!$E$16+1,1))-AVERAGE(OFFSET($H$3,0,0,'Données projet'!$E$16+1,1))</f>
        <v>285.8437404763045</v>
      </c>
      <c r="FK96" s="59">
        <f t="shared" si="102"/>
        <v>276.01618888357268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61.343263133648001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61.343263133648001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-1.7053025658242404E-13</v>
      </c>
      <c r="GA96" s="17">
        <f>FZ96*VLOOKUP('Données projet'!$B$17,Paramètres!$A$1:$I$89,3,0)*VLOOKUP('Données projet'!$B$17,Paramètres!$A$1:$I$89,5,0)</f>
        <v>-1.3567387213697657E-13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323.01113210765487</v>
      </c>
      <c r="GF96" s="59">
        <f t="shared" si="104"/>
        <v>311.68541696405975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70.419235855101519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70.419235855101519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2.8421709430404007E-14</v>
      </c>
      <c r="GV96" s="17">
        <f>GU96*VLOOKUP('Données projet'!$B$18,Paramètres!$A$1:$I$89,3,0)*VLOOKUP('Données projet'!$B$18,Paramètres!$A$1:$I$89,5,0)</f>
        <v>2.4829205358400945E-14</v>
      </c>
      <c r="GW96" s="13">
        <f t="shared" si="105"/>
        <v>4.3867331143352915E-13</v>
      </c>
      <c r="GX96" s="20">
        <f t="shared" si="82"/>
        <v>8.0726688341261168E-13</v>
      </c>
      <c r="GY96" s="59">
        <f t="shared" si="83"/>
        <v>275.32816567183676</v>
      </c>
      <c r="GZ96" s="59">
        <f ca="1">AVERAGE(OFFSET($GY$3,0,0,'Données projet'!$E$18+1,1))-AVERAGE(OFFSET($H$3,0,0,'Données projet'!$E$18+1,1))</f>
        <v>285.8437404763045</v>
      </c>
      <c r="HA96" s="59">
        <f t="shared" si="106"/>
        <v>276.01618888357268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61.343263133648001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61.343263133648001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3.8</v>
      </c>
      <c r="N97" s="13">
        <f>IF('Données projet'!$A$36&gt;35,N96+M97-V96,IF(A97&lt;'Données projet'!$A$36,$K$205^A97,IF(A97='Données projet'!$A$36,'Données projet'!$B$36,N96+M97-V96)))</f>
        <v>208.2</v>
      </c>
      <c r="O97" s="13">
        <f>N97*VLOOKUP('Données projet'!$B$9,Paramètres!$A$1:$I$89,3,0)*VLOOKUP('Données projet'!$B$9,Paramètres!$A$1:$I$89,5,0)</f>
        <v>188.37935999999999</v>
      </c>
      <c r="P97" s="13">
        <f t="shared" si="87"/>
        <v>47.181473920005914</v>
      </c>
      <c r="Q97" s="20">
        <f t="shared" si="54"/>
        <v>410.2684524106769</v>
      </c>
      <c r="R97" s="59">
        <f t="shared" si="55"/>
        <v>685.90896748791533</v>
      </c>
      <c r="S97" s="59">
        <f ca="1">AVERAGE(OFFSET($R$3,0,0,'Données projet'!$E$9+1,1))-AVERAGE(OFFSET($H$3,0,0,'Données projet'!$E$9+1,1))</f>
        <v>315.34103933739129</v>
      </c>
      <c r="T97" s="59">
        <f t="shared" si="88"/>
        <v>165.80901858372513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16.691724107548591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16.691724107548591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-3.4106051316484809E-13</v>
      </c>
      <c r="AJ97" s="13">
        <f>AI97*VLOOKUP('Données projet'!$B$10,Paramètres!$A$1:$I$89,3,0)*VLOOKUP('Données projet'!$B$10,Paramètres!$A$1:$I$89,5,0)</f>
        <v>-2.0395418687257919E-13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317.328615425664</v>
      </c>
      <c r="AO97" s="59">
        <f t="shared" si="90"/>
        <v>324.95872842255744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89.521540310204813</v>
      </c>
      <c r="AV97" s="21">
        <f>EXP(-LN(2)/25)*AV96+(1-EXP(-LN(2)/25))/(LN(2)/25)*Calculateur!AQ97*Calculateur!AS97*VLOOKUP('Données projet'!$B$10,Paramètres!$A$1:$I$89,3,0)*0.475*44/12</f>
        <v>13.18314125858732</v>
      </c>
      <c r="AW97" s="21">
        <f>EXP(-LN(2)/2)*AW96+(1-EXP(-LN(2)/2))/(LN(2)/2)*AQ97*AT97*VLOOKUP('Données projet'!$B$10,Paramètres!$A$1:$I$89,3,0)*0.475*44/12</f>
        <v>2.0520984530101116E-4</v>
      </c>
      <c r="AX97" s="21">
        <f t="shared" si="60"/>
        <v>102.70488677863743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-5.6843418860808015E-14</v>
      </c>
      <c r="BE97" s="13">
        <f>BD97*VLOOKUP('Données projet'!$B$11,Paramètres!$A$1:$I$89,3,0)*VLOOKUP('Données projet'!$B$11,Paramètres!$A$1:$I$89,5,0)</f>
        <v>-6.5483618527650828E-14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418.31716673276725</v>
      </c>
      <c r="BJ97" s="59">
        <f t="shared" si="92"/>
        <v>472.37891533957929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69.84244243331446</v>
      </c>
      <c r="BQ97" s="21">
        <f>EXP(-LN(2)/25)*BQ96+(1-EXP(-LN(2)/25))/(LN(2)/25)*Calculateur!BL97*Calculateur!BN97*VLOOKUP('Données projet'!$B$11,Paramètres!$A$1:$I$89,3,0)*0.475*44/12</f>
        <v>12.025868103792874</v>
      </c>
      <c r="BR97" s="21">
        <f>EXP(-LN(2)/2)*BR96+(1-EXP(-LN(2)/2))/(LN(2)/2)*BL97*BO97*VLOOKUP('Données projet'!$B$11,Paramètres!$A$1:$I$89,3,0)*0.475*44/12</f>
        <v>3.1827871044920339E-4</v>
      </c>
      <c r="BS97" s="22">
        <f t="shared" si="63"/>
        <v>81.868628815817786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1.1368683772161603E-13</v>
      </c>
      <c r="BZ97" s="13">
        <f>BY97*VLOOKUP('Données projet'!$B$12,Paramètres!$A$1:$I$89,3,0)*VLOOKUP('Données projet'!$B$12,Paramètres!$A$1:$I$89,5,0)</f>
        <v>6.6506800067145386E-14</v>
      </c>
      <c r="CA97" s="13">
        <f t="shared" si="93"/>
        <v>1.0476989505385114E-12</v>
      </c>
      <c r="CB97" s="20">
        <f t="shared" si="64"/>
        <v>1.9405750156381857E-12</v>
      </c>
      <c r="CC97" s="59">
        <f t="shared" si="65"/>
        <v>275.64051507724042</v>
      </c>
      <c r="CD97" s="59">
        <f ca="1">AVERAGE(OFFSET($CC$3,0,0,'Données projet'!$E$12+1,1))-AVERAGE(OFFSET($H$3,0,0,'Données projet'!$E$12+1,1))</f>
        <v>184.11352167663844</v>
      </c>
      <c r="CE97" s="59">
        <f t="shared" si="94"/>
        <v>145.86653500981791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50.772987888602437</v>
      </c>
      <c r="CL97" s="21">
        <f>EXP(-LN(2)/25)*CL96+(1-EXP(-LN(2)/25))/(LN(2)/25)*Calculateur!CG97*Calculateur!CI97*VLOOKUP('Données projet'!$B$12,Paramètres!$A$1:$I$89,3,0)*0.475*44/12</f>
        <v>19.080727226417181</v>
      </c>
      <c r="CM97" s="21">
        <f>EXP(-LN(2)/2)*CM96+(1-EXP(-LN(2)/2))/(LN(2)/2)*CG97*CJ97*VLOOKUP('Données projet'!$B$12,Paramètres!$A$1:$I$89,3,0)*0.475*44/12</f>
        <v>4.7225744366296087</v>
      </c>
      <c r="CN97" s="22">
        <f t="shared" si="66"/>
        <v>74.576289551649225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5.833750000000002</v>
      </c>
      <c r="CT97" s="12">
        <f>IF('Données projet'!$A$140&gt;35,CT96+CS97-DB96,IF(A97&lt;'Données projet'!$A$140,$CQ$205^A97,IF(A97='Données projet'!$A$140,'Données projet'!$B$140,CT96+CS97-DB96)))</f>
        <v>296.83499999999987</v>
      </c>
      <c r="CU97" s="17">
        <f>CT97*VLOOKUP('Données projet'!$B$13,Paramètres!$A$1:$I$89,3,0)*VLOOKUP('Données projet'!$B$13,Paramètres!$A$1:$I$89,5,0)</f>
        <v>142.77763499999995</v>
      </c>
      <c r="CV97" s="13">
        <f t="shared" si="95"/>
        <v>36.932593280231522</v>
      </c>
      <c r="CW97" s="20">
        <f t="shared" si="67"/>
        <v>312.99531425473646</v>
      </c>
      <c r="CX97" s="59">
        <f t="shared" si="68"/>
        <v>588.63582933197495</v>
      </c>
      <c r="CY97" s="59">
        <f ca="1">AVERAGE(OFFSET($CX$3,0,0,'Données projet'!$E$13+1,1))-AVERAGE(OFFSET($H$3,0,0,'Données projet'!$E$13+1,1))</f>
        <v>303.76035885073708</v>
      </c>
      <c r="CZ97" s="59">
        <f t="shared" si="96"/>
        <v>127.43112562890414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5.0914755326965766</v>
      </c>
      <c r="DG97" s="21">
        <f>EXP(-LN(2)/25)*DG96+(1-EXP(-LN(2)/25))/(LN(2)/25)*Calculateur!DB97*Calculateur!DD97*VLOOKUP('Données projet'!$B$13,Paramètres!$A$1:$I$89,3,0)*0.475*44/12</f>
        <v>21.672842481472124</v>
      </c>
      <c r="DH97" s="21">
        <f>EXP(-LN(2)/2)*DH96+(1-EXP(-LN(2)/2))/(LN(2)/2)*DB97*DE97*VLOOKUP('Données projet'!$B$13,Paramètres!$A$1:$I$89,3,0)*0.475*44/12</f>
        <v>0.2765271663277119</v>
      </c>
      <c r="DI97" s="22">
        <f t="shared" si="69"/>
        <v>27.040845180496412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5.6843418860808015E-14</v>
      </c>
      <c r="DP97" s="17">
        <f>DO97*VLOOKUP('Données projet'!$B$14,Paramètres!$A$1:$I$89,3,0)*VLOOKUP('Données projet'!$B$14,Paramètres!$A$1:$I$89,5,0)</f>
        <v>3.2810021366458389E-14</v>
      </c>
      <c r="DQ97" s="13">
        <f t="shared" si="97"/>
        <v>5.6117125884464641E-13</v>
      </c>
      <c r="DR97" s="20">
        <f t="shared" si="70"/>
        <v>1.0345173963676741E-12</v>
      </c>
      <c r="DS97" s="59">
        <f t="shared" si="71"/>
        <v>275.64051507723951</v>
      </c>
      <c r="DT97" s="59">
        <f ca="1">AVERAGE(OFFSET($DS$3,0,0,'Données projet'!$E$14+1,1))-AVERAGE(OFFSET($H$3,0,0,'Données projet'!$E$14+1,1))</f>
        <v>243.65374431792841</v>
      </c>
      <c r="DU97" s="59">
        <f t="shared" si="98"/>
        <v>271.60754570002939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30.361689734948573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30.361689734948573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2.8</v>
      </c>
      <c r="EJ97" s="12">
        <f>IF('Données projet'!$A$192&gt;35,EJ96+EI97-ER96,IF(A97&lt;'Données projet'!$A$192,$EG$205^A97,IF(A97='Données projet'!$A$192,'Données projet'!$B$192,EJ96+EI97-ER96)))</f>
        <v>265.19999999999993</v>
      </c>
      <c r="EK97" s="17">
        <f>EJ97*VLOOKUP('Données projet'!$B$15,Paramètres!$A$1:$I$89,3,0)*VLOOKUP('Données projet'!$B$15,Paramètres!$A$1:$I$89,5,0)</f>
        <v>177.89615999999995</v>
      </c>
      <c r="EL97" s="13">
        <f t="shared" si="99"/>
        <v>44.853800736300684</v>
      </c>
      <c r="EM97" s="20">
        <f t="shared" si="73"/>
        <v>387.95618161572361</v>
      </c>
      <c r="EN97" s="59">
        <f t="shared" si="74"/>
        <v>663.59669669296204</v>
      </c>
      <c r="EO97" s="59">
        <f ca="1">AVERAGE(OFFSET($EN$3,0,0,'Données projet'!$E$15+1,1))-AVERAGE(OFFSET($H$3,0,0,'Données projet'!$E$15+1,1))</f>
        <v>321.44781099085594</v>
      </c>
      <c r="EP97" s="59">
        <f t="shared" si="100"/>
        <v>201.22243186578183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25.54649618118605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25.54649618118605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2.8421709430404007E-14</v>
      </c>
      <c r="FF97" s="17">
        <f>FE97*VLOOKUP('Données projet'!$B$16,Paramètres!$A$1:$I$89,3,0)*VLOOKUP('Données projet'!$B$16,Paramètres!$A$1:$I$89,5,0)</f>
        <v>2.4829205358400945E-14</v>
      </c>
      <c r="FG97" s="13">
        <f t="shared" si="101"/>
        <v>4.3867331143352915E-13</v>
      </c>
      <c r="FH97" s="20">
        <f t="shared" si="76"/>
        <v>8.0726688341261168E-13</v>
      </c>
      <c r="FI97" s="59">
        <f t="shared" si="77"/>
        <v>275.64051507723929</v>
      </c>
      <c r="FJ97" s="59">
        <f ca="1">AVERAGE(OFFSET($FI$3,0,0,'Données projet'!$E$16+1,1))-AVERAGE(OFFSET($H$3,0,0,'Données projet'!$E$16+1,1))</f>
        <v>285.8437404763045</v>
      </c>
      <c r="FK97" s="59">
        <f t="shared" si="102"/>
        <v>276.01618888357268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60.140359159293183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60.140359159293183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-1.7053025658242404E-13</v>
      </c>
      <c r="GA97" s="17">
        <f>FZ97*VLOOKUP('Données projet'!$B$17,Paramètres!$A$1:$I$89,3,0)*VLOOKUP('Données projet'!$B$17,Paramètres!$A$1:$I$89,5,0)</f>
        <v>-1.3567387213697657E-13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323.01113210765487</v>
      </c>
      <c r="GF97" s="59">
        <f t="shared" si="104"/>
        <v>311.68541696405975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69.038357591475744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69.038357591475744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2.8421709430404007E-14</v>
      </c>
      <c r="GV97" s="17">
        <f>GU97*VLOOKUP('Données projet'!$B$18,Paramètres!$A$1:$I$89,3,0)*VLOOKUP('Données projet'!$B$18,Paramètres!$A$1:$I$89,5,0)</f>
        <v>2.4829205358400945E-14</v>
      </c>
      <c r="GW97" s="13">
        <f t="shared" si="105"/>
        <v>4.3867331143352915E-13</v>
      </c>
      <c r="GX97" s="20">
        <f t="shared" si="82"/>
        <v>8.0726688341261168E-13</v>
      </c>
      <c r="GY97" s="59">
        <f t="shared" si="83"/>
        <v>275.64051507723929</v>
      </c>
      <c r="GZ97" s="59">
        <f ca="1">AVERAGE(OFFSET($GY$3,0,0,'Données projet'!$E$18+1,1))-AVERAGE(OFFSET($H$3,0,0,'Données projet'!$E$18+1,1))</f>
        <v>285.8437404763045</v>
      </c>
      <c r="HA97" s="59">
        <f t="shared" si="106"/>
        <v>276.01618888357268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60.140359159293183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60.140359159293183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212</v>
      </c>
      <c r="L98" s="12">
        <f>VLOOKUP(A98,'Données projet'!$A$35:$I$55,9,0)</f>
        <v>3.8</v>
      </c>
      <c r="M98" s="12">
        <f t="array" ref="M98">INDEX(L:L,MIN(IF(ISNUMBER(L98:L294),ROW(L98:L294),"")))</f>
        <v>3.8</v>
      </c>
      <c r="N98" s="13">
        <f>IF('Données projet'!$A$36&gt;35,N97+M98-V97,IF(A98&lt;'Données projet'!$A$36,$K$205^A98,IF(A98='Données projet'!$A$36,'Données projet'!$B$36,N97+M98-V97)))</f>
        <v>212</v>
      </c>
      <c r="O98" s="13">
        <f>N98*VLOOKUP('Données projet'!$B$9,Paramètres!$A$1:$I$89,3,0)*VLOOKUP('Données projet'!$B$9,Paramètres!$A$1:$I$89,5,0)</f>
        <v>191.8176</v>
      </c>
      <c r="P98" s="13">
        <f t="shared" si="87"/>
        <v>47.941575465657095</v>
      </c>
      <c r="Q98" s="20">
        <f t="shared" si="54"/>
        <v>417.58056393601947</v>
      </c>
      <c r="R98" s="59">
        <f t="shared" si="55"/>
        <v>693.52800985478541</v>
      </c>
      <c r="S98" s="59">
        <f ca="1">AVERAGE(OFFSET($R$3,0,0,'Données projet'!$E$9+1,1))-AVERAGE(OFFSET($H$3,0,0,'Données projet'!$E$9+1,1))</f>
        <v>315.34103933739129</v>
      </c>
      <c r="T98" s="59">
        <f t="shared" si="88"/>
        <v>165.80901858372513</v>
      </c>
      <c r="U98" s="15">
        <f>IF(ISNA(VLOOKUP(A98,'Données projet'!$A$35:$I$55,3,0)),0,VLOOKUP(A98,'Données projet'!$A$35:$I$55,3,0))</f>
        <v>15</v>
      </c>
      <c r="V98" s="15">
        <f>IF(ISNA(VLOOKUP(A98,'Données projet'!$A$35:$I$55,4,0)),0,VLOOKUP(A98,'Données projet'!$A$35:$I$55,4,0))</f>
        <v>14</v>
      </c>
      <c r="W98" s="16">
        <f>IF(ISNA(VLOOKUP(A98,'Données projet'!$A$35:$I$55,5,0)),0%,VLOOKUP(A98,'Données projet'!$A$35:$I$55,5,0)*VLOOKUP('Données projet'!$B$9,Paramètres!$A$1:$I$89,7,0))</f>
        <v>0.30099999999999999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20.57937711062354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20.57937711062354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-3.4106051316484809E-13</v>
      </c>
      <c r="AJ98" s="13">
        <f>AI98*VLOOKUP('Données projet'!$B$10,Paramètres!$A$1:$I$89,3,0)*VLOOKUP('Données projet'!$B$10,Paramètres!$A$1:$I$89,5,0)</f>
        <v>-2.0395418687257919E-13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317.328615425664</v>
      </c>
      <c r="AO98" s="59">
        <f t="shared" si="90"/>
        <v>324.95872842255744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87.766077507469717</v>
      </c>
      <c r="AV98" s="21">
        <f>EXP(-LN(2)/25)*AV97+(1-EXP(-LN(2)/25))/(LN(2)/25)*Calculateur!AQ98*Calculateur!AS98*VLOOKUP('Données projet'!$B$10,Paramètres!$A$1:$I$89,3,0)*0.475*44/12</f>
        <v>12.822647567599981</v>
      </c>
      <c r="AW98" s="21">
        <f>EXP(-LN(2)/2)*AW97+(1-EXP(-LN(2)/2))/(LN(2)/2)*AQ98*AT98*VLOOKUP('Données projet'!$B$10,Paramètres!$A$1:$I$89,3,0)*0.475*44/12</f>
        <v>1.4510527317858736E-4</v>
      </c>
      <c r="AX98" s="21">
        <f t="shared" si="60"/>
        <v>100.58887018034288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-5.6843418860808015E-14</v>
      </c>
      <c r="BE98" s="13">
        <f>BD98*VLOOKUP('Données projet'!$B$11,Paramètres!$A$1:$I$89,3,0)*VLOOKUP('Données projet'!$B$11,Paramètres!$A$1:$I$89,5,0)</f>
        <v>-6.5483618527650828E-14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418.31716673276725</v>
      </c>
      <c r="BJ98" s="59">
        <f t="shared" si="92"/>
        <v>472.37891533957929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68.472874736880684</v>
      </c>
      <c r="BQ98" s="21">
        <f>EXP(-LN(2)/25)*BQ97+(1-EXP(-LN(2)/25))/(LN(2)/25)*Calculateur!BL98*Calculateur!BN98*VLOOKUP('Données projet'!$B$11,Paramètres!$A$1:$I$89,3,0)*0.475*44/12</f>
        <v>11.697020108081739</v>
      </c>
      <c r="BR98" s="21">
        <f>EXP(-LN(2)/2)*BR97+(1-EXP(-LN(2)/2))/(LN(2)/2)*BL98*BO98*VLOOKUP('Données projet'!$B$11,Paramètres!$A$1:$I$89,3,0)*0.475*44/12</f>
        <v>2.2505703446594138E-4</v>
      </c>
      <c r="BS98" s="22">
        <f t="shared" si="63"/>
        <v>80.170119901996898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1.1368683772161603E-13</v>
      </c>
      <c r="BZ98" s="13">
        <f>BY98*VLOOKUP('Données projet'!$B$12,Paramètres!$A$1:$I$89,3,0)*VLOOKUP('Données projet'!$B$12,Paramètres!$A$1:$I$89,5,0)</f>
        <v>6.6506800067145386E-14</v>
      </c>
      <c r="CA98" s="13">
        <f t="shared" si="93"/>
        <v>1.0476989505385114E-12</v>
      </c>
      <c r="CB98" s="20">
        <f t="shared" si="64"/>
        <v>1.9405750156381857E-12</v>
      </c>
      <c r="CC98" s="59">
        <f t="shared" si="65"/>
        <v>275.94744591876787</v>
      </c>
      <c r="CD98" s="59">
        <f ca="1">AVERAGE(OFFSET($CC$3,0,0,'Données projet'!$E$12+1,1))-AVERAGE(OFFSET($H$3,0,0,'Données projet'!$E$12+1,1))</f>
        <v>184.11352167663844</v>
      </c>
      <c r="CE98" s="59">
        <f t="shared" si="94"/>
        <v>145.86653500981791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49.777360564571673</v>
      </c>
      <c r="CL98" s="21">
        <f>EXP(-LN(2)/25)*CL97+(1-EXP(-LN(2)/25))/(LN(2)/25)*Calculateur!CG98*Calculateur!CI98*VLOOKUP('Données projet'!$B$12,Paramètres!$A$1:$I$89,3,0)*0.475*44/12</f>
        <v>18.558963736998969</v>
      </c>
      <c r="CM98" s="21">
        <f>EXP(-LN(2)/2)*CM97+(1-EXP(-LN(2)/2))/(LN(2)/2)*CG98*CJ98*VLOOKUP('Données projet'!$B$12,Paramètres!$A$1:$I$89,3,0)*0.475*44/12</f>
        <v>3.3393644087990357</v>
      </c>
      <c r="CN98" s="22">
        <f t="shared" si="66"/>
        <v>71.675688710369684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5.833750000000002</v>
      </c>
      <c r="CT98" s="12">
        <f>IF('Données projet'!$A$140&gt;35,CT97+CS98-DB97,IF(A98&lt;'Données projet'!$A$140,$CQ$205^A98,IF(A98='Données projet'!$A$140,'Données projet'!$B$140,CT97+CS98-DB97)))</f>
        <v>302.66874999999987</v>
      </c>
      <c r="CU98" s="17">
        <f>CT98*VLOOKUP('Données projet'!$B$13,Paramètres!$A$1:$I$89,3,0)*VLOOKUP('Données projet'!$B$13,Paramètres!$A$1:$I$89,5,0)</f>
        <v>145.58366874999996</v>
      </c>
      <c r="CV98" s="13">
        <f t="shared" si="95"/>
        <v>37.573219603797497</v>
      </c>
      <c r="CW98" s="20">
        <f t="shared" si="67"/>
        <v>318.99824721619717</v>
      </c>
      <c r="CX98" s="59">
        <f t="shared" si="68"/>
        <v>594.94569313496311</v>
      </c>
      <c r="CY98" s="59">
        <f ca="1">AVERAGE(OFFSET($CX$3,0,0,'Données projet'!$E$13+1,1))-AVERAGE(OFFSET($H$3,0,0,'Données projet'!$E$13+1,1))</f>
        <v>303.76035885073708</v>
      </c>
      <c r="CZ98" s="59">
        <f t="shared" si="96"/>
        <v>127.43112562890414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4.99163480299383</v>
      </c>
      <c r="DG98" s="21">
        <f>EXP(-LN(2)/25)*DG97+(1-EXP(-LN(2)/25))/(LN(2)/25)*Calculateur!DB98*Calculateur!DD98*VLOOKUP('Données projet'!$B$13,Paramètres!$A$1:$I$89,3,0)*0.475*44/12</f>
        <v>21.080197464091015</v>
      </c>
      <c r="DH98" s="21">
        <f>EXP(-LN(2)/2)*DH97+(1-EXP(-LN(2)/2))/(LN(2)/2)*DB98*DE98*VLOOKUP('Données projet'!$B$13,Paramètres!$A$1:$I$89,3,0)*0.475*44/12</f>
        <v>0.19553423449262541</v>
      </c>
      <c r="DI98" s="22">
        <f t="shared" si="69"/>
        <v>26.26736650157747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5.6843418860808015E-14</v>
      </c>
      <c r="DP98" s="17">
        <f>DO98*VLOOKUP('Données projet'!$B$14,Paramètres!$A$1:$I$89,3,0)*VLOOKUP('Données projet'!$B$14,Paramètres!$A$1:$I$89,5,0)</f>
        <v>3.2810021366458389E-14</v>
      </c>
      <c r="DQ98" s="13">
        <f t="shared" si="97"/>
        <v>5.6117125884464641E-13</v>
      </c>
      <c r="DR98" s="20">
        <f t="shared" si="70"/>
        <v>1.0345173963676741E-12</v>
      </c>
      <c r="DS98" s="59">
        <f t="shared" si="71"/>
        <v>275.94744591876696</v>
      </c>
      <c r="DT98" s="59">
        <f ca="1">AVERAGE(OFFSET($DS$3,0,0,'Données projet'!$E$14+1,1))-AVERAGE(OFFSET($H$3,0,0,'Données projet'!$E$14+1,1))</f>
        <v>243.65374431792841</v>
      </c>
      <c r="DU98" s="59">
        <f t="shared" si="98"/>
        <v>271.60754570002939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29.76631551804839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29.76631551804839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2.8</v>
      </c>
      <c r="EJ98" s="12">
        <f>IF('Données projet'!$A$192&gt;35,EJ97+EI98-ER97,IF(A98&lt;'Données projet'!$A$192,$EG$205^A98,IF(A98='Données projet'!$A$192,'Données projet'!$B$192,EJ97+EI98-ER97)))</f>
        <v>267.99999999999994</v>
      </c>
      <c r="EK98" s="17">
        <f>EJ98*VLOOKUP('Données projet'!$B$15,Paramètres!$A$1:$I$89,3,0)*VLOOKUP('Données projet'!$B$15,Paramètres!$A$1:$I$89,5,0)</f>
        <v>179.77439999999999</v>
      </c>
      <c r="EL98" s="13">
        <f t="shared" si="99"/>
        <v>45.271990660094822</v>
      </c>
      <c r="EM98" s="20">
        <f t="shared" si="73"/>
        <v>391.9557970663318</v>
      </c>
      <c r="EN98" s="59">
        <f t="shared" si="74"/>
        <v>667.90324298509768</v>
      </c>
      <c r="EO98" s="59">
        <f ca="1">AVERAGE(OFFSET($EN$3,0,0,'Données projet'!$E$15+1,1))-AVERAGE(OFFSET($H$3,0,0,'Données projet'!$E$15+1,1))</f>
        <v>321.44781099085594</v>
      </c>
      <c r="EP98" s="59">
        <f t="shared" si="100"/>
        <v>201.22243186578183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25.045544972897087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25.045544972897087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2.8421709430404007E-14</v>
      </c>
      <c r="FF98" s="17">
        <f>FE98*VLOOKUP('Données projet'!$B$16,Paramètres!$A$1:$I$89,3,0)*VLOOKUP('Données projet'!$B$16,Paramètres!$A$1:$I$89,5,0)</f>
        <v>2.4829205358400945E-14</v>
      </c>
      <c r="FG98" s="13">
        <f t="shared" si="101"/>
        <v>4.3867331143352915E-13</v>
      </c>
      <c r="FH98" s="20">
        <f t="shared" si="76"/>
        <v>8.0726688341261168E-13</v>
      </c>
      <c r="FI98" s="59">
        <f t="shared" si="77"/>
        <v>275.94744591876673</v>
      </c>
      <c r="FJ98" s="59">
        <f ca="1">AVERAGE(OFFSET($FI$3,0,0,'Données projet'!$E$16+1,1))-AVERAGE(OFFSET($H$3,0,0,'Données projet'!$E$16+1,1))</f>
        <v>285.8437404763045</v>
      </c>
      <c r="FK98" s="59">
        <f t="shared" si="102"/>
        <v>276.01618888357268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58.961043398176486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58.961043398176486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-1.7053025658242404E-13</v>
      </c>
      <c r="GA98" s="17">
        <f>FZ98*VLOOKUP('Données projet'!$B$17,Paramètres!$A$1:$I$89,3,0)*VLOOKUP('Données projet'!$B$17,Paramètres!$A$1:$I$89,5,0)</f>
        <v>-1.3567387213697657E-13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323.01113210765487</v>
      </c>
      <c r="GF98" s="59">
        <f t="shared" si="104"/>
        <v>311.68541696405975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67.684557508347098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67.684557508347098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2.8421709430404007E-14</v>
      </c>
      <c r="GV98" s="17">
        <f>GU98*VLOOKUP('Données projet'!$B$18,Paramètres!$A$1:$I$89,3,0)*VLOOKUP('Données projet'!$B$18,Paramètres!$A$1:$I$89,5,0)</f>
        <v>2.4829205358400945E-14</v>
      </c>
      <c r="GW98" s="13">
        <f t="shared" si="105"/>
        <v>4.3867331143352915E-13</v>
      </c>
      <c r="GX98" s="20">
        <f t="shared" si="82"/>
        <v>8.0726688341261168E-13</v>
      </c>
      <c r="GY98" s="59">
        <f t="shared" si="83"/>
        <v>275.94744591876673</v>
      </c>
      <c r="GZ98" s="59">
        <f ca="1">AVERAGE(OFFSET($GY$3,0,0,'Données projet'!$E$18+1,1))-AVERAGE(OFFSET($H$3,0,0,'Données projet'!$E$18+1,1))</f>
        <v>285.8437404763045</v>
      </c>
      <c r="HA98" s="59">
        <f t="shared" si="106"/>
        <v>276.01618888357268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58.961043398176486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58.961043398176486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3.6</v>
      </c>
      <c r="N99" s="13">
        <f>IF('Données projet'!$A$36&gt;35,N98+M99-V98,IF(A99&lt;'Données projet'!$A$36,$K$205^A99,IF(A99='Données projet'!$A$36,'Données projet'!$B$36,N98+M99-V98)))</f>
        <v>201.6</v>
      </c>
      <c r="O99" s="13">
        <f>N99*VLOOKUP('Données projet'!$B$9,Paramètres!$A$1:$I$89,3,0)*VLOOKUP('Données projet'!$B$9,Paramètres!$A$1:$I$89,5,0)</f>
        <v>182.40767999999997</v>
      </c>
      <c r="P99" s="13">
        <f t="shared" si="87"/>
        <v>45.857435663065921</v>
      </c>
      <c r="Q99" s="20">
        <f t="shared" ref="Q99:Q130" si="107">(O99+P99)*0.475*44/12</f>
        <v>397.56174311317301</v>
      </c>
      <c r="R99" s="59">
        <f t="shared" si="55"/>
        <v>673.81079530956049</v>
      </c>
      <c r="S99" s="59">
        <f ca="1">AVERAGE(OFFSET($R$3,0,0,'Données projet'!$E$9+1,1))-AVERAGE(OFFSET($H$3,0,0,'Données projet'!$E$9+1,1))</f>
        <v>315.34103933739129</v>
      </c>
      <c r="T99" s="59">
        <f t="shared" si="88"/>
        <v>165.80901858372513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20.175828077664825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20.175828077664825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-3.4106051316484809E-13</v>
      </c>
      <c r="AJ99" s="13">
        <f>AI99*VLOOKUP('Données projet'!$B$10,Paramètres!$A$1:$I$89,3,0)*VLOOKUP('Données projet'!$B$10,Paramètres!$A$1:$I$89,5,0)</f>
        <v>-2.0395418687257919E-13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317.328615425664</v>
      </c>
      <c r="AO99" s="59">
        <f t="shared" si="90"/>
        <v>324.95872842255744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86.045038259569665</v>
      </c>
      <c r="AV99" s="21">
        <f>EXP(-LN(2)/25)*AV98+(1-EXP(-LN(2)/25))/(LN(2)/25)*Calculateur!AQ99*Calculateur!AS99*VLOOKUP('Données projet'!$B$10,Paramètres!$A$1:$I$89,3,0)*0.475*44/12</f>
        <v>12.47201159555023</v>
      </c>
      <c r="AW99" s="21">
        <f>EXP(-LN(2)/2)*AW98+(1-EXP(-LN(2)/2))/(LN(2)/2)*AQ99*AT99*VLOOKUP('Données projet'!$B$10,Paramètres!$A$1:$I$89,3,0)*0.475*44/12</f>
        <v>1.0260492265050558E-4</v>
      </c>
      <c r="AX99" s="21">
        <f t="shared" si="60"/>
        <v>98.517152460042539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-5.6843418860808015E-14</v>
      </c>
      <c r="BE99" s="13">
        <f>BD99*VLOOKUP('Données projet'!$B$11,Paramètres!$A$1:$I$89,3,0)*VLOOKUP('Données projet'!$B$11,Paramètres!$A$1:$I$89,5,0)</f>
        <v>-6.5483618527650828E-14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418.31716673276725</v>
      </c>
      <c r="BJ99" s="59">
        <f t="shared" si="92"/>
        <v>472.37891533957929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67.130163427620161</v>
      </c>
      <c r="BQ99" s="21">
        <f>EXP(-LN(2)/25)*BQ98+(1-EXP(-LN(2)/25))/(LN(2)/25)*Calculateur!BL99*Calculateur!BN99*VLOOKUP('Données projet'!$B$11,Paramètres!$A$1:$I$89,3,0)*0.475*44/12</f>
        <v>11.377164478106691</v>
      </c>
      <c r="BR99" s="21">
        <f>EXP(-LN(2)/2)*BR98+(1-EXP(-LN(2)/2))/(LN(2)/2)*BL99*BO99*VLOOKUP('Données projet'!$B$11,Paramètres!$A$1:$I$89,3,0)*0.475*44/12</f>
        <v>1.591393552246017E-4</v>
      </c>
      <c r="BS99" s="22">
        <f t="shared" si="63"/>
        <v>78.507487045082073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1.1368683772161603E-13</v>
      </c>
      <c r="BZ99" s="13">
        <f>BY99*VLOOKUP('Données projet'!$B$12,Paramètres!$A$1:$I$89,3,0)*VLOOKUP('Données projet'!$B$12,Paramètres!$A$1:$I$89,5,0)</f>
        <v>6.6506800067145386E-14</v>
      </c>
      <c r="CA99" s="13">
        <f t="shared" si="93"/>
        <v>1.0476989505385114E-12</v>
      </c>
      <c r="CB99" s="20">
        <f t="shared" si="64"/>
        <v>1.9405750156381857E-12</v>
      </c>
      <c r="CC99" s="59">
        <f t="shared" si="65"/>
        <v>276.24905219638936</v>
      </c>
      <c r="CD99" s="59">
        <f ca="1">AVERAGE(OFFSET($CC$3,0,0,'Données projet'!$E$12+1,1))-AVERAGE(OFFSET($H$3,0,0,'Données projet'!$E$12+1,1))</f>
        <v>184.11352167663844</v>
      </c>
      <c r="CE99" s="59">
        <f t="shared" si="94"/>
        <v>145.86653500981791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48.80125688509245</v>
      </c>
      <c r="CL99" s="21">
        <f>EXP(-LN(2)/25)*CL98+(1-EXP(-LN(2)/25))/(LN(2)/25)*Calculateur!CG99*Calculateur!CI99*VLOOKUP('Données projet'!$B$12,Paramètres!$A$1:$I$89,3,0)*0.475*44/12</f>
        <v>18.051467897637245</v>
      </c>
      <c r="CM99" s="21">
        <f>EXP(-LN(2)/2)*CM98+(1-EXP(-LN(2)/2))/(LN(2)/2)*CG99*CJ99*VLOOKUP('Données projet'!$B$12,Paramètres!$A$1:$I$89,3,0)*0.475*44/12</f>
        <v>2.3612872183148044</v>
      </c>
      <c r="CN99" s="22">
        <f t="shared" si="66"/>
        <v>69.214012001044495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5.833750000000002</v>
      </c>
      <c r="CT99" s="12">
        <f>IF('Données projet'!$A$140&gt;35,CT98+CS99-DB98,IF(A99&lt;'Données projet'!$A$140,$CQ$205^A99,IF(A99='Données projet'!$A$140,'Données projet'!$B$140,CT98+CS99-DB98)))</f>
        <v>308.50249999999988</v>
      </c>
      <c r="CU99" s="17">
        <f>CT99*VLOOKUP('Données projet'!$B$13,Paramètres!$A$1:$I$89,3,0)*VLOOKUP('Données projet'!$B$13,Paramètres!$A$1:$I$89,5,0)</f>
        <v>148.38970249999997</v>
      </c>
      <c r="CV99" s="13">
        <f t="shared" si="95"/>
        <v>38.212410175690309</v>
      </c>
      <c r="CW99" s="20">
        <f t="shared" si="67"/>
        <v>324.99867957682721</v>
      </c>
      <c r="CX99" s="59">
        <f t="shared" si="68"/>
        <v>601.24773177321458</v>
      </c>
      <c r="CY99" s="59">
        <f ca="1">AVERAGE(OFFSET($CX$3,0,0,'Données projet'!$E$13+1,1))-AVERAGE(OFFSET($H$3,0,0,'Données projet'!$E$13+1,1))</f>
        <v>303.76035885073708</v>
      </c>
      <c r="CZ99" s="59">
        <f t="shared" si="96"/>
        <v>127.43112562890414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4.8937518891037222</v>
      </c>
      <c r="DG99" s="21">
        <f>EXP(-LN(2)/25)*DG98+(1-EXP(-LN(2)/25))/(LN(2)/25)*Calculateur!DB99*Calculateur!DD99*VLOOKUP('Données projet'!$B$13,Paramètres!$A$1:$I$89,3,0)*0.475*44/12</f>
        <v>20.503758355876041</v>
      </c>
      <c r="DH99" s="21">
        <f>EXP(-LN(2)/2)*DH98+(1-EXP(-LN(2)/2))/(LN(2)/2)*DB99*DE99*VLOOKUP('Données projet'!$B$13,Paramètres!$A$1:$I$89,3,0)*0.475*44/12</f>
        <v>0.13826358316385595</v>
      </c>
      <c r="DI99" s="22">
        <f t="shared" si="69"/>
        <v>25.535773828143618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5.6843418860808015E-14</v>
      </c>
      <c r="DP99" s="17">
        <f>DO99*VLOOKUP('Données projet'!$B$14,Paramètres!$A$1:$I$89,3,0)*VLOOKUP('Données projet'!$B$14,Paramètres!$A$1:$I$89,5,0)</f>
        <v>3.2810021366458389E-14</v>
      </c>
      <c r="DQ99" s="13">
        <f t="shared" si="97"/>
        <v>5.6117125884464641E-13</v>
      </c>
      <c r="DR99" s="20">
        <f t="shared" si="70"/>
        <v>1.0345173963676741E-12</v>
      </c>
      <c r="DS99" s="59">
        <f t="shared" si="71"/>
        <v>276.24905219638845</v>
      </c>
      <c r="DT99" s="59">
        <f ca="1">AVERAGE(OFFSET($DS$3,0,0,'Données projet'!$E$14+1,1))-AVERAGE(OFFSET($H$3,0,0,'Données projet'!$E$14+1,1))</f>
        <v>243.65374431792841</v>
      </c>
      <c r="DU99" s="59">
        <f t="shared" si="98"/>
        <v>271.60754570002939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29.182616226399205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29.182616226399205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2.8</v>
      </c>
      <c r="EJ99" s="12">
        <f>IF('Données projet'!$A$192&gt;35,EJ98+EI99-ER98,IF(A99&lt;'Données projet'!$A$192,$EG$205^A99,IF(A99='Données projet'!$A$192,'Données projet'!$B$192,EJ98+EI99-ER98)))</f>
        <v>270.79999999999995</v>
      </c>
      <c r="EK99" s="17">
        <f>EJ99*VLOOKUP('Données projet'!$B$15,Paramètres!$A$1:$I$89,3,0)*VLOOKUP('Données projet'!$B$15,Paramètres!$A$1:$I$89,5,0)</f>
        <v>181.65263999999996</v>
      </c>
      <c r="EL99" s="13">
        <f t="shared" si="99"/>
        <v>45.689672314344143</v>
      </c>
      <c r="EM99" s="20">
        <f t="shared" si="73"/>
        <v>395.95452728081597</v>
      </c>
      <c r="EN99" s="59">
        <f t="shared" si="74"/>
        <v>672.20357947720345</v>
      </c>
      <c r="EO99" s="59">
        <f ca="1">AVERAGE(OFFSET($EN$3,0,0,'Données projet'!$E$15+1,1))-AVERAGE(OFFSET($H$3,0,0,'Données projet'!$E$15+1,1))</f>
        <v>321.44781099085594</v>
      </c>
      <c r="EP99" s="59">
        <f t="shared" si="100"/>
        <v>201.22243186578183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24.554417112252601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24.554417112252601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2.8421709430404007E-14</v>
      </c>
      <c r="FF99" s="17">
        <f>FE99*VLOOKUP('Données projet'!$B$16,Paramètres!$A$1:$I$89,3,0)*VLOOKUP('Données projet'!$B$16,Paramètres!$A$1:$I$89,5,0)</f>
        <v>2.4829205358400945E-14</v>
      </c>
      <c r="FG99" s="13">
        <f t="shared" si="101"/>
        <v>4.3867331143352915E-13</v>
      </c>
      <c r="FH99" s="20">
        <f t="shared" si="76"/>
        <v>8.0726688341261168E-13</v>
      </c>
      <c r="FI99" s="59">
        <f t="shared" si="77"/>
        <v>276.24905219638822</v>
      </c>
      <c r="FJ99" s="59">
        <f ca="1">AVERAGE(OFFSET($FI$3,0,0,'Données projet'!$E$16+1,1))-AVERAGE(OFFSET($H$3,0,0,'Données projet'!$E$16+1,1))</f>
        <v>285.8437404763045</v>
      </c>
      <c r="FK99" s="59">
        <f t="shared" si="102"/>
        <v>276.01618888357268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57.804853299823698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57.804853299823698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-1.7053025658242404E-13</v>
      </c>
      <c r="GA99" s="17">
        <f>FZ99*VLOOKUP('Données projet'!$B$17,Paramètres!$A$1:$I$89,3,0)*VLOOKUP('Données projet'!$B$17,Paramètres!$A$1:$I$89,5,0)</f>
        <v>-1.3567387213697657E-13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323.01113210765487</v>
      </c>
      <c r="GF99" s="59">
        <f t="shared" si="104"/>
        <v>311.68541696405975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66.357304619112085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66.357304619112085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2.8421709430404007E-14</v>
      </c>
      <c r="GV99" s="17">
        <f>GU99*VLOOKUP('Données projet'!$B$18,Paramètres!$A$1:$I$89,3,0)*VLOOKUP('Données projet'!$B$18,Paramètres!$A$1:$I$89,5,0)</f>
        <v>2.4829205358400945E-14</v>
      </c>
      <c r="GW99" s="13">
        <f t="shared" si="105"/>
        <v>4.3867331143352915E-13</v>
      </c>
      <c r="GX99" s="20">
        <f t="shared" si="82"/>
        <v>8.0726688341261168E-13</v>
      </c>
      <c r="GY99" s="59">
        <f t="shared" si="83"/>
        <v>276.24905219638822</v>
      </c>
      <c r="GZ99" s="59">
        <f ca="1">AVERAGE(OFFSET($GY$3,0,0,'Données projet'!$E$18+1,1))-AVERAGE(OFFSET($H$3,0,0,'Données projet'!$E$18+1,1))</f>
        <v>285.8437404763045</v>
      </c>
      <c r="HA99" s="59">
        <f t="shared" si="106"/>
        <v>276.01618888357268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57.804853299823698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57.804853299823698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3.6</v>
      </c>
      <c r="N100" s="13">
        <f>IF('Données projet'!$A$36&gt;35,N99+M100-V99,IF(A100&lt;'Données projet'!$A$36,$K$205^A100,IF(A100='Données projet'!$A$36,'Données projet'!$B$36,N99+M100-V99)))</f>
        <v>205.2</v>
      </c>
      <c r="O100" s="13">
        <f>N100*VLOOKUP('Données projet'!$B$9,Paramètres!$A$1:$I$89,3,0)*VLOOKUP('Données projet'!$B$9,Paramètres!$A$1:$I$89,5,0)</f>
        <v>185.66495999999998</v>
      </c>
      <c r="P100" s="13">
        <f t="shared" si="87"/>
        <v>46.580253447083031</v>
      </c>
      <c r="Q100" s="20">
        <f t="shared" si="107"/>
        <v>404.49374675366954</v>
      </c>
      <c r="R100" s="59">
        <f t="shared" si="55"/>
        <v>681.03917303305229</v>
      </c>
      <c r="S100" s="59">
        <f ca="1">AVERAGE(OFFSET($R$3,0,0,'Données projet'!$E$9+1,1))-AVERAGE(OFFSET($H$3,0,0,'Données projet'!$E$9+1,1))</f>
        <v>315.34103933739129</v>
      </c>
      <c r="T100" s="59">
        <f t="shared" si="88"/>
        <v>165.80901858372513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19.780192395101825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19.780192395101825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-3.4106051316484809E-13</v>
      </c>
      <c r="AJ100" s="13">
        <f>AI100*VLOOKUP('Données projet'!$B$10,Paramètres!$A$1:$I$89,3,0)*VLOOKUP('Données projet'!$B$10,Paramètres!$A$1:$I$89,5,0)</f>
        <v>-2.0395418687257919E-13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317.328615425664</v>
      </c>
      <c r="AO100" s="59">
        <f t="shared" si="90"/>
        <v>324.95872842255744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84.357747541590641</v>
      </c>
      <c r="AV100" s="21">
        <f>EXP(-LN(2)/25)*AV99+(1-EXP(-LN(2)/25))/(LN(2)/25)*Calculateur!AQ100*Calculateur!AS100*VLOOKUP('Données projet'!$B$10,Paramètres!$A$1:$I$89,3,0)*0.475*44/12</f>
        <v>12.130963782595325</v>
      </c>
      <c r="AW100" s="21">
        <f>EXP(-LN(2)/2)*AW99+(1-EXP(-LN(2)/2))/(LN(2)/2)*AQ100*AT100*VLOOKUP('Données projet'!$B$10,Paramètres!$A$1:$I$89,3,0)*0.475*44/12</f>
        <v>7.2552636589293682E-5</v>
      </c>
      <c r="AX100" s="21">
        <f t="shared" si="60"/>
        <v>96.488783876822566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-5.6843418860808015E-14</v>
      </c>
      <c r="BE100" s="13">
        <f>BD100*VLOOKUP('Données projet'!$B$11,Paramètres!$A$1:$I$89,3,0)*VLOOKUP('Données projet'!$B$11,Paramètres!$A$1:$I$89,5,0)</f>
        <v>-6.5483618527650828E-14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418.31716673276725</v>
      </c>
      <c r="BJ100" s="59">
        <f t="shared" si="92"/>
        <v>472.37891533957929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65.8137818681612</v>
      </c>
      <c r="BQ100" s="21">
        <f>EXP(-LN(2)/25)*BQ99+(1-EXP(-LN(2)/25))/(LN(2)/25)*Calculateur!BL100*Calculateur!BN100*VLOOKUP('Données projet'!$B$11,Paramètres!$A$1:$I$89,3,0)*0.475*44/12</f>
        <v>11.066055317153786</v>
      </c>
      <c r="BR100" s="21">
        <f>EXP(-LN(2)/2)*BR99+(1-EXP(-LN(2)/2))/(LN(2)/2)*BL100*BO100*VLOOKUP('Données projet'!$B$11,Paramètres!$A$1:$I$89,3,0)*0.475*44/12</f>
        <v>1.1252851723297069E-4</v>
      </c>
      <c r="BS100" s="22">
        <f t="shared" si="63"/>
        <v>76.879949713832218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1.1368683772161603E-13</v>
      </c>
      <c r="BZ100" s="13">
        <f>BY100*VLOOKUP('Données projet'!$B$12,Paramètres!$A$1:$I$89,3,0)*VLOOKUP('Données projet'!$B$12,Paramètres!$A$1:$I$89,5,0)</f>
        <v>6.6506800067145386E-14</v>
      </c>
      <c r="CA100" s="13">
        <f t="shared" si="93"/>
        <v>1.0476989505385114E-12</v>
      </c>
      <c r="CB100" s="20">
        <f t="shared" si="64"/>
        <v>1.9405750156381857E-12</v>
      </c>
      <c r="CC100" s="59">
        <f t="shared" si="65"/>
        <v>276.54542627938474</v>
      </c>
      <c r="CD100" s="59">
        <f ca="1">AVERAGE(OFFSET($CC$3,0,0,'Données projet'!$E$12+1,1))-AVERAGE(OFFSET($H$3,0,0,'Données projet'!$E$12+1,1))</f>
        <v>184.11352167663844</v>
      </c>
      <c r="CE100" s="59">
        <f t="shared" si="94"/>
        <v>145.86653500981791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47.844294003403355</v>
      </c>
      <c r="CL100" s="21">
        <f>EXP(-LN(2)/25)*CL99+(1-EXP(-LN(2)/25))/(LN(2)/25)*Calculateur!CG100*Calculateur!CI100*VLOOKUP('Données projet'!$B$12,Paramètres!$A$1:$I$89,3,0)*0.475*44/12</f>
        <v>17.557849558690915</v>
      </c>
      <c r="CM100" s="21">
        <f>EXP(-LN(2)/2)*CM99+(1-EXP(-LN(2)/2))/(LN(2)/2)*CG100*CJ100*VLOOKUP('Données projet'!$B$12,Paramètres!$A$1:$I$89,3,0)*0.475*44/12</f>
        <v>1.6696822043995179</v>
      </c>
      <c r="CN100" s="22">
        <f t="shared" si="66"/>
        <v>67.071825766493788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5.833750000000002</v>
      </c>
      <c r="CT100" s="12">
        <f>IF('Données projet'!$A$140&gt;35,CT99+CS100-DB99,IF(A100&lt;'Données projet'!$A$140,$CQ$205^A100,IF(A100='Données projet'!$A$140,'Données projet'!$B$140,CT99+CS100-DB99)))</f>
        <v>314.33624999999989</v>
      </c>
      <c r="CU100" s="17">
        <f>CT100*VLOOKUP('Données projet'!$B$13,Paramètres!$A$1:$I$89,3,0)*VLOOKUP('Données projet'!$B$13,Paramètres!$A$1:$I$89,5,0)</f>
        <v>151.19573624999995</v>
      </c>
      <c r="CV100" s="13">
        <f t="shared" si="95"/>
        <v>38.850195276380617</v>
      </c>
      <c r="CW100" s="20">
        <f t="shared" si="67"/>
        <v>330.99666407511285</v>
      </c>
      <c r="CX100" s="59">
        <f t="shared" si="68"/>
        <v>607.54209035449571</v>
      </c>
      <c r="CY100" s="59">
        <f ca="1">AVERAGE(OFFSET($CX$3,0,0,'Données projet'!$E$13+1,1))-AVERAGE(OFFSET($H$3,0,0,'Données projet'!$E$13+1,1))</f>
        <v>303.76035885073708</v>
      </c>
      <c r="CZ100" s="59">
        <f t="shared" si="96"/>
        <v>127.43112562890414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4.7977883994523172</v>
      </c>
      <c r="DG100" s="21">
        <f>EXP(-LN(2)/25)*DG99+(1-EXP(-LN(2)/25))/(LN(2)/25)*Calculateur!DB100*Calculateur!DD100*VLOOKUP('Données projet'!$B$13,Paramètres!$A$1:$I$89,3,0)*0.475*44/12</f>
        <v>19.94308200538882</v>
      </c>
      <c r="DH100" s="21">
        <f>EXP(-LN(2)/2)*DH99+(1-EXP(-LN(2)/2))/(LN(2)/2)*DB100*DE100*VLOOKUP('Données projet'!$B$13,Paramètres!$A$1:$I$89,3,0)*0.475*44/12</f>
        <v>9.7767117246312707E-2</v>
      </c>
      <c r="DI100" s="22">
        <f t="shared" si="69"/>
        <v>24.838637522087453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5.6843418860808015E-14</v>
      </c>
      <c r="DP100" s="17">
        <f>DO100*VLOOKUP('Données projet'!$B$14,Paramètres!$A$1:$I$89,3,0)*VLOOKUP('Données projet'!$B$14,Paramètres!$A$1:$I$89,5,0)</f>
        <v>3.2810021366458389E-14</v>
      </c>
      <c r="DQ100" s="13">
        <f t="shared" si="97"/>
        <v>5.6117125884464641E-13</v>
      </c>
      <c r="DR100" s="20">
        <f t="shared" si="70"/>
        <v>1.0345173963676741E-12</v>
      </c>
      <c r="DS100" s="59">
        <f t="shared" si="71"/>
        <v>276.54542627938383</v>
      </c>
      <c r="DT100" s="59">
        <f ca="1">AVERAGE(OFFSET($DS$3,0,0,'Données projet'!$E$14+1,1))-AVERAGE(OFFSET($H$3,0,0,'Données projet'!$E$14+1,1))</f>
        <v>243.65374431792841</v>
      </c>
      <c r="DU100" s="59">
        <f t="shared" si="98"/>
        <v>271.60754570002939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28.610362921837847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28.610362921837847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2.8</v>
      </c>
      <c r="EJ100" s="12">
        <f>IF('Données projet'!$A$192&gt;35,EJ99+EI100-ER99,IF(A100&lt;'Données projet'!$A$192,$EG$205^A100,IF(A100='Données projet'!$A$192,'Données projet'!$B$192,EJ99+EI100-ER99)))</f>
        <v>273.59999999999997</v>
      </c>
      <c r="EK100" s="17">
        <f>EJ100*VLOOKUP('Données projet'!$B$15,Paramètres!$A$1:$I$89,3,0)*VLOOKUP('Données projet'!$B$15,Paramètres!$A$1:$I$89,5,0)</f>
        <v>183.53087999999997</v>
      </c>
      <c r="EL100" s="13">
        <f t="shared" si="99"/>
        <v>46.106851562826705</v>
      </c>
      <c r="EM100" s="20">
        <f t="shared" si="73"/>
        <v>399.9523824719231</v>
      </c>
      <c r="EN100" s="59">
        <f t="shared" si="74"/>
        <v>676.49780875130591</v>
      </c>
      <c r="EO100" s="59">
        <f ca="1">AVERAGE(OFFSET($EN$3,0,0,'Données projet'!$E$15+1,1))-AVERAGE(OFFSET($H$3,0,0,'Données projet'!$E$15+1,1))</f>
        <v>321.44781099085594</v>
      </c>
      <c r="EP100" s="59">
        <f t="shared" si="100"/>
        <v>201.22243186578183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24.072919969396938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24.072919969396938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2.8421709430404007E-14</v>
      </c>
      <c r="FF100" s="17">
        <f>FE100*VLOOKUP('Données projet'!$B$16,Paramètres!$A$1:$I$89,3,0)*VLOOKUP('Données projet'!$B$16,Paramètres!$A$1:$I$89,5,0)</f>
        <v>2.4829205358400945E-14</v>
      </c>
      <c r="FG100" s="13">
        <f t="shared" si="101"/>
        <v>4.3867331143352915E-13</v>
      </c>
      <c r="FH100" s="20">
        <f t="shared" si="76"/>
        <v>8.0726688341261168E-13</v>
      </c>
      <c r="FI100" s="59">
        <f t="shared" si="77"/>
        <v>276.54542627938361</v>
      </c>
      <c r="FJ100" s="59">
        <f ca="1">AVERAGE(OFFSET($FI$3,0,0,'Données projet'!$E$16+1,1))-AVERAGE(OFFSET($H$3,0,0,'Données projet'!$E$16+1,1))</f>
        <v>285.8437404763045</v>
      </c>
      <c r="FK100" s="59">
        <f t="shared" si="102"/>
        <v>276.01618888357268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56.671335384093283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56.671335384093283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-1.7053025658242404E-13</v>
      </c>
      <c r="GA100" s="17">
        <f>FZ100*VLOOKUP('Données projet'!$B$17,Paramètres!$A$1:$I$89,3,0)*VLOOKUP('Données projet'!$B$17,Paramètres!$A$1:$I$89,5,0)</f>
        <v>-1.3567387213697657E-13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323.01113210765487</v>
      </c>
      <c r="GF100" s="59">
        <f t="shared" si="104"/>
        <v>311.68541696405975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65.056078349490647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65.056078349490647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2.8421709430404007E-14</v>
      </c>
      <c r="GV100" s="17">
        <f>GU100*VLOOKUP('Données projet'!$B$18,Paramètres!$A$1:$I$89,3,0)*VLOOKUP('Données projet'!$B$18,Paramètres!$A$1:$I$89,5,0)</f>
        <v>2.4829205358400945E-14</v>
      </c>
      <c r="GW100" s="13">
        <f t="shared" si="105"/>
        <v>4.3867331143352915E-13</v>
      </c>
      <c r="GX100" s="20">
        <f t="shared" si="82"/>
        <v>8.0726688341261168E-13</v>
      </c>
      <c r="GY100" s="59">
        <f t="shared" si="83"/>
        <v>276.54542627938361</v>
      </c>
      <c r="GZ100" s="59">
        <f ca="1">AVERAGE(OFFSET($GY$3,0,0,'Données projet'!$E$18+1,1))-AVERAGE(OFFSET($H$3,0,0,'Données projet'!$E$18+1,1))</f>
        <v>285.8437404763045</v>
      </c>
      <c r="HA100" s="59">
        <f t="shared" si="106"/>
        <v>276.01618888357268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56.671335384093283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56.671335384093283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3.6</v>
      </c>
      <c r="N101" s="13">
        <f>IF('Données projet'!$A$36&gt;35,N100+M101-V100,IF(A101&lt;'Données projet'!$A$36,$K$205^A101,IF(A101='Données projet'!$A$36,'Données projet'!$B$36,N100+M101-V100)))</f>
        <v>208.79999999999998</v>
      </c>
      <c r="O101" s="13">
        <f>N101*VLOOKUP('Données projet'!$B$9,Paramètres!$A$1:$I$89,3,0)*VLOOKUP('Données projet'!$B$9,Paramètres!$A$1:$I$89,5,0)</f>
        <v>188.92223999999999</v>
      </c>
      <c r="P101" s="13">
        <f t="shared" si="87"/>
        <v>47.301596587246017</v>
      </c>
      <c r="Q101" s="20">
        <f t="shared" si="107"/>
        <v>411.42318205612014</v>
      </c>
      <c r="R101" s="59">
        <f t="shared" si="55"/>
        <v>688.25984099075151</v>
      </c>
      <c r="S101" s="59">
        <f ca="1">AVERAGE(OFFSET($R$3,0,0,'Données projet'!$E$9+1,1))-AVERAGE(OFFSET($H$3,0,0,'Données projet'!$E$9+1,1))</f>
        <v>315.34103933739129</v>
      </c>
      <c r="T101" s="59">
        <f t="shared" si="88"/>
        <v>165.80901858372513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19.392314886959944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19.392314886959944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-3.4106051316484809E-13</v>
      </c>
      <c r="AJ101" s="13">
        <f>AI101*VLOOKUP('Données projet'!$B$10,Paramètres!$A$1:$I$89,3,0)*VLOOKUP('Données projet'!$B$10,Paramètres!$A$1:$I$89,5,0)</f>
        <v>-2.0395418687257919E-13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317.328615425664</v>
      </c>
      <c r="AO101" s="59">
        <f t="shared" si="90"/>
        <v>324.95872842255744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82.703543565445472</v>
      </c>
      <c r="AV101" s="21">
        <f>EXP(-LN(2)/25)*AV100+(1-EXP(-LN(2)/25))/(LN(2)/25)*Calculateur!AQ101*Calculateur!AS101*VLOOKUP('Données projet'!$B$10,Paramètres!$A$1:$I$89,3,0)*0.475*44/12</f>
        <v>11.799241940020597</v>
      </c>
      <c r="AW101" s="21">
        <f>EXP(-LN(2)/2)*AW100+(1-EXP(-LN(2)/2))/(LN(2)/2)*AQ101*AT101*VLOOKUP('Données projet'!$B$10,Paramètres!$A$1:$I$89,3,0)*0.475*44/12</f>
        <v>5.130246132525279E-5</v>
      </c>
      <c r="AX101" s="21">
        <f t="shared" si="60"/>
        <v>94.502836807927395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-5.6843418860808015E-14</v>
      </c>
      <c r="BE101" s="13">
        <f>BD101*VLOOKUP('Données projet'!$B$11,Paramètres!$A$1:$I$89,3,0)*VLOOKUP('Données projet'!$B$11,Paramètres!$A$1:$I$89,5,0)</f>
        <v>-6.5483618527650828E-14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418.31716673276725</v>
      </c>
      <c r="BJ101" s="59">
        <f t="shared" si="92"/>
        <v>472.37891533957929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64.523213748169766</v>
      </c>
      <c r="BQ101" s="21">
        <f>EXP(-LN(2)/25)*BQ100+(1-EXP(-LN(2)/25))/(LN(2)/25)*Calculateur!BL101*Calculateur!BN101*VLOOKUP('Données projet'!$B$11,Paramètres!$A$1:$I$89,3,0)*0.475*44/12</f>
        <v>10.763453452567658</v>
      </c>
      <c r="BR101" s="21">
        <f>EXP(-LN(2)/2)*BR100+(1-EXP(-LN(2)/2))/(LN(2)/2)*BL101*BO101*VLOOKUP('Données projet'!$B$11,Paramètres!$A$1:$I$89,3,0)*0.475*44/12</f>
        <v>7.9569677612300848E-5</v>
      </c>
      <c r="BS101" s="22">
        <f t="shared" si="63"/>
        <v>75.286746770415036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1.1368683772161603E-13</v>
      </c>
      <c r="BZ101" s="13">
        <f>BY101*VLOOKUP('Données projet'!$B$12,Paramètres!$A$1:$I$89,3,0)*VLOOKUP('Données projet'!$B$12,Paramètres!$A$1:$I$89,5,0)</f>
        <v>6.6506800067145386E-14</v>
      </c>
      <c r="CA101" s="13">
        <f t="shared" si="93"/>
        <v>1.0476989505385114E-12</v>
      </c>
      <c r="CB101" s="20">
        <f t="shared" si="64"/>
        <v>1.9405750156381857E-12</v>
      </c>
      <c r="CC101" s="59">
        <f t="shared" si="65"/>
        <v>276.83665893463331</v>
      </c>
      <c r="CD101" s="59">
        <f ca="1">AVERAGE(OFFSET($CC$3,0,0,'Données projet'!$E$12+1,1))-AVERAGE(OFFSET($H$3,0,0,'Données projet'!$E$12+1,1))</f>
        <v>184.11352167663844</v>
      </c>
      <c r="CE101" s="59">
        <f t="shared" si="94"/>
        <v>145.86653500981791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46.906096580134459</v>
      </c>
      <c r="CL101" s="21">
        <f>EXP(-LN(2)/25)*CL100+(1-EXP(-LN(2)/25))/(LN(2)/25)*Calculateur!CG101*Calculateur!CI101*VLOOKUP('Données projet'!$B$12,Paramètres!$A$1:$I$89,3,0)*0.475*44/12</f>
        <v>17.077729239181334</v>
      </c>
      <c r="CM101" s="21">
        <f>EXP(-LN(2)/2)*CM100+(1-EXP(-LN(2)/2))/(LN(2)/2)*CG101*CJ101*VLOOKUP('Données projet'!$B$12,Paramètres!$A$1:$I$89,3,0)*0.475*44/12</f>
        <v>1.1806436091574022</v>
      </c>
      <c r="CN101" s="22">
        <f t="shared" si="66"/>
        <v>65.164469428473197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>
        <f>VLOOKUP(A101,'Données projet'!$A$139:$I$159,2,0)</f>
        <v>320.17</v>
      </c>
      <c r="CR101" s="12">
        <f>VLOOKUP(A101,'Données projet'!$A$139:$I$159,9,0)</f>
        <v>5.833750000000002</v>
      </c>
      <c r="CS101" s="12">
        <f t="array" ref="CS101">INDEX(CR:CR,MIN(IF(ISNUMBER(CR101:CR297),ROW(CR101:CR297),"")))</f>
        <v>5.833750000000002</v>
      </c>
      <c r="CT101" s="12">
        <f>IF('Données projet'!$A$140&gt;35,CT100+CS101-DB100,IF(A101&lt;'Données projet'!$A$140,$CQ$205^A101,IF(A101='Données projet'!$A$140,'Données projet'!$B$140,CT100+CS101-DB100)))</f>
        <v>320.1699999999999</v>
      </c>
      <c r="CU101" s="17">
        <f>CT101*VLOOKUP('Données projet'!$B$13,Paramètres!$A$1:$I$89,3,0)*VLOOKUP('Données projet'!$B$13,Paramètres!$A$1:$I$89,5,0)</f>
        <v>154.00176999999996</v>
      </c>
      <c r="CV101" s="13">
        <f t="shared" si="95"/>
        <v>39.486603998057525</v>
      </c>
      <c r="CW101" s="20">
        <f t="shared" si="67"/>
        <v>336.99225137995012</v>
      </c>
      <c r="CX101" s="59">
        <f t="shared" si="68"/>
        <v>613.82891031458144</v>
      </c>
      <c r="CY101" s="59">
        <f ca="1">AVERAGE(OFFSET($CX$3,0,0,'Données projet'!$E$13+1,1))-AVERAGE(OFFSET($H$3,0,0,'Données projet'!$E$13+1,1))</f>
        <v>303.76035885073708</v>
      </c>
      <c r="CZ101" s="59">
        <f t="shared" si="96"/>
        <v>127.43112562890414</v>
      </c>
      <c r="DA101" s="15">
        <f>IF(ISNA(VLOOKUP(A101,'Données projet'!$A$139:$I$159,3,0)),0,VLOOKUP(A101,'Données projet'!$A$139:$I$159,3,0))</f>
        <v>10</v>
      </c>
      <c r="DB101" s="15">
        <f>IF(ISNA(VLOOKUP(A101,'Données projet'!$A$139:$I$159,4,0)),0,VLOOKUP(A101,'Données projet'!$A$139:$I$159,4,0))</f>
        <v>64</v>
      </c>
      <c r="DC101" s="16">
        <f>IF(ISNA(VLOOKUP(A101,'Données projet'!$A$139:$I$159,5,0)),0%,VLOOKUP(A101,'Données projet'!$A$139:$I$159,5,0)*VLOOKUP('Données projet'!$B$13,Paramètres!$A$1:$I$89,7,0))</f>
        <v>0.22000000000000003</v>
      </c>
      <c r="DD101" s="16">
        <f>IF(ISNA(VLOOKUP(A101,'Données projet'!$A$139:$I$159,6,0)),0%,VLOOKUP(A101,'Données projet'!$A$139:$I$159,6,0)*VLOOKUP('Données projet'!$B$13,Paramètres!$A$1:$I$89,7,0))</f>
        <v>0.18700000000000003</v>
      </c>
      <c r="DE101" s="16">
        <f>IF(ISNA(VLOOKUP(A101,'Données projet'!$A$139:$I$159,7,0)),0%,VLOOKUP(A101,'Données projet'!$A$139:$I$159,7,0))</f>
        <v>0.26</v>
      </c>
      <c r="DF101" s="21">
        <f>EXP(-LN(2)/35)*DF100+(1-EXP(-LN(2)/35))/(LN(2)/35)*DB101*DC101*VLOOKUP('Données projet'!$B$13,Paramètres!$A$1:$I$89,3,0)*0.475*44/12</f>
        <v>13.687837938476207</v>
      </c>
      <c r="DG101" s="21">
        <f>EXP(-LN(2)/25)*DG100+(1-EXP(-LN(2)/25))/(LN(2)/25)*Calculateur!DB101*Calculateur!DD101*VLOOKUP('Données projet'!$B$13,Paramètres!$A$1:$I$89,3,0)*0.475*44/12</f>
        <v>27.004181080151515</v>
      </c>
      <c r="DH101" s="21">
        <f>EXP(-LN(2)/2)*DH100+(1-EXP(-LN(2)/2))/(LN(2)/2)*DB101*DE101*VLOOKUP('Données projet'!$B$13,Paramètres!$A$1:$I$89,3,0)*0.475*44/12</f>
        <v>9.1313379438161562</v>
      </c>
      <c r="DI101" s="22">
        <f t="shared" si="69"/>
        <v>49.823356962443874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5.6843418860808015E-14</v>
      </c>
      <c r="DP101" s="17">
        <f>DO101*VLOOKUP('Données projet'!$B$14,Paramètres!$A$1:$I$89,3,0)*VLOOKUP('Données projet'!$B$14,Paramètres!$A$1:$I$89,5,0)</f>
        <v>3.2810021366458389E-14</v>
      </c>
      <c r="DQ101" s="13">
        <f t="shared" si="97"/>
        <v>5.6117125884464641E-13</v>
      </c>
      <c r="DR101" s="20">
        <f t="shared" si="70"/>
        <v>1.0345173963676741E-12</v>
      </c>
      <c r="DS101" s="59">
        <f t="shared" si="71"/>
        <v>276.8366589346324</v>
      </c>
      <c r="DT101" s="59">
        <f ca="1">AVERAGE(OFFSET($DS$3,0,0,'Données projet'!$E$14+1,1))-AVERAGE(OFFSET($H$3,0,0,'Données projet'!$E$14+1,1))</f>
        <v>243.65374431792841</v>
      </c>
      <c r="DU101" s="59">
        <f t="shared" si="98"/>
        <v>271.60754570002939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28.049331155538887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28.049331155538887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2.8</v>
      </c>
      <c r="EJ101" s="12">
        <f>IF('Données projet'!$A$192&gt;35,EJ100+EI101-ER100,IF(A101&lt;'Données projet'!$A$192,$EG$205^A101,IF(A101='Données projet'!$A$192,'Données projet'!$B$192,EJ100+EI101-ER100)))</f>
        <v>276.39999999999998</v>
      </c>
      <c r="EK101" s="17">
        <f>EJ101*VLOOKUP('Données projet'!$B$15,Paramètres!$A$1:$I$89,3,0)*VLOOKUP('Données projet'!$B$15,Paramètres!$A$1:$I$89,5,0)</f>
        <v>185.40912</v>
      </c>
      <c r="EL101" s="13">
        <f t="shared" si="99"/>
        <v>46.523534142385458</v>
      </c>
      <c r="EM101" s="20">
        <f t="shared" si="73"/>
        <v>403.9493726313213</v>
      </c>
      <c r="EN101" s="59">
        <f t="shared" si="74"/>
        <v>680.78603156595273</v>
      </c>
      <c r="EO101" s="59">
        <f ca="1">AVERAGE(OFFSET($EN$3,0,0,'Données projet'!$E$15+1,1))-AVERAGE(OFFSET($H$3,0,0,'Données projet'!$E$15+1,1))</f>
        <v>321.44781099085594</v>
      </c>
      <c r="EP101" s="59">
        <f t="shared" si="100"/>
        <v>201.22243186578183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23.600864691828416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23.600864691828416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2.8421709430404007E-14</v>
      </c>
      <c r="FF101" s="17">
        <f>FE101*VLOOKUP('Données projet'!$B$16,Paramètres!$A$1:$I$89,3,0)*VLOOKUP('Données projet'!$B$16,Paramètres!$A$1:$I$89,5,0)</f>
        <v>2.4829205358400945E-14</v>
      </c>
      <c r="FG101" s="13">
        <f t="shared" si="101"/>
        <v>4.3867331143352915E-13</v>
      </c>
      <c r="FH101" s="20">
        <f t="shared" si="76"/>
        <v>8.0726688341261168E-13</v>
      </c>
      <c r="FI101" s="59">
        <f t="shared" si="77"/>
        <v>276.83665893463217</v>
      </c>
      <c r="FJ101" s="59">
        <f ca="1">AVERAGE(OFFSET($FI$3,0,0,'Données projet'!$E$16+1,1))-AVERAGE(OFFSET($H$3,0,0,'Données projet'!$E$16+1,1))</f>
        <v>285.8437404763045</v>
      </c>
      <c r="FK101" s="59">
        <f t="shared" si="102"/>
        <v>276.01618888357268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55.560045063312678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55.560045063312678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-1.7053025658242404E-13</v>
      </c>
      <c r="GA101" s="17">
        <f>FZ101*VLOOKUP('Données projet'!$B$17,Paramètres!$A$1:$I$89,3,0)*VLOOKUP('Données projet'!$B$17,Paramètres!$A$1:$I$89,5,0)</f>
        <v>-1.3567387213697657E-13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323.01113210765487</v>
      </c>
      <c r="GF101" s="59">
        <f t="shared" si="104"/>
        <v>311.68541696405975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63.780368333346829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63.780368333346829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2.8421709430404007E-14</v>
      </c>
      <c r="GV101" s="17">
        <f>GU101*VLOOKUP('Données projet'!$B$18,Paramètres!$A$1:$I$89,3,0)*VLOOKUP('Données projet'!$B$18,Paramètres!$A$1:$I$89,5,0)</f>
        <v>2.4829205358400945E-14</v>
      </c>
      <c r="GW101" s="13">
        <f t="shared" si="105"/>
        <v>4.3867331143352915E-13</v>
      </c>
      <c r="GX101" s="20">
        <f t="shared" si="82"/>
        <v>8.0726688341261168E-13</v>
      </c>
      <c r="GY101" s="59">
        <f t="shared" si="83"/>
        <v>276.83665893463217</v>
      </c>
      <c r="GZ101" s="59">
        <f ca="1">AVERAGE(OFFSET($GY$3,0,0,'Données projet'!$E$18+1,1))-AVERAGE(OFFSET($H$3,0,0,'Données projet'!$E$18+1,1))</f>
        <v>285.8437404763045</v>
      </c>
      <c r="HA101" s="59">
        <f t="shared" si="106"/>
        <v>276.01618888357268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55.560045063312678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55.560045063312678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3.6</v>
      </c>
      <c r="N102" s="13">
        <f>IF('Données projet'!$A$36&gt;35,N101+M102-V101,IF(A102&lt;'Données projet'!$A$36,$K$205^A102,IF(A102='Données projet'!$A$36,'Données projet'!$B$36,N101+M102-V101)))</f>
        <v>212.39999999999998</v>
      </c>
      <c r="O102" s="13">
        <f>N102*VLOOKUP('Données projet'!$B$9,Paramètres!$A$1:$I$89,3,0)*VLOOKUP('Données projet'!$B$9,Paramètres!$A$1:$I$89,5,0)</f>
        <v>192.17951999999997</v>
      </c>
      <c r="P102" s="13">
        <f t="shared" si="87"/>
        <v>48.021493442275315</v>
      </c>
      <c r="Q102" s="20">
        <f t="shared" si="107"/>
        <v>418.35009841196273</v>
      </c>
      <c r="R102" s="59">
        <f t="shared" si="55"/>
        <v>695.47293776637287</v>
      </c>
      <c r="S102" s="59">
        <f ca="1">AVERAGE(OFFSET($R$3,0,0,'Données projet'!$E$9+1,1))-AVERAGE(OFFSET($H$3,0,0,'Données projet'!$E$9+1,1))</f>
        <v>315.34103933739129</v>
      </c>
      <c r="T102" s="59">
        <f t="shared" si="88"/>
        <v>165.80901858372513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19.012043420170809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19.012043420170809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-3.4106051316484809E-13</v>
      </c>
      <c r="AJ102" s="13">
        <f>AI102*VLOOKUP('Données projet'!$B$10,Paramètres!$A$1:$I$89,3,0)*VLOOKUP('Données projet'!$B$10,Paramètres!$A$1:$I$89,5,0)</f>
        <v>-2.0395418687257919E-13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317.328615425664</v>
      </c>
      <c r="AO102" s="59">
        <f t="shared" si="90"/>
        <v>324.95872842255744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81.08177752030771</v>
      </c>
      <c r="AV102" s="21">
        <f>EXP(-LN(2)/25)*AV101+(1-EXP(-LN(2)/25))/(LN(2)/25)*Calculateur!AQ102*Calculateur!AS102*VLOOKUP('Données projet'!$B$10,Paramètres!$A$1:$I$89,3,0)*0.475*44/12</f>
        <v>11.476591048675568</v>
      </c>
      <c r="AW102" s="21">
        <f>EXP(-LN(2)/2)*AW101+(1-EXP(-LN(2)/2))/(LN(2)/2)*AQ102*AT102*VLOOKUP('Données projet'!$B$10,Paramètres!$A$1:$I$89,3,0)*0.475*44/12</f>
        <v>3.6276318294646841E-5</v>
      </c>
      <c r="AX102" s="21">
        <f t="shared" si="60"/>
        <v>92.558404845301581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-5.6843418860808015E-14</v>
      </c>
      <c r="BE102" s="13">
        <f>BD102*VLOOKUP('Données projet'!$B$11,Paramètres!$A$1:$I$89,3,0)*VLOOKUP('Données projet'!$B$11,Paramètres!$A$1:$I$89,5,0)</f>
        <v>-6.5483618527650828E-14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418.31716673276725</v>
      </c>
      <c r="BJ102" s="59">
        <f t="shared" si="92"/>
        <v>472.37891533957929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63.257952881842535</v>
      </c>
      <c r="BQ102" s="21">
        <f>EXP(-LN(2)/25)*BQ101+(1-EXP(-LN(2)/25))/(LN(2)/25)*Calculateur!BL102*Calculateur!BN102*VLOOKUP('Données projet'!$B$11,Paramètres!$A$1:$I$89,3,0)*0.475*44/12</f>
        <v>10.469126251881779</v>
      </c>
      <c r="BR102" s="21">
        <f>EXP(-LN(2)/2)*BR101+(1-EXP(-LN(2)/2))/(LN(2)/2)*BL102*BO102*VLOOKUP('Données projet'!$B$11,Paramètres!$A$1:$I$89,3,0)*0.475*44/12</f>
        <v>5.6264258616485346E-5</v>
      </c>
      <c r="BS102" s="22">
        <f t="shared" si="63"/>
        <v>73.727135397982934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1.1368683772161603E-13</v>
      </c>
      <c r="BZ102" s="13">
        <f>BY102*VLOOKUP('Données projet'!$B$12,Paramètres!$A$1:$I$89,3,0)*VLOOKUP('Données projet'!$B$12,Paramètres!$A$1:$I$89,5,0)</f>
        <v>6.6506800067145386E-14</v>
      </c>
      <c r="CA102" s="13">
        <f t="shared" si="93"/>
        <v>1.0476989505385114E-12</v>
      </c>
      <c r="CB102" s="20">
        <f t="shared" si="64"/>
        <v>1.9405750156381857E-12</v>
      </c>
      <c r="CC102" s="59">
        <f t="shared" si="65"/>
        <v>277.12283935441206</v>
      </c>
      <c r="CD102" s="59">
        <f ca="1">AVERAGE(OFFSET($CC$3,0,0,'Données projet'!$E$12+1,1))-AVERAGE(OFFSET($H$3,0,0,'Données projet'!$E$12+1,1))</f>
        <v>184.11352167663844</v>
      </c>
      <c r="CE102" s="59">
        <f t="shared" si="94"/>
        <v>145.86653500981791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45.986296636091943</v>
      </c>
      <c r="CL102" s="21">
        <f>EXP(-LN(2)/25)*CL101+(1-EXP(-LN(2)/25))/(LN(2)/25)*Calculateur!CG102*Calculateur!CI102*VLOOKUP('Données projet'!$B$12,Paramètres!$A$1:$I$89,3,0)*0.475*44/12</f>
        <v>16.610737835057172</v>
      </c>
      <c r="CM102" s="21">
        <f>EXP(-LN(2)/2)*CM101+(1-EXP(-LN(2)/2))/(LN(2)/2)*CG102*CJ102*VLOOKUP('Données projet'!$B$12,Paramètres!$A$1:$I$89,3,0)*0.475*44/12</f>
        <v>0.83484110219975893</v>
      </c>
      <c r="CN102" s="22">
        <f t="shared" si="66"/>
        <v>63.431875573348876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5.2111111111111086</v>
      </c>
      <c r="CT102" s="12">
        <f>IF('Données projet'!$A$140&gt;35,CT101+CS102-DB101,IF(A102&lt;'Données projet'!$A$140,$CQ$205^A102,IF(A102='Données projet'!$A$140,'Données projet'!$B$140,CT101+CS102-DB101)))</f>
        <v>261.38111111111101</v>
      </c>
      <c r="CU102" s="17">
        <f>CT102*VLOOKUP('Données projet'!$B$13,Paramètres!$A$1:$I$89,3,0)*VLOOKUP('Données projet'!$B$13,Paramètres!$A$1:$I$89,5,0)</f>
        <v>125.7243144444444</v>
      </c>
      <c r="CV102" s="13">
        <f t="shared" si="95"/>
        <v>33.006459186029055</v>
      </c>
      <c r="CW102" s="20">
        <f t="shared" si="67"/>
        <v>276.45609740640793</v>
      </c>
      <c r="CX102" s="59">
        <f t="shared" si="68"/>
        <v>553.57893676081812</v>
      </c>
      <c r="CY102" s="59">
        <f ca="1">AVERAGE(OFFSET($CX$3,0,0,'Données projet'!$E$13+1,1))-AVERAGE(OFFSET($H$3,0,0,'Données projet'!$E$13+1,1))</f>
        <v>303.76035885073708</v>
      </c>
      <c r="CZ102" s="59">
        <f t="shared" si="96"/>
        <v>127.43112562890414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13.41942778525946</v>
      </c>
      <c r="DG102" s="21">
        <f>EXP(-LN(2)/25)*DG101+(1-EXP(-LN(2)/25))/(LN(2)/25)*Calculateur!DB102*Calculateur!DD102*VLOOKUP('Données projet'!$B$13,Paramètres!$A$1:$I$89,3,0)*0.475*44/12</f>
        <v>26.265750328426609</v>
      </c>
      <c r="DH102" s="21">
        <f>EXP(-LN(2)/2)*DH101+(1-EXP(-LN(2)/2))/(LN(2)/2)*DB102*DE102*VLOOKUP('Données projet'!$B$13,Paramètres!$A$1:$I$89,3,0)*0.475*44/12</f>
        <v>6.4568309813784301</v>
      </c>
      <c r="DI102" s="22">
        <f t="shared" si="69"/>
        <v>46.142009095064502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5.6843418860808015E-14</v>
      </c>
      <c r="DP102" s="17">
        <f>DO102*VLOOKUP('Données projet'!$B$14,Paramètres!$A$1:$I$89,3,0)*VLOOKUP('Données projet'!$B$14,Paramètres!$A$1:$I$89,5,0)</f>
        <v>3.2810021366458389E-14</v>
      </c>
      <c r="DQ102" s="13">
        <f t="shared" si="97"/>
        <v>5.6117125884464641E-13</v>
      </c>
      <c r="DR102" s="20">
        <f t="shared" si="70"/>
        <v>1.0345173963676741E-12</v>
      </c>
      <c r="DS102" s="59">
        <f t="shared" si="71"/>
        <v>277.12283935441116</v>
      </c>
      <c r="DT102" s="59">
        <f ca="1">AVERAGE(OFFSET($DS$3,0,0,'Données projet'!$E$14+1,1))-AVERAGE(OFFSET($H$3,0,0,'Données projet'!$E$14+1,1))</f>
        <v>243.65374431792841</v>
      </c>
      <c r="DU102" s="59">
        <f t="shared" si="98"/>
        <v>271.60754570002939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27.499300879981458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27.499300879981458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2.8</v>
      </c>
      <c r="EJ102" s="12">
        <f>IF('Données projet'!$A$192&gt;35,EJ101+EI102-ER101,IF(A102&lt;'Données projet'!$A$192,$EG$205^A102,IF(A102='Données projet'!$A$192,'Données projet'!$B$192,EJ101+EI102-ER101)))</f>
        <v>279.2</v>
      </c>
      <c r="EK102" s="17">
        <f>EJ102*VLOOKUP('Données projet'!$B$15,Paramètres!$A$1:$I$89,3,0)*VLOOKUP('Données projet'!$B$15,Paramètres!$A$1:$I$89,5,0)</f>
        <v>187.28736000000001</v>
      </c>
      <c r="EL102" s="13">
        <f t="shared" si="99"/>
        <v>46.939725666933782</v>
      </c>
      <c r="EM102" s="20">
        <f t="shared" si="73"/>
        <v>407.94550753657632</v>
      </c>
      <c r="EN102" s="59">
        <f t="shared" si="74"/>
        <v>685.0683468909865</v>
      </c>
      <c r="EO102" s="59">
        <f ca="1">AVERAGE(OFFSET($EN$3,0,0,'Données projet'!$E$15+1,1))-AVERAGE(OFFSET($H$3,0,0,'Données projet'!$E$15+1,1))</f>
        <v>321.44781099085594</v>
      </c>
      <c r="EP102" s="59">
        <f t="shared" si="100"/>
        <v>201.22243186578183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23.138066130327726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23.138066130327726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2.8421709430404007E-14</v>
      </c>
      <c r="FF102" s="17">
        <f>FE102*VLOOKUP('Données projet'!$B$16,Paramètres!$A$1:$I$89,3,0)*VLOOKUP('Données projet'!$B$16,Paramètres!$A$1:$I$89,5,0)</f>
        <v>2.4829205358400945E-14</v>
      </c>
      <c r="FG102" s="13">
        <f t="shared" si="101"/>
        <v>4.3867331143352915E-13</v>
      </c>
      <c r="FH102" s="20">
        <f t="shared" si="76"/>
        <v>8.0726688341261168E-13</v>
      </c>
      <c r="FI102" s="59">
        <f t="shared" si="77"/>
        <v>277.12283935441093</v>
      </c>
      <c r="FJ102" s="59">
        <f ca="1">AVERAGE(OFFSET($FI$3,0,0,'Données projet'!$E$16+1,1))-AVERAGE(OFFSET($H$3,0,0,'Données projet'!$E$16+1,1))</f>
        <v>285.8437404763045</v>
      </c>
      <c r="FK102" s="59">
        <f t="shared" si="102"/>
        <v>276.01618888357268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54.470546467902416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54.470546467902416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-1.7053025658242404E-13</v>
      </c>
      <c r="GA102" s="17">
        <f>FZ102*VLOOKUP('Données projet'!$B$17,Paramètres!$A$1:$I$89,3,0)*VLOOKUP('Données projet'!$B$17,Paramètres!$A$1:$I$89,5,0)</f>
        <v>-1.3567387213697657E-13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323.01113210765487</v>
      </c>
      <c r="GF102" s="59">
        <f t="shared" si="104"/>
        <v>311.68541696405975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62.529674212513306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62.529674212513306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2.8421709430404007E-14</v>
      </c>
      <c r="GV102" s="17">
        <f>GU102*VLOOKUP('Données projet'!$B$18,Paramètres!$A$1:$I$89,3,0)*VLOOKUP('Données projet'!$B$18,Paramètres!$A$1:$I$89,5,0)</f>
        <v>2.4829205358400945E-14</v>
      </c>
      <c r="GW102" s="13">
        <f t="shared" si="105"/>
        <v>4.3867331143352915E-13</v>
      </c>
      <c r="GX102" s="20">
        <f t="shared" si="82"/>
        <v>8.0726688341261168E-13</v>
      </c>
      <c r="GY102" s="59">
        <f t="shared" si="83"/>
        <v>277.12283935441093</v>
      </c>
      <c r="GZ102" s="59">
        <f ca="1">AVERAGE(OFFSET($GY$3,0,0,'Données projet'!$E$18+1,1))-AVERAGE(OFFSET($H$3,0,0,'Données projet'!$E$18+1,1))</f>
        <v>285.8437404763045</v>
      </c>
      <c r="HA102" s="59">
        <f t="shared" si="106"/>
        <v>276.01618888357268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54.470546467902416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54.470546467902416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216</v>
      </c>
      <c r="L103" s="12">
        <f>VLOOKUP(A103,'Données projet'!$A$35:$I$55,9,0)</f>
        <v>3.6</v>
      </c>
      <c r="M103" s="12">
        <f t="array" ref="M103">INDEX(L:L,MIN(IF(ISNUMBER(L103:L299),ROW(L103:L299),"")))</f>
        <v>3.6</v>
      </c>
      <c r="N103" s="13">
        <f>IF('Données projet'!$A$36&gt;35,N102+M103-V102,IF(A103&lt;'Données projet'!$A$36,$K$205^A103,IF(A103='Données projet'!$A$36,'Données projet'!$B$36,N102+M103-V102)))</f>
        <v>215.99999999999997</v>
      </c>
      <c r="O103" s="13">
        <f>N103*VLOOKUP('Données projet'!$B$9,Paramètres!$A$1:$I$89,3,0)*VLOOKUP('Données projet'!$B$9,Paramètres!$A$1:$I$89,5,0)</f>
        <v>195.43679999999998</v>
      </c>
      <c r="P103" s="13">
        <f t="shared" si="87"/>
        <v>48.739971354487849</v>
      </c>
      <c r="Q103" s="20">
        <f t="shared" si="107"/>
        <v>425.27454344239959</v>
      </c>
      <c r="R103" s="59">
        <f t="shared" si="55"/>
        <v>702.67859862610885</v>
      </c>
      <c r="S103" s="59">
        <f ca="1">AVERAGE(OFFSET($R$3,0,0,'Données projet'!$E$9+1,1))-AVERAGE(OFFSET($H$3,0,0,'Données projet'!$E$9+1,1))</f>
        <v>315.34103933739129</v>
      </c>
      <c r="T103" s="59">
        <f t="shared" si="88"/>
        <v>165.80901858372513</v>
      </c>
      <c r="U103" s="15">
        <f>IF(ISNA(VLOOKUP(A103,'Données projet'!$A$35:$I$55,3,0)),0,VLOOKUP(A103,'Données projet'!$A$35:$I$55,3,0))</f>
        <v>16</v>
      </c>
      <c r="V103" s="15">
        <f>IF(ISNA(VLOOKUP(A103,'Données projet'!$A$35:$I$55,4,0)),0,VLOOKUP(A103,'Données projet'!$A$35:$I$55,4,0))</f>
        <v>14</v>
      </c>
      <c r="W103" s="16">
        <f>IF(ISNA(VLOOKUP(A103,'Données projet'!$A$35:$I$55,5,0)),0%,VLOOKUP(A103,'Données projet'!$A$35:$I$55,5,0)*VLOOKUP('Données projet'!$B$9,Paramètres!$A$1:$I$89,7,0))</f>
        <v>0.30099999999999999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22.854196376780269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22.854196376780269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-3.4106051316484809E-13</v>
      </c>
      <c r="AJ103" s="13">
        <f>AI103*VLOOKUP('Données projet'!$B$10,Paramètres!$A$1:$I$89,3,0)*VLOOKUP('Données projet'!$B$10,Paramètres!$A$1:$I$89,5,0)</f>
        <v>-2.0395418687257919E-13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317.328615425664</v>
      </c>
      <c r="AO103" s="59">
        <f t="shared" si="90"/>
        <v>324.95872842255744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79.491813318135485</v>
      </c>
      <c r="AV103" s="21">
        <f>EXP(-LN(2)/25)*AV102+(1-EXP(-LN(2)/25))/(LN(2)/25)*Calculateur!AQ103*Calculateur!AS103*VLOOKUP('Données projet'!$B$10,Paramètres!$A$1:$I$89,3,0)*0.475*44/12</f>
        <v>11.16276306292184</v>
      </c>
      <c r="AW103" s="21">
        <f>EXP(-LN(2)/2)*AW102+(1-EXP(-LN(2)/2))/(LN(2)/2)*AQ103*AT103*VLOOKUP('Données projet'!$B$10,Paramètres!$A$1:$I$89,3,0)*0.475*44/12</f>
        <v>2.5651230662626395E-5</v>
      </c>
      <c r="AX103" s="21">
        <f t="shared" si="60"/>
        <v>90.654602032287983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-5.6843418860808015E-14</v>
      </c>
      <c r="BE103" s="13">
        <f>BD103*VLOOKUP('Données projet'!$B$11,Paramètres!$A$1:$I$89,3,0)*VLOOKUP('Données projet'!$B$11,Paramètres!$A$1:$I$89,5,0)</f>
        <v>-6.5483618527650828E-14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418.31716673276725</v>
      </c>
      <c r="BJ103" s="59">
        <f t="shared" si="92"/>
        <v>472.37891533957929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62.017503009371055</v>
      </c>
      <c r="BQ103" s="21">
        <f>EXP(-LN(2)/25)*BQ102+(1-EXP(-LN(2)/25))/(LN(2)/25)*Calculateur!BL103*Calculateur!BN103*VLOOKUP('Données projet'!$B$11,Paramètres!$A$1:$I$89,3,0)*0.475*44/12</f>
        <v>10.18284744397665</v>
      </c>
      <c r="BR103" s="21">
        <f>EXP(-LN(2)/2)*BR102+(1-EXP(-LN(2)/2))/(LN(2)/2)*BL103*BO103*VLOOKUP('Données projet'!$B$11,Paramètres!$A$1:$I$89,3,0)*0.475*44/12</f>
        <v>3.9784838806150424E-5</v>
      </c>
      <c r="BS103" s="22">
        <f t="shared" si="63"/>
        <v>72.200390238186515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1.1368683772161603E-13</v>
      </c>
      <c r="BZ103" s="13">
        <f>BY103*VLOOKUP('Données projet'!$B$12,Paramètres!$A$1:$I$89,3,0)*VLOOKUP('Données projet'!$B$12,Paramètres!$A$1:$I$89,5,0)</f>
        <v>6.6506800067145386E-14</v>
      </c>
      <c r="CA103" s="13">
        <f t="shared" si="93"/>
        <v>1.0476989505385114E-12</v>
      </c>
      <c r="CB103" s="20">
        <f t="shared" si="64"/>
        <v>1.9405750156381857E-12</v>
      </c>
      <c r="CC103" s="59">
        <f t="shared" si="65"/>
        <v>277.40405518371114</v>
      </c>
      <c r="CD103" s="59">
        <f ca="1">AVERAGE(OFFSET($CC$3,0,0,'Données projet'!$E$12+1,1))-AVERAGE(OFFSET($H$3,0,0,'Données projet'!$E$12+1,1))</f>
        <v>184.11352167663844</v>
      </c>
      <c r="CE103" s="59">
        <f t="shared" si="94"/>
        <v>145.86653500981791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45.084533407929534</v>
      </c>
      <c r="CL103" s="21">
        <f>EXP(-LN(2)/25)*CL102+(1-EXP(-LN(2)/25))/(LN(2)/25)*Calculateur!CG103*Calculateur!CI103*VLOOKUP('Données projet'!$B$12,Paramètres!$A$1:$I$89,3,0)*0.475*44/12</f>
        <v>16.156516335436795</v>
      </c>
      <c r="CM103" s="21">
        <f>EXP(-LN(2)/2)*CM102+(1-EXP(-LN(2)/2))/(LN(2)/2)*CG103*CJ103*VLOOKUP('Données projet'!$B$12,Paramètres!$A$1:$I$89,3,0)*0.475*44/12</f>
        <v>0.59032180457870109</v>
      </c>
      <c r="CN103" s="22">
        <f t="shared" si="66"/>
        <v>61.831371547945032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5.2111111111111086</v>
      </c>
      <c r="CT103" s="12">
        <f>IF('Données projet'!$A$140&gt;35,CT102+CS103-DB102,IF(A103&lt;'Données projet'!$A$140,$CQ$205^A103,IF(A103='Données projet'!$A$140,'Données projet'!$B$140,CT102+CS103-DB102)))</f>
        <v>266.59222222222212</v>
      </c>
      <c r="CU103" s="17">
        <f>CT103*VLOOKUP('Données projet'!$B$13,Paramètres!$A$1:$I$89,3,0)*VLOOKUP('Données projet'!$B$13,Paramètres!$A$1:$I$89,5,0)</f>
        <v>128.23085888888883</v>
      </c>
      <c r="CV103" s="13">
        <f t="shared" si="95"/>
        <v>33.587237333716025</v>
      </c>
      <c r="CW103" s="20">
        <f t="shared" si="67"/>
        <v>281.83318425437011</v>
      </c>
      <c r="CX103" s="59">
        <f t="shared" si="68"/>
        <v>559.23723943807931</v>
      </c>
      <c r="CY103" s="59">
        <f ca="1">AVERAGE(OFFSET($CX$3,0,0,'Données projet'!$E$13+1,1))-AVERAGE(OFFSET($H$3,0,0,'Données projet'!$E$13+1,1))</f>
        <v>303.76035885073708</v>
      </c>
      <c r="CZ103" s="59">
        <f t="shared" si="96"/>
        <v>127.43112562890414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13.156280991433265</v>
      </c>
      <c r="DG103" s="21">
        <f>EXP(-LN(2)/25)*DG102+(1-EXP(-LN(2)/25))/(LN(2)/25)*Calculateur!DB103*Calculateur!DD103*VLOOKUP('Données projet'!$B$13,Paramètres!$A$1:$I$89,3,0)*0.475*44/12</f>
        <v>25.547512004440005</v>
      </c>
      <c r="DH103" s="21">
        <f>EXP(-LN(2)/2)*DH102+(1-EXP(-LN(2)/2))/(LN(2)/2)*DB103*DE103*VLOOKUP('Données projet'!$B$13,Paramètres!$A$1:$I$89,3,0)*0.475*44/12</f>
        <v>4.565668971908079</v>
      </c>
      <c r="DI103" s="22">
        <f t="shared" si="69"/>
        <v>43.269461967781353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5.6843418860808015E-14</v>
      </c>
      <c r="DP103" s="17">
        <f>DO103*VLOOKUP('Données projet'!$B$14,Paramètres!$A$1:$I$89,3,0)*VLOOKUP('Données projet'!$B$14,Paramètres!$A$1:$I$89,5,0)</f>
        <v>3.2810021366458389E-14</v>
      </c>
      <c r="DQ103" s="13">
        <f t="shared" si="97"/>
        <v>5.6117125884464641E-13</v>
      </c>
      <c r="DR103" s="20">
        <f t="shared" si="70"/>
        <v>1.0345173963676741E-12</v>
      </c>
      <c r="DS103" s="59">
        <f t="shared" si="71"/>
        <v>277.40405518371023</v>
      </c>
      <c r="DT103" s="59">
        <f ca="1">AVERAGE(OFFSET($DS$3,0,0,'Données projet'!$E$14+1,1))-AVERAGE(OFFSET($H$3,0,0,'Données projet'!$E$14+1,1))</f>
        <v>243.65374431792841</v>
      </c>
      <c r="DU103" s="59">
        <f t="shared" si="98"/>
        <v>271.60754570002939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26.960056362642369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26.960056362642369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282</v>
      </c>
      <c r="EH103" s="12">
        <f>VLOOKUP(A103,'Données projet'!$A$191:$I$211,9,0)</f>
        <v>2.8</v>
      </c>
      <c r="EI103" s="12">
        <f t="array" ref="EI103">INDEX(EH:EH,MIN(IF(ISNUMBER(EH103:EH299),ROW(EH103:EH299),"")))</f>
        <v>2.8</v>
      </c>
      <c r="EJ103" s="12">
        <f>IF('Données projet'!$A$192&gt;35,EJ102+EI103-ER102,IF(A103&lt;'Données projet'!$A$192,$EG$205^A103,IF(A103='Données projet'!$A$192,'Données projet'!$B$192,EJ102+EI103-ER102)))</f>
        <v>282</v>
      </c>
      <c r="EK103" s="17">
        <f>EJ103*VLOOKUP('Données projet'!$B$15,Paramètres!$A$1:$I$89,3,0)*VLOOKUP('Données projet'!$B$15,Paramètres!$A$1:$I$89,5,0)</f>
        <v>189.16560000000001</v>
      </c>
      <c r="EL103" s="13">
        <f t="shared" si="99"/>
        <v>47.355431631295275</v>
      </c>
      <c r="EM103" s="20">
        <f t="shared" si="73"/>
        <v>411.94079675783928</v>
      </c>
      <c r="EN103" s="59">
        <f t="shared" si="74"/>
        <v>689.34485194154854</v>
      </c>
      <c r="EO103" s="59">
        <f ca="1">AVERAGE(OFFSET($EN$3,0,0,'Données projet'!$E$15+1,1))-AVERAGE(OFFSET($H$3,0,0,'Données projet'!$E$15+1,1))</f>
        <v>321.44781099085594</v>
      </c>
      <c r="EP103" s="59">
        <f t="shared" si="100"/>
        <v>201.22243186578183</v>
      </c>
      <c r="EQ103" s="15">
        <f>IF(ISNA(VLOOKUP(A103,'Données projet'!$A$191:$I$211,3,0)),0,VLOOKUP(A103,'Données projet'!$A$191:$I$211,3,0))</f>
        <v>16</v>
      </c>
      <c r="ER103" s="15">
        <f>IF(ISNA(VLOOKUP(A103,'Données projet'!$A$191:$I$211,4,0)),0,VLOOKUP(A103,'Données projet'!$A$191:$I$211,4,0))</f>
        <v>21</v>
      </c>
      <c r="ES103" s="16">
        <f>IF(ISNA(VLOOKUP(A103,'Données projet'!$A$191:$I$211,5,0)),0%,VLOOKUP(A103,'Données projet'!$A$191:$I$211,5,0)*VLOOKUP('Données projet'!$B$15,Paramètres!$A$1:$I$89,7,0))</f>
        <v>0.371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28.461755159170981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28.461755159170981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2.8421709430404007E-14</v>
      </c>
      <c r="FF103" s="17">
        <f>FE103*VLOOKUP('Données projet'!$B$16,Paramètres!$A$1:$I$89,3,0)*VLOOKUP('Données projet'!$B$16,Paramètres!$A$1:$I$89,5,0)</f>
        <v>2.4829205358400945E-14</v>
      </c>
      <c r="FG103" s="13">
        <f t="shared" si="101"/>
        <v>4.3867331143352915E-13</v>
      </c>
      <c r="FH103" s="20">
        <f t="shared" si="76"/>
        <v>8.0726688341261168E-13</v>
      </c>
      <c r="FI103" s="59">
        <f t="shared" si="77"/>
        <v>277.40405518371</v>
      </c>
      <c r="FJ103" s="59">
        <f ca="1">AVERAGE(OFFSET($FI$3,0,0,'Données projet'!$E$16+1,1))-AVERAGE(OFFSET($H$3,0,0,'Données projet'!$E$16+1,1))</f>
        <v>285.8437404763045</v>
      </c>
      <c r="FK103" s="59">
        <f t="shared" si="102"/>
        <v>276.01618888357268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53.402412275419621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53.402412275419621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-1.7053025658242404E-13</v>
      </c>
      <c r="GA103" s="17">
        <f>FZ103*VLOOKUP('Données projet'!$B$17,Paramètres!$A$1:$I$89,3,0)*VLOOKUP('Données projet'!$B$17,Paramètres!$A$1:$I$89,5,0)</f>
        <v>-1.3567387213697657E-13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323.01113210765487</v>
      </c>
      <c r="GF103" s="59">
        <f t="shared" si="104"/>
        <v>311.68541696405975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61.303505440541244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61.303505440541244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2.8421709430404007E-14</v>
      </c>
      <c r="GV103" s="17">
        <f>GU103*VLOOKUP('Données projet'!$B$18,Paramètres!$A$1:$I$89,3,0)*VLOOKUP('Données projet'!$B$18,Paramètres!$A$1:$I$89,5,0)</f>
        <v>2.4829205358400945E-14</v>
      </c>
      <c r="GW103" s="13">
        <f t="shared" si="105"/>
        <v>4.3867331143352915E-13</v>
      </c>
      <c r="GX103" s="20">
        <f t="shared" si="82"/>
        <v>8.0726688341261168E-13</v>
      </c>
      <c r="GY103" s="59">
        <f t="shared" si="83"/>
        <v>277.40405518371</v>
      </c>
      <c r="GZ103" s="59">
        <f ca="1">AVERAGE(OFFSET($GY$3,0,0,'Données projet'!$E$18+1,1))-AVERAGE(OFFSET($H$3,0,0,'Données projet'!$E$18+1,1))</f>
        <v>285.8437404763045</v>
      </c>
      <c r="HA103" s="59">
        <f t="shared" si="106"/>
        <v>276.01618888357268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53.402412275419621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53.402412275419621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3.2</v>
      </c>
      <c r="N104" s="13">
        <f>IF('Données projet'!$A$36&gt;35,N103+M104-V103,IF(A104&lt;'Données projet'!$A$36,$K$205^A104,IF(A104='Données projet'!$A$36,'Données projet'!$B$36,N103+M104-V103)))</f>
        <v>205.19999999999996</v>
      </c>
      <c r="O104" s="13">
        <f>N104*VLOOKUP('Données projet'!$B$9,Paramètres!$A$1:$I$89,3,0)*VLOOKUP('Données projet'!$B$9,Paramètres!$A$1:$I$89,5,0)</f>
        <v>185.66495999999995</v>
      </c>
      <c r="P104" s="13">
        <f t="shared" si="87"/>
        <v>46.580253447083031</v>
      </c>
      <c r="Q104" s="20">
        <f t="shared" si="107"/>
        <v>404.49374675366954</v>
      </c>
      <c r="R104" s="59">
        <f t="shared" si="55"/>
        <v>682.17413930074395</v>
      </c>
      <c r="S104" s="59">
        <f ca="1">AVERAGE(OFFSET($R$3,0,0,'Données projet'!$E$9+1,1))-AVERAGE(OFFSET($H$3,0,0,'Données projet'!$E$9+1,1))</f>
        <v>315.34103933739129</v>
      </c>
      <c r="T104" s="59">
        <f t="shared" si="88"/>
        <v>165.80901858372513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22.40603952551497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22.40603952551497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-3.4106051316484809E-13</v>
      </c>
      <c r="AJ104" s="13">
        <f>AI104*VLOOKUP('Données projet'!$B$10,Paramètres!$A$1:$I$89,3,0)*VLOOKUP('Données projet'!$B$10,Paramètres!$A$1:$I$89,5,0)</f>
        <v>-2.0395418687257919E-13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317.328615425664</v>
      </c>
      <c r="AO104" s="59">
        <f t="shared" si="90"/>
        <v>324.95872842255744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77.933027344185447</v>
      </c>
      <c r="AV104" s="21">
        <f>EXP(-LN(2)/25)*AV103+(1-EXP(-LN(2)/25))/(LN(2)/25)*Calculateur!AQ104*Calculateur!AS104*VLOOKUP('Données projet'!$B$10,Paramètres!$A$1:$I$89,3,0)*0.475*44/12</f>
        <v>10.857516719942046</v>
      </c>
      <c r="AW104" s="21">
        <f>EXP(-LN(2)/2)*AW103+(1-EXP(-LN(2)/2))/(LN(2)/2)*AQ104*AT104*VLOOKUP('Données projet'!$B$10,Paramètres!$A$1:$I$89,3,0)*0.475*44/12</f>
        <v>1.813815914732342E-5</v>
      </c>
      <c r="AX104" s="21">
        <f t="shared" si="60"/>
        <v>88.790562202286637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-5.6843418860808015E-14</v>
      </c>
      <c r="BE104" s="13">
        <f>BD104*VLOOKUP('Données projet'!$B$11,Paramètres!$A$1:$I$89,3,0)*VLOOKUP('Données projet'!$B$11,Paramètres!$A$1:$I$89,5,0)</f>
        <v>-6.5483618527650828E-14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418.31716673276725</v>
      </c>
      <c r="BJ104" s="59">
        <f t="shared" si="92"/>
        <v>472.37891533957929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60.801377602299027</v>
      </c>
      <c r="BQ104" s="21">
        <f>EXP(-LN(2)/25)*BQ103+(1-EXP(-LN(2)/25))/(LN(2)/25)*Calculateur!BL104*Calculateur!BN104*VLOOKUP('Données projet'!$B$11,Paramètres!$A$1:$I$89,3,0)*0.475*44/12</f>
        <v>9.9043969451284344</v>
      </c>
      <c r="BR104" s="21">
        <f>EXP(-LN(2)/2)*BR103+(1-EXP(-LN(2)/2))/(LN(2)/2)*BL104*BO104*VLOOKUP('Données projet'!$B$11,Paramètres!$A$1:$I$89,3,0)*0.475*44/12</f>
        <v>2.8132129308242673E-5</v>
      </c>
      <c r="BS104" s="22">
        <f t="shared" si="63"/>
        <v>70.705802679556768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1.1368683772161603E-13</v>
      </c>
      <c r="BZ104" s="13">
        <f>BY104*VLOOKUP('Données projet'!$B$12,Paramètres!$A$1:$I$89,3,0)*VLOOKUP('Données projet'!$B$12,Paramètres!$A$1:$I$89,5,0)</f>
        <v>6.6506800067145386E-14</v>
      </c>
      <c r="CA104" s="13">
        <f t="shared" si="93"/>
        <v>1.0476989505385114E-12</v>
      </c>
      <c r="CB104" s="20">
        <f t="shared" si="64"/>
        <v>1.9405750156381857E-12</v>
      </c>
      <c r="CC104" s="59">
        <f t="shared" si="65"/>
        <v>277.68039254707634</v>
      </c>
      <c r="CD104" s="59">
        <f ca="1">AVERAGE(OFFSET($CC$3,0,0,'Données projet'!$E$12+1,1))-AVERAGE(OFFSET($H$3,0,0,'Données projet'!$E$12+1,1))</f>
        <v>184.11352167663844</v>
      </c>
      <c r="CE104" s="59">
        <f t="shared" si="94"/>
        <v>145.86653500981791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44.200453206650131</v>
      </c>
      <c r="CL104" s="21">
        <f>EXP(-LN(2)/25)*CL103+(1-EXP(-LN(2)/25))/(LN(2)/25)*Calculateur!CG104*Calculateur!CI104*VLOOKUP('Données projet'!$B$12,Paramètres!$A$1:$I$89,3,0)*0.475*44/12</f>
        <v>15.714715546610007</v>
      </c>
      <c r="CM104" s="21">
        <f>EXP(-LN(2)/2)*CM103+(1-EXP(-LN(2)/2))/(LN(2)/2)*CG104*CJ104*VLOOKUP('Données projet'!$B$12,Paramètres!$A$1:$I$89,3,0)*0.475*44/12</f>
        <v>0.41742055109987947</v>
      </c>
      <c r="CN104" s="22">
        <f t="shared" si="66"/>
        <v>60.33258930436002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5.2111111111111086</v>
      </c>
      <c r="CT104" s="12">
        <f>IF('Données projet'!$A$140&gt;35,CT103+CS104-DB103,IF(A104&lt;'Données projet'!$A$140,$CQ$205^A104,IF(A104='Données projet'!$A$140,'Données projet'!$B$140,CT103+CS104-DB103)))</f>
        <v>271.80333333333323</v>
      </c>
      <c r="CU104" s="17">
        <f>CT104*VLOOKUP('Données projet'!$B$13,Paramètres!$A$1:$I$89,3,0)*VLOOKUP('Données projet'!$B$13,Paramètres!$A$1:$I$89,5,0)</f>
        <v>130.73740333333328</v>
      </c>
      <c r="CV104" s="13">
        <f t="shared" si="95"/>
        <v>34.166695458810096</v>
      </c>
      <c r="CW104" s="20">
        <f t="shared" si="67"/>
        <v>287.20797206298306</v>
      </c>
      <c r="CX104" s="59">
        <f t="shared" si="68"/>
        <v>564.88836461005747</v>
      </c>
      <c r="CY104" s="59">
        <f ca="1">AVERAGE(OFFSET($CX$3,0,0,'Données projet'!$E$13+1,1))-AVERAGE(OFFSET($H$3,0,0,'Données projet'!$E$13+1,1))</f>
        <v>303.76035885073708</v>
      </c>
      <c r="CZ104" s="59">
        <f t="shared" si="96"/>
        <v>127.43112562890414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12.898294345730307</v>
      </c>
      <c r="DG104" s="21">
        <f>EXP(-LN(2)/25)*DG103+(1-EXP(-LN(2)/25))/(LN(2)/25)*Calculateur!DB104*Calculateur!DD104*VLOOKUP('Données projet'!$B$13,Paramètres!$A$1:$I$89,3,0)*0.475*44/12</f>
        <v>24.848913945193328</v>
      </c>
      <c r="DH104" s="21">
        <f>EXP(-LN(2)/2)*DH103+(1-EXP(-LN(2)/2))/(LN(2)/2)*DB104*DE104*VLOOKUP('Données projet'!$B$13,Paramètres!$A$1:$I$89,3,0)*0.475*44/12</f>
        <v>3.2284154906892155</v>
      </c>
      <c r="DI104" s="22">
        <f t="shared" si="69"/>
        <v>40.975623781612853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5.6843418860808015E-14</v>
      </c>
      <c r="DP104" s="17">
        <f>DO104*VLOOKUP('Données projet'!$B$14,Paramètres!$A$1:$I$89,3,0)*VLOOKUP('Données projet'!$B$14,Paramètres!$A$1:$I$89,5,0)</f>
        <v>3.2810021366458389E-14</v>
      </c>
      <c r="DQ104" s="13">
        <f t="shared" si="97"/>
        <v>5.6117125884464641E-13</v>
      </c>
      <c r="DR104" s="20">
        <f t="shared" si="70"/>
        <v>1.0345173963676741E-12</v>
      </c>
      <c r="DS104" s="59">
        <f t="shared" si="71"/>
        <v>277.68039254707543</v>
      </c>
      <c r="DT104" s="59">
        <f ca="1">AVERAGE(OFFSET($DS$3,0,0,'Données projet'!$E$14+1,1))-AVERAGE(OFFSET($H$3,0,0,'Données projet'!$E$14+1,1))</f>
        <v>243.65374431792841</v>
      </c>
      <c r="DU104" s="59">
        <f t="shared" si="98"/>
        <v>271.60754570002939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26.431386101381623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26.431386101381623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2.4</v>
      </c>
      <c r="EJ104" s="12">
        <f>IF('Données projet'!$A$192&gt;35,EJ103+EI104-ER103,IF(A104&lt;'Données projet'!$A$192,$EG$205^A104,IF(A104='Données projet'!$A$192,'Données projet'!$B$192,EJ103+EI104-ER103)))</f>
        <v>263.39999999999998</v>
      </c>
      <c r="EK104" s="17">
        <f>EJ104*VLOOKUP('Données projet'!$B$15,Paramètres!$A$1:$I$89,3,0)*VLOOKUP('Données projet'!$B$15,Paramètres!$A$1:$I$89,5,0)</f>
        <v>176.68871999999999</v>
      </c>
      <c r="EL104" s="13">
        <f t="shared" si="99"/>
        <v>44.584693176052546</v>
      </c>
      <c r="EM104" s="20">
        <f t="shared" si="73"/>
        <v>385.38452794829146</v>
      </c>
      <c r="EN104" s="59">
        <f t="shared" si="74"/>
        <v>663.06492049536587</v>
      </c>
      <c r="EO104" s="59">
        <f ca="1">AVERAGE(OFFSET($EN$3,0,0,'Données projet'!$E$15+1,1))-AVERAGE(OFFSET($H$3,0,0,'Données projet'!$E$15+1,1))</f>
        <v>321.44781099085594</v>
      </c>
      <c r="EP104" s="59">
        <f t="shared" si="100"/>
        <v>201.22243186578183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27.903637500456131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27.903637500456131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2.8421709430404007E-14</v>
      </c>
      <c r="FF104" s="17">
        <f>FE104*VLOOKUP('Données projet'!$B$16,Paramètres!$A$1:$I$89,3,0)*VLOOKUP('Données projet'!$B$16,Paramètres!$A$1:$I$89,5,0)</f>
        <v>2.4829205358400945E-14</v>
      </c>
      <c r="FG104" s="13">
        <f t="shared" si="101"/>
        <v>4.3867331143352915E-13</v>
      </c>
      <c r="FH104" s="20">
        <f t="shared" si="76"/>
        <v>8.0726688341261168E-13</v>
      </c>
      <c r="FI104" s="59">
        <f t="shared" si="77"/>
        <v>277.6803925470752</v>
      </c>
      <c r="FJ104" s="59">
        <f ca="1">AVERAGE(OFFSET($FI$3,0,0,'Données projet'!$E$16+1,1))-AVERAGE(OFFSET($H$3,0,0,'Données projet'!$E$16+1,1))</f>
        <v>285.8437404763045</v>
      </c>
      <c r="FK104" s="59">
        <f t="shared" si="102"/>
        <v>276.01618888357268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52.355223542953887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52.355223542953887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-1.7053025658242404E-13</v>
      </c>
      <c r="GA104" s="17">
        <f>FZ104*VLOOKUP('Données projet'!$B$17,Paramètres!$A$1:$I$89,3,0)*VLOOKUP('Données projet'!$B$17,Paramètres!$A$1:$I$89,5,0)</f>
        <v>-1.3567387213697657E-13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323.01113210765487</v>
      </c>
      <c r="GF104" s="59">
        <f t="shared" si="104"/>
        <v>311.68541696405975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60.101381090298453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60.101381090298453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2.8421709430404007E-14</v>
      </c>
      <c r="GV104" s="17">
        <f>GU104*VLOOKUP('Données projet'!$B$18,Paramètres!$A$1:$I$89,3,0)*VLOOKUP('Données projet'!$B$18,Paramètres!$A$1:$I$89,5,0)</f>
        <v>2.4829205358400945E-14</v>
      </c>
      <c r="GW104" s="13">
        <f t="shared" si="105"/>
        <v>4.3867331143352915E-13</v>
      </c>
      <c r="GX104" s="20">
        <f t="shared" si="82"/>
        <v>8.0726688341261168E-13</v>
      </c>
      <c r="GY104" s="59">
        <f t="shared" si="83"/>
        <v>277.6803925470752</v>
      </c>
      <c r="GZ104" s="59">
        <f ca="1">AVERAGE(OFFSET($GY$3,0,0,'Données projet'!$E$18+1,1))-AVERAGE(OFFSET($H$3,0,0,'Données projet'!$E$18+1,1))</f>
        <v>285.8437404763045</v>
      </c>
      <c r="HA104" s="59">
        <f t="shared" si="106"/>
        <v>276.01618888357268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52.355223542953887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52.355223542953887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3.2</v>
      </c>
      <c r="N105" s="13">
        <f>IF('Données projet'!$A$36&gt;35,N104+M105-V104,IF(A105&lt;'Données projet'!$A$36,$K$205^A105,IF(A105='Données projet'!$A$36,'Données projet'!$B$36,N104+M105-V104)))</f>
        <v>208.39999999999995</v>
      </c>
      <c r="O105" s="13">
        <f>N105*VLOOKUP('Données projet'!$B$9,Paramètres!$A$1:$I$89,3,0)*VLOOKUP('Données projet'!$B$9,Paramètres!$A$1:$I$89,5,0)</f>
        <v>188.56031999999993</v>
      </c>
      <c r="P105" s="13">
        <f t="shared" si="87"/>
        <v>47.221519280638212</v>
      </c>
      <c r="Q105" s="20">
        <f t="shared" si="107"/>
        <v>410.65337008044474</v>
      </c>
      <c r="R105" s="59">
        <f t="shared" si="55"/>
        <v>688.60530615542768</v>
      </c>
      <c r="S105" s="59">
        <f ca="1">AVERAGE(OFFSET($R$3,0,0,'Données projet'!$E$9+1,1))-AVERAGE(OFFSET($H$3,0,0,'Données projet'!$E$9+1,1))</f>
        <v>315.34103933739129</v>
      </c>
      <c r="T105" s="59">
        <f t="shared" si="88"/>
        <v>165.80901858372513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21.966670756754294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21.966670756754294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-3.4106051316484809E-13</v>
      </c>
      <c r="AJ105" s="13">
        <f>AI105*VLOOKUP('Données projet'!$B$10,Paramètres!$A$1:$I$89,3,0)*VLOOKUP('Données projet'!$B$10,Paramètres!$A$1:$I$89,5,0)</f>
        <v>-2.0395418687257919E-13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317.328615425664</v>
      </c>
      <c r="AO105" s="59">
        <f t="shared" si="90"/>
        <v>324.95872842255744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76.404808212419013</v>
      </c>
      <c r="AV105" s="21">
        <f>EXP(-LN(2)/25)*AV104+(1-EXP(-LN(2)/25))/(LN(2)/25)*Calculateur!AQ105*Calculateur!AS105*VLOOKUP('Données projet'!$B$10,Paramètres!$A$1:$I$89,3,0)*0.475*44/12</f>
        <v>10.560617354263242</v>
      </c>
      <c r="AW105" s="21">
        <f>EXP(-LN(2)/2)*AW104+(1-EXP(-LN(2)/2))/(LN(2)/2)*AQ105*AT105*VLOOKUP('Données projet'!$B$10,Paramètres!$A$1:$I$89,3,0)*0.475*44/12</f>
        <v>1.2825615331313198E-5</v>
      </c>
      <c r="AX105" s="21">
        <f t="shared" si="60"/>
        <v>86.965438392297585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-5.6843418860808015E-14</v>
      </c>
      <c r="BE105" s="13">
        <f>BD105*VLOOKUP('Données projet'!$B$11,Paramètres!$A$1:$I$89,3,0)*VLOOKUP('Données projet'!$B$11,Paramètres!$A$1:$I$89,5,0)</f>
        <v>-6.5483618527650828E-14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418.31716673276725</v>
      </c>
      <c r="BJ105" s="59">
        <f t="shared" si="92"/>
        <v>472.37891533957929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59.609099672696424</v>
      </c>
      <c r="BQ105" s="21">
        <f>EXP(-LN(2)/25)*BQ104+(1-EXP(-LN(2)/25))/(LN(2)/25)*Calculateur!BL105*Calculateur!BN105*VLOOKUP('Données projet'!$B$11,Paramètres!$A$1:$I$89,3,0)*0.475*44/12</f>
        <v>9.6335606898142991</v>
      </c>
      <c r="BR105" s="21">
        <f>EXP(-LN(2)/2)*BR104+(1-EXP(-LN(2)/2))/(LN(2)/2)*BL105*BO105*VLOOKUP('Données projet'!$B$11,Paramètres!$A$1:$I$89,3,0)*0.475*44/12</f>
        <v>1.9892419403075212E-5</v>
      </c>
      <c r="BS105" s="22">
        <f t="shared" si="63"/>
        <v>69.242680254930121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1.1368683772161603E-13</v>
      </c>
      <c r="BZ105" s="13">
        <f>BY105*VLOOKUP('Données projet'!$B$12,Paramètres!$A$1:$I$89,3,0)*VLOOKUP('Données projet'!$B$12,Paramètres!$A$1:$I$89,5,0)</f>
        <v>6.6506800067145386E-14</v>
      </c>
      <c r="CA105" s="13">
        <f t="shared" si="93"/>
        <v>1.0476989505385114E-12</v>
      </c>
      <c r="CB105" s="20">
        <f t="shared" si="64"/>
        <v>1.9405750156381857E-12</v>
      </c>
      <c r="CC105" s="59">
        <f t="shared" si="65"/>
        <v>277.95193607498487</v>
      </c>
      <c r="CD105" s="59">
        <f ca="1">AVERAGE(OFFSET($CC$3,0,0,'Données projet'!$E$12+1,1))-AVERAGE(OFFSET($H$3,0,0,'Données projet'!$E$12+1,1))</f>
        <v>184.11352167663844</v>
      </c>
      <c r="CE105" s="59">
        <f t="shared" si="94"/>
        <v>145.86653500981791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43.333709278882139</v>
      </c>
      <c r="CL105" s="21">
        <f>EXP(-LN(2)/25)*CL104+(1-EXP(-LN(2)/25))/(LN(2)/25)*Calculateur!CG105*Calculateur!CI105*VLOOKUP('Données projet'!$B$12,Paramètres!$A$1:$I$89,3,0)*0.475*44/12</f>
        <v>15.284995823586982</v>
      </c>
      <c r="CM105" s="21">
        <f>EXP(-LN(2)/2)*CM104+(1-EXP(-LN(2)/2))/(LN(2)/2)*CG105*CJ105*VLOOKUP('Données projet'!$B$12,Paramètres!$A$1:$I$89,3,0)*0.475*44/12</f>
        <v>0.29516090228935055</v>
      </c>
      <c r="CN105" s="22">
        <f t="shared" si="66"/>
        <v>58.913866004758475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5.2111111111111086</v>
      </c>
      <c r="CT105" s="12">
        <f>IF('Données projet'!$A$140&gt;35,CT104+CS105-DB104,IF(A105&lt;'Données projet'!$A$140,$CQ$205^A105,IF(A105='Données projet'!$A$140,'Données projet'!$B$140,CT104+CS105-DB104)))</f>
        <v>277.01444444444434</v>
      </c>
      <c r="CU105" s="17">
        <f>CT105*VLOOKUP('Données projet'!$B$13,Paramètres!$A$1:$I$89,3,0)*VLOOKUP('Données projet'!$B$13,Paramètres!$A$1:$I$89,5,0)</f>
        <v>133.24394777777772</v>
      </c>
      <c r="CV105" s="13">
        <f t="shared" si="95"/>
        <v>34.744861787089036</v>
      </c>
      <c r="CW105" s="20">
        <f t="shared" si="67"/>
        <v>292.58050999214294</v>
      </c>
      <c r="CX105" s="59">
        <f t="shared" si="68"/>
        <v>570.53244606712587</v>
      </c>
      <c r="CY105" s="59">
        <f ca="1">AVERAGE(OFFSET($CX$3,0,0,'Données projet'!$E$13+1,1))-AVERAGE(OFFSET($H$3,0,0,'Données projet'!$E$13+1,1))</f>
        <v>303.76035885073708</v>
      </c>
      <c r="CZ105" s="59">
        <f t="shared" si="96"/>
        <v>127.43112562890414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12.645366660793266</v>
      </c>
      <c r="DG105" s="21">
        <f>EXP(-LN(2)/25)*DG104+(1-EXP(-LN(2)/25))/(LN(2)/25)*Calculateur!DB105*Calculateur!DD105*VLOOKUP('Données projet'!$B$13,Paramètres!$A$1:$I$89,3,0)*0.475*44/12</f>
        <v>24.169419086614425</v>
      </c>
      <c r="DH105" s="21">
        <f>EXP(-LN(2)/2)*DH104+(1-EXP(-LN(2)/2))/(LN(2)/2)*DB105*DE105*VLOOKUP('Données projet'!$B$13,Paramètres!$A$1:$I$89,3,0)*0.475*44/12</f>
        <v>2.2828344859540399</v>
      </c>
      <c r="DI105" s="22">
        <f t="shared" si="69"/>
        <v>39.097620233361731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5.6843418860808015E-14</v>
      </c>
      <c r="DP105" s="17">
        <f>DO105*VLOOKUP('Données projet'!$B$14,Paramètres!$A$1:$I$89,3,0)*VLOOKUP('Données projet'!$B$14,Paramètres!$A$1:$I$89,5,0)</f>
        <v>3.2810021366458389E-14</v>
      </c>
      <c r="DQ105" s="13">
        <f t="shared" si="97"/>
        <v>5.6117125884464641E-13</v>
      </c>
      <c r="DR105" s="20">
        <f t="shared" si="70"/>
        <v>1.0345173963676741E-12</v>
      </c>
      <c r="DS105" s="59">
        <f t="shared" si="71"/>
        <v>277.95193607498396</v>
      </c>
      <c r="DT105" s="59">
        <f ca="1">AVERAGE(OFFSET($DS$3,0,0,'Données projet'!$E$14+1,1))-AVERAGE(OFFSET($H$3,0,0,'Données projet'!$E$14+1,1))</f>
        <v>243.65374431792841</v>
      </c>
      <c r="DU105" s="59">
        <f t="shared" si="98"/>
        <v>271.60754570002939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25.91308274148718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25.91308274148718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2.4</v>
      </c>
      <c r="EJ105" s="12">
        <f>IF('Données projet'!$A$192&gt;35,EJ104+EI105-ER104,IF(A105&lt;'Données projet'!$A$192,$EG$205^A105,IF(A105='Données projet'!$A$192,'Données projet'!$B$192,EJ104+EI105-ER104)))</f>
        <v>265.79999999999995</v>
      </c>
      <c r="EK105" s="17">
        <f>EJ105*VLOOKUP('Données projet'!$B$15,Paramètres!$A$1:$I$89,3,0)*VLOOKUP('Données projet'!$B$15,Paramètres!$A$1:$I$89,5,0)</f>
        <v>178.29863999999998</v>
      </c>
      <c r="EL105" s="13">
        <f t="shared" si="99"/>
        <v>44.943455949194572</v>
      </c>
      <c r="EM105" s="20">
        <f t="shared" si="73"/>
        <v>388.81331711151387</v>
      </c>
      <c r="EN105" s="59">
        <f t="shared" si="74"/>
        <v>666.76525318649681</v>
      </c>
      <c r="EO105" s="59">
        <f ca="1">AVERAGE(OFFSET($EN$3,0,0,'Données projet'!$E$15+1,1))-AVERAGE(OFFSET($H$3,0,0,'Données projet'!$E$15+1,1))</f>
        <v>321.44781099085594</v>
      </c>
      <c r="EP105" s="59">
        <f t="shared" si="100"/>
        <v>201.22243186578183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27.356464188610524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27.356464188610524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2.8421709430404007E-14</v>
      </c>
      <c r="FF105" s="17">
        <f>FE105*VLOOKUP('Données projet'!$B$16,Paramètres!$A$1:$I$89,3,0)*VLOOKUP('Données projet'!$B$16,Paramètres!$A$1:$I$89,5,0)</f>
        <v>2.4829205358400945E-14</v>
      </c>
      <c r="FG105" s="13">
        <f t="shared" si="101"/>
        <v>4.3867331143352915E-13</v>
      </c>
      <c r="FH105" s="20">
        <f t="shared" si="76"/>
        <v>8.0726688341261168E-13</v>
      </c>
      <c r="FI105" s="59">
        <f t="shared" si="77"/>
        <v>277.95193607498373</v>
      </c>
      <c r="FJ105" s="59">
        <f ca="1">AVERAGE(OFFSET($FI$3,0,0,'Données projet'!$E$16+1,1))-AVERAGE(OFFSET($H$3,0,0,'Données projet'!$E$16+1,1))</f>
        <v>285.8437404763045</v>
      </c>
      <c r="FK105" s="59">
        <f t="shared" si="102"/>
        <v>276.01618888357268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51.328569542809745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51.328569542809745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-1.7053025658242404E-13</v>
      </c>
      <c r="GA105" s="17">
        <f>FZ105*VLOOKUP('Données projet'!$B$17,Paramètres!$A$1:$I$89,3,0)*VLOOKUP('Données projet'!$B$17,Paramètres!$A$1:$I$89,5,0)</f>
        <v>-1.3567387213697657E-13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323.01113210765487</v>
      </c>
      <c r="GF105" s="59">
        <f t="shared" si="104"/>
        <v>311.68541696405975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58.922829665340466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58.922829665340466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2.8421709430404007E-14</v>
      </c>
      <c r="GV105" s="17">
        <f>GU105*VLOOKUP('Données projet'!$B$18,Paramètres!$A$1:$I$89,3,0)*VLOOKUP('Données projet'!$B$18,Paramètres!$A$1:$I$89,5,0)</f>
        <v>2.4829205358400945E-14</v>
      </c>
      <c r="GW105" s="13">
        <f t="shared" si="105"/>
        <v>4.3867331143352915E-13</v>
      </c>
      <c r="GX105" s="20">
        <f t="shared" si="82"/>
        <v>8.0726688341261168E-13</v>
      </c>
      <c r="GY105" s="59">
        <f t="shared" si="83"/>
        <v>277.95193607498373</v>
      </c>
      <c r="GZ105" s="59">
        <f ca="1">AVERAGE(OFFSET($GY$3,0,0,'Données projet'!$E$18+1,1))-AVERAGE(OFFSET($H$3,0,0,'Données projet'!$E$18+1,1))</f>
        <v>285.8437404763045</v>
      </c>
      <c r="HA105" s="59">
        <f t="shared" si="106"/>
        <v>276.01618888357268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51.328569542809745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51.328569542809745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3.2</v>
      </c>
      <c r="N106" s="13">
        <f>IF('Données projet'!$A$36&gt;35,N105+M106-V105,IF(A106&lt;'Données projet'!$A$36,$K$205^A106,IF(A106='Données projet'!$A$36,'Données projet'!$B$36,N105+M106-V105)))</f>
        <v>211.59999999999994</v>
      </c>
      <c r="O106" s="13">
        <f>N106*VLOOKUP('Données projet'!$B$9,Paramètres!$A$1:$I$89,3,0)*VLOOKUP('Données projet'!$B$9,Paramètres!$A$1:$I$89,5,0)</f>
        <v>191.45567999999994</v>
      </c>
      <c r="P106" s="13">
        <f t="shared" si="87"/>
        <v>47.861639935303188</v>
      </c>
      <c r="Q106" s="20">
        <f t="shared" si="107"/>
        <v>416.81099888731961</v>
      </c>
      <c r="R106" s="59">
        <f t="shared" si="55"/>
        <v>695.0297678170823</v>
      </c>
      <c r="S106" s="59">
        <f ca="1">AVERAGE(OFFSET($R$3,0,0,'Données projet'!$E$9+1,1))-AVERAGE(OFFSET($H$3,0,0,'Données projet'!$E$9+1,1))</f>
        <v>315.34103933739129</v>
      </c>
      <c r="T106" s="59">
        <f t="shared" si="88"/>
        <v>165.80901858372513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21.535917741560528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21.535917741560528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-3.4106051316484809E-13</v>
      </c>
      <c r="AJ106" s="13">
        <f>AI106*VLOOKUP('Données projet'!$B$10,Paramètres!$A$1:$I$89,3,0)*VLOOKUP('Données projet'!$B$10,Paramètres!$A$1:$I$89,5,0)</f>
        <v>-2.0395418687257919E-13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317.328615425664</v>
      </c>
      <c r="AO106" s="59">
        <f t="shared" si="90"/>
        <v>324.95872842255744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74.906556525704886</v>
      </c>
      <c r="AV106" s="21">
        <f>EXP(-LN(2)/25)*AV105+(1-EXP(-LN(2)/25))/(LN(2)/25)*Calculateur!AQ106*Calculateur!AS106*VLOOKUP('Données projet'!$B$10,Paramètres!$A$1:$I$89,3,0)*0.475*44/12</f>
        <v>10.271836717352183</v>
      </c>
      <c r="AW106" s="21">
        <f>EXP(-LN(2)/2)*AW105+(1-EXP(-LN(2)/2))/(LN(2)/2)*AQ106*AT106*VLOOKUP('Données projet'!$B$10,Paramètres!$A$1:$I$89,3,0)*0.475*44/12</f>
        <v>9.0690795736617102E-6</v>
      </c>
      <c r="AX106" s="21">
        <f t="shared" si="60"/>
        <v>85.17840231213664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-5.6843418860808015E-14</v>
      </c>
      <c r="BE106" s="13">
        <f>BD106*VLOOKUP('Données projet'!$B$11,Paramètres!$A$1:$I$89,3,0)*VLOOKUP('Données projet'!$B$11,Paramètres!$A$1:$I$89,5,0)</f>
        <v>-6.5483618527650828E-14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418.31716673276725</v>
      </c>
      <c r="BJ106" s="59">
        <f t="shared" si="92"/>
        <v>472.37891533957929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58.440201586075595</v>
      </c>
      <c r="BQ106" s="21">
        <f>EXP(-LN(2)/25)*BQ105+(1-EXP(-LN(2)/25))/(LN(2)/25)*Calculateur!BL106*Calculateur!BN106*VLOOKUP('Données projet'!$B$11,Paramètres!$A$1:$I$89,3,0)*0.475*44/12</f>
        <v>9.3701304661443885</v>
      </c>
      <c r="BR106" s="21">
        <f>EXP(-LN(2)/2)*BR105+(1-EXP(-LN(2)/2))/(LN(2)/2)*BL106*BO106*VLOOKUP('Données projet'!$B$11,Paramètres!$A$1:$I$89,3,0)*0.475*44/12</f>
        <v>1.4066064654121336E-5</v>
      </c>
      <c r="BS106" s="22">
        <f t="shared" si="63"/>
        <v>67.810346118284642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1.1368683772161603E-13</v>
      </c>
      <c r="BZ106" s="13">
        <f>BY106*VLOOKUP('Données projet'!$B$12,Paramètres!$A$1:$I$89,3,0)*VLOOKUP('Données projet'!$B$12,Paramètres!$A$1:$I$89,5,0)</f>
        <v>6.6506800067145386E-14</v>
      </c>
      <c r="CA106" s="13">
        <f t="shared" si="93"/>
        <v>1.0476989505385114E-12</v>
      </c>
      <c r="CB106" s="20">
        <f t="shared" si="64"/>
        <v>1.9405750156381857E-12</v>
      </c>
      <c r="CC106" s="59">
        <f t="shared" si="65"/>
        <v>278.21876892976462</v>
      </c>
      <c r="CD106" s="59">
        <f ca="1">AVERAGE(OFFSET($CC$3,0,0,'Données projet'!$E$12+1,1))-AVERAGE(OFFSET($H$3,0,0,'Données projet'!$E$12+1,1))</f>
        <v>184.11352167663844</v>
      </c>
      <c r="CE106" s="59">
        <f t="shared" si="94"/>
        <v>145.86653500981791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42.483961670876084</v>
      </c>
      <c r="CL106" s="21">
        <f>EXP(-LN(2)/25)*CL105+(1-EXP(-LN(2)/25))/(LN(2)/25)*Calculateur!CG106*Calculateur!CI106*VLOOKUP('Données projet'!$B$12,Paramètres!$A$1:$I$89,3,0)*0.475*44/12</f>
        <v>14.867026808987999</v>
      </c>
      <c r="CM106" s="21">
        <f>EXP(-LN(2)/2)*CM105+(1-EXP(-LN(2)/2))/(LN(2)/2)*CG106*CJ106*VLOOKUP('Données projet'!$B$12,Paramètres!$A$1:$I$89,3,0)*0.475*44/12</f>
        <v>0.20871027554993973</v>
      </c>
      <c r="CN106" s="22">
        <f t="shared" si="66"/>
        <v>57.559698755414026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5.2111111111111086</v>
      </c>
      <c r="CT106" s="12">
        <f>IF('Données projet'!$A$140&gt;35,CT105+CS106-DB105,IF(A106&lt;'Données projet'!$A$140,$CQ$205^A106,IF(A106='Données projet'!$A$140,'Données projet'!$B$140,CT105+CS106-DB105)))</f>
        <v>282.22555555555545</v>
      </c>
      <c r="CU106" s="17">
        <f>CT106*VLOOKUP('Données projet'!$B$13,Paramètres!$A$1:$I$89,3,0)*VLOOKUP('Données projet'!$B$13,Paramètres!$A$1:$I$89,5,0)</f>
        <v>135.75049222222219</v>
      </c>
      <c r="CV106" s="13">
        <f t="shared" si="95"/>
        <v>35.321763421606875</v>
      </c>
      <c r="CW106" s="20">
        <f t="shared" si="67"/>
        <v>297.95084524633563</v>
      </c>
      <c r="CX106" s="59">
        <f t="shared" si="68"/>
        <v>576.16961417609832</v>
      </c>
      <c r="CY106" s="59">
        <f ca="1">AVERAGE(OFFSET($CX$3,0,0,'Données projet'!$E$13+1,1))-AVERAGE(OFFSET($H$3,0,0,'Données projet'!$E$13+1,1))</f>
        <v>303.76035885073708</v>
      </c>
      <c r="CZ106" s="59">
        <f t="shared" si="96"/>
        <v>127.43112562890414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12.397398733487186</v>
      </c>
      <c r="DG106" s="21">
        <f>EXP(-LN(2)/25)*DG105+(1-EXP(-LN(2)/25))/(LN(2)/25)*Calculateur!DB106*Calculateur!DD106*VLOOKUP('Données projet'!$B$13,Paramètres!$A$1:$I$89,3,0)*0.475*44/12</f>
        <v>23.508505050676444</v>
      </c>
      <c r="DH106" s="21">
        <f>EXP(-LN(2)/2)*DH105+(1-EXP(-LN(2)/2))/(LN(2)/2)*DB106*DE106*VLOOKUP('Données projet'!$B$13,Paramètres!$A$1:$I$89,3,0)*0.475*44/12</f>
        <v>1.6142077453446082</v>
      </c>
      <c r="DI106" s="22">
        <f t="shared" si="69"/>
        <v>37.520111529508235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5.6843418860808015E-14</v>
      </c>
      <c r="DP106" s="17">
        <f>DO106*VLOOKUP('Données projet'!$B$14,Paramètres!$A$1:$I$89,3,0)*VLOOKUP('Données projet'!$B$14,Paramètres!$A$1:$I$89,5,0)</f>
        <v>3.2810021366458389E-14</v>
      </c>
      <c r="DQ106" s="13">
        <f t="shared" si="97"/>
        <v>5.6117125884464641E-13</v>
      </c>
      <c r="DR106" s="20">
        <f t="shared" si="70"/>
        <v>1.0345173963676741E-12</v>
      </c>
      <c r="DS106" s="59">
        <f t="shared" si="71"/>
        <v>278.21876892976371</v>
      </c>
      <c r="DT106" s="59">
        <f ca="1">AVERAGE(OFFSET($DS$3,0,0,'Données projet'!$E$14+1,1))-AVERAGE(OFFSET($H$3,0,0,'Données projet'!$E$14+1,1))</f>
        <v>243.65374431792841</v>
      </c>
      <c r="DU106" s="59">
        <f t="shared" si="98"/>
        <v>271.60754570002939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25.404942994346435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25.404942994346435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2.4</v>
      </c>
      <c r="EJ106" s="12">
        <f>IF('Données projet'!$A$192&gt;35,EJ105+EI106-ER105,IF(A106&lt;'Données projet'!$A$192,$EG$205^A106,IF(A106='Données projet'!$A$192,'Données projet'!$B$192,EJ105+EI106-ER105)))</f>
        <v>268.19999999999993</v>
      </c>
      <c r="EK106" s="17">
        <f>EJ106*VLOOKUP('Données projet'!$B$15,Paramètres!$A$1:$I$89,3,0)*VLOOKUP('Données projet'!$B$15,Paramètres!$A$1:$I$89,5,0)</f>
        <v>179.90855999999994</v>
      </c>
      <c r="EL106" s="13">
        <f t="shared" si="99"/>
        <v>45.301841849658132</v>
      </c>
      <c r="EM106" s="20">
        <f t="shared" si="73"/>
        <v>392.24144988815442</v>
      </c>
      <c r="EN106" s="59">
        <f t="shared" si="74"/>
        <v>670.46021881791717</v>
      </c>
      <c r="EO106" s="59">
        <f ca="1">AVERAGE(OFFSET($EN$3,0,0,'Données projet'!$E$15+1,1))-AVERAGE(OFFSET($H$3,0,0,'Données projet'!$E$15+1,1))</f>
        <v>321.44781099085594</v>
      </c>
      <c r="EP106" s="59">
        <f t="shared" si="100"/>
        <v>201.22243186578183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26.820020611667442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26.820020611667442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2.8421709430404007E-14</v>
      </c>
      <c r="FF106" s="17">
        <f>FE106*VLOOKUP('Données projet'!$B$16,Paramètres!$A$1:$I$89,3,0)*VLOOKUP('Données projet'!$B$16,Paramètres!$A$1:$I$89,5,0)</f>
        <v>2.4829205358400945E-14</v>
      </c>
      <c r="FG106" s="13">
        <f t="shared" si="101"/>
        <v>4.3867331143352915E-13</v>
      </c>
      <c r="FH106" s="20">
        <f t="shared" si="76"/>
        <v>8.0726688341261168E-13</v>
      </c>
      <c r="FI106" s="59">
        <f t="shared" si="77"/>
        <v>278.21876892976348</v>
      </c>
      <c r="FJ106" s="59">
        <f ca="1">AVERAGE(OFFSET($FI$3,0,0,'Données projet'!$E$16+1,1))-AVERAGE(OFFSET($H$3,0,0,'Données projet'!$E$16+1,1))</f>
        <v>285.8437404763045</v>
      </c>
      <c r="FK106" s="59">
        <f t="shared" si="102"/>
        <v>276.01618888357268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50.322047601411327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50.322047601411327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-1.7053025658242404E-13</v>
      </c>
      <c r="GA106" s="17">
        <f>FZ106*VLOOKUP('Données projet'!$B$17,Paramètres!$A$1:$I$89,3,0)*VLOOKUP('Données projet'!$B$17,Paramètres!$A$1:$I$89,5,0)</f>
        <v>-1.3567387213697657E-13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323.01113210765487</v>
      </c>
      <c r="GF106" s="59">
        <f t="shared" si="104"/>
        <v>311.68541696405975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57.767388914980515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57.767388914980515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2.8421709430404007E-14</v>
      </c>
      <c r="GV106" s="17">
        <f>GU106*VLOOKUP('Données projet'!$B$18,Paramètres!$A$1:$I$89,3,0)*VLOOKUP('Données projet'!$B$18,Paramètres!$A$1:$I$89,5,0)</f>
        <v>2.4829205358400945E-14</v>
      </c>
      <c r="GW106" s="13">
        <f t="shared" si="105"/>
        <v>4.3867331143352915E-13</v>
      </c>
      <c r="GX106" s="20">
        <f t="shared" si="82"/>
        <v>8.0726688341261168E-13</v>
      </c>
      <c r="GY106" s="59">
        <f t="shared" si="83"/>
        <v>278.21876892976348</v>
      </c>
      <c r="GZ106" s="59">
        <f ca="1">AVERAGE(OFFSET($GY$3,0,0,'Données projet'!$E$18+1,1))-AVERAGE(OFFSET($H$3,0,0,'Données projet'!$E$18+1,1))</f>
        <v>285.8437404763045</v>
      </c>
      <c r="HA106" s="59">
        <f t="shared" si="106"/>
        <v>276.01618888357268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50.322047601411327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50.322047601411327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3.2</v>
      </c>
      <c r="N107" s="13">
        <f>IF('Données projet'!$A$36&gt;35,N106+M107-V106,IF(A107&lt;'Données projet'!$A$36,$K$205^A107,IF(A107='Données projet'!$A$36,'Données projet'!$B$36,N106+M107-V106)))</f>
        <v>214.79999999999993</v>
      </c>
      <c r="O107" s="13">
        <f>N107*VLOOKUP('Données projet'!$B$9,Paramètres!$A$1:$I$89,3,0)*VLOOKUP('Données projet'!$B$9,Paramètres!$A$1:$I$89,5,0)</f>
        <v>194.35103999999993</v>
      </c>
      <c r="P107" s="13">
        <f t="shared" si="87"/>
        <v>48.500634729810159</v>
      </c>
      <c r="Q107" s="20">
        <f t="shared" si="107"/>
        <v>422.96666682108594</v>
      </c>
      <c r="R107" s="59">
        <f t="shared" si="55"/>
        <v>701.44763965214679</v>
      </c>
      <c r="S107" s="59">
        <f ca="1">AVERAGE(OFFSET($R$3,0,0,'Données projet'!$E$9+1,1))-AVERAGE(OFFSET($H$3,0,0,'Données projet'!$E$9+1,1))</f>
        <v>315.34103933739129</v>
      </c>
      <c r="T107" s="59">
        <f t="shared" si="88"/>
        <v>165.80901858372513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21.113611530261313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21.113611530261313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-3.4106051316484809E-13</v>
      </c>
      <c r="AJ107" s="13">
        <f>AI107*VLOOKUP('Données projet'!$B$10,Paramètres!$A$1:$I$89,3,0)*VLOOKUP('Données projet'!$B$10,Paramètres!$A$1:$I$89,5,0)</f>
        <v>-2.0395418687257919E-13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317.328615425664</v>
      </c>
      <c r="AO107" s="59">
        <f t="shared" si="90"/>
        <v>324.95872842255744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73.43768464072393</v>
      </c>
      <c r="AV107" s="21">
        <f>EXP(-LN(2)/25)*AV106+(1-EXP(-LN(2)/25))/(LN(2)/25)*Calculateur!AQ107*Calculateur!AS107*VLOOKUP('Données projet'!$B$10,Paramètres!$A$1:$I$89,3,0)*0.475*44/12</f>
        <v>9.9909528021437719</v>
      </c>
      <c r="AW107" s="21">
        <f>EXP(-LN(2)/2)*AW106+(1-EXP(-LN(2)/2))/(LN(2)/2)*AQ107*AT107*VLOOKUP('Données projet'!$B$10,Paramètres!$A$1:$I$89,3,0)*0.475*44/12</f>
        <v>6.4128076656565988E-6</v>
      </c>
      <c r="AX107" s="21">
        <f t="shared" si="60"/>
        <v>83.428643855675361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-5.6843418860808015E-14</v>
      </c>
      <c r="BE107" s="13">
        <f>BD107*VLOOKUP('Données projet'!$B$11,Paramètres!$A$1:$I$89,3,0)*VLOOKUP('Données projet'!$B$11,Paramètres!$A$1:$I$89,5,0)</f>
        <v>-6.5483618527650828E-14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418.31716673276725</v>
      </c>
      <c r="BJ107" s="59">
        <f t="shared" si="92"/>
        <v>472.37891533957929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57.294224877975971</v>
      </c>
      <c r="BQ107" s="21">
        <f>EXP(-LN(2)/25)*BQ106+(1-EXP(-LN(2)/25))/(LN(2)/25)*Calculateur!BL107*Calculateur!BN107*VLOOKUP('Données projet'!$B$11,Paramètres!$A$1:$I$89,3,0)*0.475*44/12</f>
        <v>9.113903755793924</v>
      </c>
      <c r="BR107" s="21">
        <f>EXP(-LN(2)/2)*BR106+(1-EXP(-LN(2)/2))/(LN(2)/2)*BL107*BO107*VLOOKUP('Données projet'!$B$11,Paramètres!$A$1:$I$89,3,0)*0.475*44/12</f>
        <v>9.946209701537606E-6</v>
      </c>
      <c r="BS107" s="22">
        <f t="shared" si="63"/>
        <v>66.408138579979592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1.1368683772161603E-13</v>
      </c>
      <c r="BZ107" s="13">
        <f>BY107*VLOOKUP('Données projet'!$B$12,Paramètres!$A$1:$I$89,3,0)*VLOOKUP('Données projet'!$B$12,Paramètres!$A$1:$I$89,5,0)</f>
        <v>6.6506800067145386E-14</v>
      </c>
      <c r="CA107" s="13">
        <f t="shared" si="93"/>
        <v>1.0476989505385114E-12</v>
      </c>
      <c r="CB107" s="20">
        <f t="shared" si="64"/>
        <v>1.9405750156381857E-12</v>
      </c>
      <c r="CC107" s="59">
        <f t="shared" si="65"/>
        <v>278.48097283106284</v>
      </c>
      <c r="CD107" s="59">
        <f ca="1">AVERAGE(OFFSET($CC$3,0,0,'Données projet'!$E$12+1,1))-AVERAGE(OFFSET($H$3,0,0,'Données projet'!$E$12+1,1))</f>
        <v>184.11352167663844</v>
      </c>
      <c r="CE107" s="59">
        <f t="shared" si="94"/>
        <v>145.86653500981791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41.650877095168163</v>
      </c>
      <c r="CL107" s="21">
        <f>EXP(-LN(2)/25)*CL106+(1-EXP(-LN(2)/25))/(LN(2)/25)*Calculateur!CG107*Calculateur!CI107*VLOOKUP('Données projet'!$B$12,Paramètres!$A$1:$I$89,3,0)*0.475*44/12</f>
        <v>14.460487179073262</v>
      </c>
      <c r="CM107" s="21">
        <f>EXP(-LN(2)/2)*CM106+(1-EXP(-LN(2)/2))/(LN(2)/2)*CG107*CJ107*VLOOKUP('Données projet'!$B$12,Paramètres!$A$1:$I$89,3,0)*0.475*44/12</f>
        <v>0.14758045114467527</v>
      </c>
      <c r="CN107" s="22">
        <f t="shared" si="66"/>
        <v>56.258944725386101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5.2111111111111086</v>
      </c>
      <c r="CT107" s="12">
        <f>IF('Données projet'!$A$140&gt;35,CT106+CS107-DB106,IF(A107&lt;'Données projet'!$A$140,$CQ$205^A107,IF(A107='Données projet'!$A$140,'Données projet'!$B$140,CT106+CS107-DB106)))</f>
        <v>287.43666666666655</v>
      </c>
      <c r="CU107" s="17">
        <f>CT107*VLOOKUP('Données projet'!$B$13,Paramètres!$A$1:$I$89,3,0)*VLOOKUP('Données projet'!$B$13,Paramètres!$A$1:$I$89,5,0)</f>
        <v>138.25703666666661</v>
      </c>
      <c r="CV107" s="13">
        <f t="shared" si="95"/>
        <v>35.897426407243067</v>
      </c>
      <c r="CW107" s="20">
        <f t="shared" si="67"/>
        <v>303.31902318705937</v>
      </c>
      <c r="CX107" s="59">
        <f t="shared" si="68"/>
        <v>581.79999601812028</v>
      </c>
      <c r="CY107" s="59">
        <f ca="1">AVERAGE(OFFSET($CX$3,0,0,'Données projet'!$E$13+1,1))-AVERAGE(OFFSET($H$3,0,0,'Données projet'!$E$13+1,1))</f>
        <v>303.76035885073708</v>
      </c>
      <c r="CZ107" s="59">
        <f t="shared" si="96"/>
        <v>127.43112562890414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12.154293305990077</v>
      </c>
      <c r="DG107" s="21">
        <f>EXP(-LN(2)/25)*DG106+(1-EXP(-LN(2)/25))/(LN(2)/25)*Calculateur!DB107*Calculateur!DD107*VLOOKUP('Données projet'!$B$13,Paramètres!$A$1:$I$89,3,0)*0.475*44/12</f>
        <v>22.865663743807147</v>
      </c>
      <c r="DH107" s="21">
        <f>EXP(-LN(2)/2)*DH106+(1-EXP(-LN(2)/2))/(LN(2)/2)*DB107*DE107*VLOOKUP('Données projet'!$B$13,Paramètres!$A$1:$I$89,3,0)*0.475*44/12</f>
        <v>1.1414172429770202</v>
      </c>
      <c r="DI107" s="22">
        <f t="shared" si="69"/>
        <v>36.161374292774248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5.6843418860808015E-14</v>
      </c>
      <c r="DP107" s="17">
        <f>DO107*VLOOKUP('Données projet'!$B$14,Paramètres!$A$1:$I$89,3,0)*VLOOKUP('Données projet'!$B$14,Paramètres!$A$1:$I$89,5,0)</f>
        <v>3.2810021366458389E-14</v>
      </c>
      <c r="DQ107" s="13">
        <f t="shared" si="97"/>
        <v>5.6117125884464641E-13</v>
      </c>
      <c r="DR107" s="20">
        <f t="shared" si="70"/>
        <v>1.0345173963676741E-12</v>
      </c>
      <c r="DS107" s="59">
        <f t="shared" si="71"/>
        <v>278.48097283106193</v>
      </c>
      <c r="DT107" s="59">
        <f ca="1">AVERAGE(OFFSET($DS$3,0,0,'Données projet'!$E$14+1,1))-AVERAGE(OFFSET($H$3,0,0,'Données projet'!$E$14+1,1))</f>
        <v>243.65374431792841</v>
      </c>
      <c r="DU107" s="59">
        <f t="shared" si="98"/>
        <v>271.60754570002939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24.906767557712474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24.906767557712474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2.4</v>
      </c>
      <c r="EJ107" s="12">
        <f>IF('Données projet'!$A$192&gt;35,EJ106+EI107-ER106,IF(A107&lt;'Données projet'!$A$192,$EG$205^A107,IF(A107='Données projet'!$A$192,'Données projet'!$B$192,EJ106+EI107-ER106)))</f>
        <v>270.59999999999991</v>
      </c>
      <c r="EK107" s="17">
        <f>EJ107*VLOOKUP('Données projet'!$B$15,Paramètres!$A$1:$I$89,3,0)*VLOOKUP('Données projet'!$B$15,Paramètres!$A$1:$I$89,5,0)</f>
        <v>181.51847999999995</v>
      </c>
      <c r="EL107" s="13">
        <f t="shared" si="99"/>
        <v>45.659854640601139</v>
      </c>
      <c r="EM107" s="20">
        <f t="shared" si="73"/>
        <v>395.66893283238022</v>
      </c>
      <c r="EN107" s="59">
        <f t="shared" si="74"/>
        <v>674.14990566344113</v>
      </c>
      <c r="EO107" s="59">
        <f ca="1">AVERAGE(OFFSET($EN$3,0,0,'Données projet'!$E$15+1,1))-AVERAGE(OFFSET($H$3,0,0,'Données projet'!$E$15+1,1))</f>
        <v>321.44781099085594</v>
      </c>
      <c r="EP107" s="59">
        <f t="shared" si="100"/>
        <v>201.22243186578183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26.29409636606994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26.29409636606994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2.8421709430404007E-14</v>
      </c>
      <c r="FF107" s="17">
        <f>FE107*VLOOKUP('Données projet'!$B$16,Paramètres!$A$1:$I$89,3,0)*VLOOKUP('Données projet'!$B$16,Paramètres!$A$1:$I$89,5,0)</f>
        <v>2.4829205358400945E-14</v>
      </c>
      <c r="FG107" s="13">
        <f t="shared" si="101"/>
        <v>4.3867331143352915E-13</v>
      </c>
      <c r="FH107" s="20">
        <f t="shared" si="76"/>
        <v>8.0726688341261168E-13</v>
      </c>
      <c r="FI107" s="59">
        <f t="shared" si="77"/>
        <v>278.48097283106171</v>
      </c>
      <c r="FJ107" s="59">
        <f ca="1">AVERAGE(OFFSET($FI$3,0,0,'Données projet'!$E$16+1,1))-AVERAGE(OFFSET($H$3,0,0,'Données projet'!$E$16+1,1))</f>
        <v>285.8437404763045</v>
      </c>
      <c r="FK107" s="59">
        <f t="shared" si="102"/>
        <v>276.01618888357268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49.335262941365961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49.335262941365961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-1.7053025658242404E-13</v>
      </c>
      <c r="GA107" s="17">
        <f>FZ107*VLOOKUP('Données projet'!$B$17,Paramètres!$A$1:$I$89,3,0)*VLOOKUP('Données projet'!$B$17,Paramètres!$A$1:$I$89,5,0)</f>
        <v>-1.3567387213697657E-13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323.01113210765487</v>
      </c>
      <c r="GF107" s="59">
        <f t="shared" si="104"/>
        <v>311.68541696405975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56.634605652985854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56.634605652985854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2.8421709430404007E-14</v>
      </c>
      <c r="GV107" s="17">
        <f>GU107*VLOOKUP('Données projet'!$B$18,Paramètres!$A$1:$I$89,3,0)*VLOOKUP('Données projet'!$B$18,Paramètres!$A$1:$I$89,5,0)</f>
        <v>2.4829205358400945E-14</v>
      </c>
      <c r="GW107" s="13">
        <f t="shared" si="105"/>
        <v>4.3867331143352915E-13</v>
      </c>
      <c r="GX107" s="20">
        <f t="shared" si="82"/>
        <v>8.0726688341261168E-13</v>
      </c>
      <c r="GY107" s="59">
        <f t="shared" si="83"/>
        <v>278.48097283106171</v>
      </c>
      <c r="GZ107" s="59">
        <f ca="1">AVERAGE(OFFSET($GY$3,0,0,'Données projet'!$E$18+1,1))-AVERAGE(OFFSET($H$3,0,0,'Données projet'!$E$18+1,1))</f>
        <v>285.8437404763045</v>
      </c>
      <c r="HA107" s="59">
        <f t="shared" si="106"/>
        <v>276.01618888357268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49.335262941365961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49.335262941365961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218</v>
      </c>
      <c r="L108" s="12">
        <f>VLOOKUP(A108,'Données projet'!$A$35:$I$55,9,0)</f>
        <v>3.2</v>
      </c>
      <c r="M108" s="12">
        <f t="array" ref="M108">INDEX(L:L,MIN(IF(ISNUMBER(L108:L304),ROW(L108:L304),"")))</f>
        <v>3.2</v>
      </c>
      <c r="N108" s="13">
        <f>IF('Données projet'!$A$36&gt;35,N107+M108-V107,IF(A108&lt;'Données projet'!$A$36,$K$205^A108,IF(A108='Données projet'!$A$36,'Données projet'!$B$36,N107+M108-V107)))</f>
        <v>217.99999999999991</v>
      </c>
      <c r="O108" s="13">
        <f>N108*VLOOKUP('Données projet'!$B$9,Paramètres!$A$1:$I$89,3,0)*VLOOKUP('Données projet'!$B$9,Paramètres!$A$1:$I$89,5,0)</f>
        <v>197.24639999999991</v>
      </c>
      <c r="P108" s="13">
        <f t="shared" si="87"/>
        <v>49.138522374247202</v>
      </c>
      <c r="Q108" s="20">
        <f t="shared" si="107"/>
        <v>429.12040646848044</v>
      </c>
      <c r="R108" s="59">
        <f t="shared" si="55"/>
        <v>707.85903454935215</v>
      </c>
      <c r="S108" s="59">
        <f ca="1">AVERAGE(OFFSET($R$3,0,0,'Données projet'!$E$9+1,1))-AVERAGE(OFFSET($H$3,0,0,'Données projet'!$E$9+1,1))</f>
        <v>315.34103933739129</v>
      </c>
      <c r="T108" s="59">
        <f t="shared" si="88"/>
        <v>165.80901858372513</v>
      </c>
      <c r="U108" s="15">
        <f>IF(ISNA(VLOOKUP(A108,'Données projet'!$A$35:$I$55,3,0)),0,VLOOKUP(A108,'Données projet'!$A$35:$I$55,3,0))</f>
        <v>17</v>
      </c>
      <c r="V108" s="15">
        <f>IF(ISNA(VLOOKUP(A108,'Données projet'!$A$35:$I$55,4,0)),0,VLOOKUP(A108,'Données projet'!$A$35:$I$55,4,0))</f>
        <v>14</v>
      </c>
      <c r="W108" s="16">
        <f>IF(ISNA(VLOOKUP(A108,'Données projet'!$A$35:$I$55,5,0)),0%,VLOOKUP(A108,'Données projet'!$A$35:$I$55,5,0)*VLOOKUP('Données projet'!$B$9,Paramètres!$A$1:$I$89,7,0))</f>
        <v>0.30099999999999999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24.914554018061878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24.914554018061878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-3.4106051316484809E-13</v>
      </c>
      <c r="AJ108" s="13">
        <f>AI108*VLOOKUP('Données projet'!$B$10,Paramètres!$A$1:$I$89,3,0)*VLOOKUP('Données projet'!$B$10,Paramètres!$A$1:$I$89,5,0)</f>
        <v>-2.0395418687257919E-13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317.328615425664</v>
      </c>
      <c r="AO108" s="59">
        <f t="shared" si="90"/>
        <v>324.95872842255744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71.997616437484069</v>
      </c>
      <c r="AV108" s="21">
        <f>EXP(-LN(2)/25)*AV107+(1-EXP(-LN(2)/25))/(LN(2)/25)*Calculateur!AQ108*Calculateur!AS108*VLOOKUP('Données projet'!$B$10,Paramètres!$A$1:$I$89,3,0)*0.475*44/12</f>
        <v>9.717749672367777</v>
      </c>
      <c r="AW108" s="21">
        <f>EXP(-LN(2)/2)*AW107+(1-EXP(-LN(2)/2))/(LN(2)/2)*AQ108*AT108*VLOOKUP('Données projet'!$B$10,Paramètres!$A$1:$I$89,3,0)*0.475*44/12</f>
        <v>4.5345397868308551E-6</v>
      </c>
      <c r="AX108" s="21">
        <f t="shared" si="60"/>
        <v>81.715370644391626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-5.6843418860808015E-14</v>
      </c>
      <c r="BE108" s="13">
        <f>BD108*VLOOKUP('Données projet'!$B$11,Paramètres!$A$1:$I$89,3,0)*VLOOKUP('Données projet'!$B$11,Paramètres!$A$1:$I$89,5,0)</f>
        <v>-6.5483618527650828E-14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418.31716673276725</v>
      </c>
      <c r="BJ108" s="59">
        <f t="shared" si="92"/>
        <v>472.37891533957929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56.170720074145407</v>
      </c>
      <c r="BQ108" s="21">
        <f>EXP(-LN(2)/25)*BQ107+(1-EXP(-LN(2)/25))/(LN(2)/25)*Calculateur!BL108*Calculateur!BN108*VLOOKUP('Données projet'!$B$11,Paramètres!$A$1:$I$89,3,0)*0.475*44/12</f>
        <v>8.8646835783123699</v>
      </c>
      <c r="BR108" s="21">
        <f>EXP(-LN(2)/2)*BR107+(1-EXP(-LN(2)/2))/(LN(2)/2)*BL108*BO108*VLOOKUP('Données projet'!$B$11,Paramètres!$A$1:$I$89,3,0)*0.475*44/12</f>
        <v>7.0330323270606682E-6</v>
      </c>
      <c r="BS108" s="22">
        <f t="shared" si="63"/>
        <v>65.035410685490106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1.1368683772161603E-13</v>
      </c>
      <c r="BZ108" s="13">
        <f>BY108*VLOOKUP('Données projet'!$B$12,Paramètres!$A$1:$I$89,3,0)*VLOOKUP('Données projet'!$B$12,Paramètres!$A$1:$I$89,5,0)</f>
        <v>6.6506800067145386E-14</v>
      </c>
      <c r="CA108" s="13">
        <f t="shared" si="93"/>
        <v>1.0476989505385114E-12</v>
      </c>
      <c r="CB108" s="20">
        <f t="shared" si="64"/>
        <v>1.9405750156381857E-12</v>
      </c>
      <c r="CC108" s="59">
        <f t="shared" si="65"/>
        <v>278.7386280808737</v>
      </c>
      <c r="CD108" s="59">
        <f ca="1">AVERAGE(OFFSET($CC$3,0,0,'Données projet'!$E$12+1,1))-AVERAGE(OFFSET($H$3,0,0,'Données projet'!$E$12+1,1))</f>
        <v>184.11352167663844</v>
      </c>
      <c r="CE108" s="59">
        <f t="shared" si="94"/>
        <v>145.86653500981791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40.834128799858455</v>
      </c>
      <c r="CL108" s="21">
        <f>EXP(-LN(2)/25)*CL107+(1-EXP(-LN(2)/25))/(LN(2)/25)*Calculateur!CG108*Calculateur!CI108*VLOOKUP('Données projet'!$B$12,Paramètres!$A$1:$I$89,3,0)*0.475*44/12</f>
        <v>14.065064396717533</v>
      </c>
      <c r="CM108" s="21">
        <f>EXP(-LN(2)/2)*CM107+(1-EXP(-LN(2)/2))/(LN(2)/2)*CG108*CJ108*VLOOKUP('Données projet'!$B$12,Paramètres!$A$1:$I$89,3,0)*0.475*44/12</f>
        <v>0.10435513777496987</v>
      </c>
      <c r="CN108" s="22">
        <f t="shared" si="66"/>
        <v>55.003548334350953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5.2111111111111086</v>
      </c>
      <c r="CT108" s="12">
        <f>IF('Données projet'!$A$140&gt;35,CT107+CS108-DB107,IF(A108&lt;'Données projet'!$A$140,$CQ$205^A108,IF(A108='Données projet'!$A$140,'Données projet'!$B$140,CT107+CS108-DB107)))</f>
        <v>292.64777777777766</v>
      </c>
      <c r="CU108" s="17">
        <f>CT108*VLOOKUP('Données projet'!$B$13,Paramètres!$A$1:$I$89,3,0)*VLOOKUP('Données projet'!$B$13,Paramètres!$A$1:$I$89,5,0)</f>
        <v>140.76358111111105</v>
      </c>
      <c r="CV108" s="13">
        <f t="shared" si="95"/>
        <v>36.471875790438673</v>
      </c>
      <c r="CW108" s="20">
        <f t="shared" si="67"/>
        <v>308.68508743686579</v>
      </c>
      <c r="CX108" s="59">
        <f t="shared" si="68"/>
        <v>587.42371551773749</v>
      </c>
      <c r="CY108" s="59">
        <f ca="1">AVERAGE(OFFSET($CX$3,0,0,'Données projet'!$E$13+1,1))-AVERAGE(OFFSET($H$3,0,0,'Données projet'!$E$13+1,1))</f>
        <v>303.76035885073708</v>
      </c>
      <c r="CZ108" s="59">
        <f t="shared" si="96"/>
        <v>127.43112562890414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11.915955027646516</v>
      </c>
      <c r="DG108" s="21">
        <f>EXP(-LN(2)/25)*DG107+(1-EXP(-LN(2)/25))/(LN(2)/25)*Calculateur!DB108*Calculateur!DD108*VLOOKUP('Données projet'!$B$13,Paramètres!$A$1:$I$89,3,0)*0.475*44/12</f>
        <v>22.240400966279743</v>
      </c>
      <c r="DH108" s="21">
        <f>EXP(-LN(2)/2)*DH107+(1-EXP(-LN(2)/2))/(LN(2)/2)*DB108*DE108*VLOOKUP('Données projet'!$B$13,Paramètres!$A$1:$I$89,3,0)*0.475*44/12</f>
        <v>0.80710387267230421</v>
      </c>
      <c r="DI108" s="22">
        <f t="shared" si="69"/>
        <v>34.963459866598569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5.6843418860808015E-14</v>
      </c>
      <c r="DP108" s="17">
        <f>DO108*VLOOKUP('Données projet'!$B$14,Paramètres!$A$1:$I$89,3,0)*VLOOKUP('Données projet'!$B$14,Paramètres!$A$1:$I$89,5,0)</f>
        <v>3.2810021366458389E-14</v>
      </c>
      <c r="DQ108" s="13">
        <f t="shared" si="97"/>
        <v>5.6117125884464641E-13</v>
      </c>
      <c r="DR108" s="20">
        <f t="shared" si="70"/>
        <v>1.0345173963676741E-12</v>
      </c>
      <c r="DS108" s="59">
        <f t="shared" si="71"/>
        <v>278.73862808087279</v>
      </c>
      <c r="DT108" s="59">
        <f ca="1">AVERAGE(OFFSET($DS$3,0,0,'Données projet'!$E$14+1,1))-AVERAGE(OFFSET($H$3,0,0,'Données projet'!$E$14+1,1))</f>
        <v>243.65374431792841</v>
      </c>
      <c r="DU108" s="59">
        <f t="shared" si="98"/>
        <v>271.60754570002939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24.418361037533895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24.418361037533895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2.4</v>
      </c>
      <c r="EJ108" s="12">
        <f>IF('Données projet'!$A$192&gt;35,EJ107+EI108-ER107,IF(A108&lt;'Données projet'!$A$192,$EG$205^A108,IF(A108='Données projet'!$A$192,'Données projet'!$B$192,EJ107+EI108-ER107)))</f>
        <v>272.99999999999989</v>
      </c>
      <c r="EK108" s="17">
        <f>EJ108*VLOOKUP('Données projet'!$B$15,Paramètres!$A$1:$I$89,3,0)*VLOOKUP('Données projet'!$B$15,Paramètres!$A$1:$I$89,5,0)</f>
        <v>183.12839999999991</v>
      </c>
      <c r="EL108" s="13">
        <f t="shared" si="99"/>
        <v>46.017498014577676</v>
      </c>
      <c r="EM108" s="20">
        <f t="shared" si="73"/>
        <v>399.09577237538929</v>
      </c>
      <c r="EN108" s="59">
        <f t="shared" si="74"/>
        <v>677.83440045626105</v>
      </c>
      <c r="EO108" s="59">
        <f ca="1">AVERAGE(OFFSET($EN$3,0,0,'Données projet'!$E$15+1,1))-AVERAGE(OFFSET($H$3,0,0,'Données projet'!$E$15+1,1))</f>
        <v>321.44781099085594</v>
      </c>
      <c r="EP108" s="59">
        <f t="shared" si="100"/>
        <v>201.22243186578183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25.778485174146489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25.778485174146489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2.8421709430404007E-14</v>
      </c>
      <c r="FF108" s="17">
        <f>FE108*VLOOKUP('Données projet'!$B$16,Paramètres!$A$1:$I$89,3,0)*VLOOKUP('Données projet'!$B$16,Paramètres!$A$1:$I$89,5,0)</f>
        <v>2.4829205358400945E-14</v>
      </c>
      <c r="FG108" s="13">
        <f t="shared" si="101"/>
        <v>4.3867331143352915E-13</v>
      </c>
      <c r="FH108" s="20">
        <f t="shared" si="76"/>
        <v>8.0726688341261168E-13</v>
      </c>
      <c r="FI108" s="59">
        <f t="shared" si="77"/>
        <v>278.73862808087256</v>
      </c>
      <c r="FJ108" s="59">
        <f ca="1">AVERAGE(OFFSET($FI$3,0,0,'Données projet'!$E$16+1,1))-AVERAGE(OFFSET($H$3,0,0,'Données projet'!$E$16+1,1))</f>
        <v>285.8437404763045</v>
      </c>
      <c r="FK108" s="59">
        <f t="shared" si="102"/>
        <v>276.01618888357268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48.367828526624876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48.367828526624876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-1.7053025658242404E-13</v>
      </c>
      <c r="GA108" s="17">
        <f>FZ108*VLOOKUP('Données projet'!$B$17,Paramètres!$A$1:$I$89,3,0)*VLOOKUP('Données projet'!$B$17,Paramètres!$A$1:$I$89,5,0)</f>
        <v>-1.3567387213697657E-13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323.01113210765487</v>
      </c>
      <c r="GF108" s="59">
        <f t="shared" si="104"/>
        <v>311.68541696405975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55.524035579829345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55.524035579829345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2.8421709430404007E-14</v>
      </c>
      <c r="GV108" s="17">
        <f>GU108*VLOOKUP('Données projet'!$B$18,Paramètres!$A$1:$I$89,3,0)*VLOOKUP('Données projet'!$B$18,Paramètres!$A$1:$I$89,5,0)</f>
        <v>2.4829205358400945E-14</v>
      </c>
      <c r="GW108" s="13">
        <f t="shared" si="105"/>
        <v>4.3867331143352915E-13</v>
      </c>
      <c r="GX108" s="20">
        <f t="shared" si="82"/>
        <v>8.0726688341261168E-13</v>
      </c>
      <c r="GY108" s="59">
        <f t="shared" si="83"/>
        <v>278.73862808087256</v>
      </c>
      <c r="GZ108" s="59">
        <f ca="1">AVERAGE(OFFSET($GY$3,0,0,'Données projet'!$E$18+1,1))-AVERAGE(OFFSET($H$3,0,0,'Données projet'!$E$18+1,1))</f>
        <v>285.8437404763045</v>
      </c>
      <c r="HA108" s="59">
        <f t="shared" si="106"/>
        <v>276.01618888357268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48.367828526624876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48.367828526624876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3</v>
      </c>
      <c r="N109" s="13">
        <f>IF('Données projet'!$A$36&gt;35,N108+M109-V108,IF(A109&lt;'Données projet'!$A$36,$K$205^A109,IF(A109='Données projet'!$A$36,'Données projet'!$B$36,N108+M109-V108)))</f>
        <v>206.99999999999991</v>
      </c>
      <c r="O109" s="13">
        <f>N109*VLOOKUP('Données projet'!$B$9,Paramètres!$A$1:$I$89,3,0)*VLOOKUP('Données projet'!$B$9,Paramètres!$A$1:$I$89,5,0)</f>
        <v>187.29359999999991</v>
      </c>
      <c r="P109" s="13">
        <f t="shared" si="87"/>
        <v>46.941107550760421</v>
      </c>
      <c r="Q109" s="20">
        <f t="shared" si="107"/>
        <v>407.95878231757428</v>
      </c>
      <c r="R109" s="59">
        <f t="shared" si="55"/>
        <v>686.95059590570338</v>
      </c>
      <c r="S109" s="59">
        <f ca="1">AVERAGE(OFFSET($R$3,0,0,'Données projet'!$E$9+1,1))-AVERAGE(OFFSET($H$3,0,0,'Données projet'!$E$9+1,1))</f>
        <v>315.34103933739129</v>
      </c>
      <c r="T109" s="59">
        <f t="shared" si="88"/>
        <v>165.80901858372513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24.425994810145117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24.425994810145117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-3.4106051316484809E-13</v>
      </c>
      <c r="AJ109" s="13">
        <f>AI109*VLOOKUP('Données projet'!$B$10,Paramètres!$A$1:$I$89,3,0)*VLOOKUP('Données projet'!$B$10,Paramètres!$A$1:$I$89,5,0)</f>
        <v>-2.0395418687257919E-13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317.328615425664</v>
      </c>
      <c r="AO109" s="59">
        <f t="shared" si="90"/>
        <v>324.95872842255744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70.585787093354867</v>
      </c>
      <c r="AV109" s="21">
        <f>EXP(-LN(2)/25)*AV108+(1-EXP(-LN(2)/25))/(LN(2)/25)*Calculateur!AQ109*Calculateur!AS109*VLOOKUP('Données projet'!$B$10,Paramètres!$A$1:$I$89,3,0)*0.475*44/12</f>
        <v>9.4520172965426354</v>
      </c>
      <c r="AW109" s="21">
        <f>EXP(-LN(2)/2)*AW108+(1-EXP(-LN(2)/2))/(LN(2)/2)*AQ109*AT109*VLOOKUP('Données projet'!$B$10,Paramètres!$A$1:$I$89,3,0)*0.475*44/12</f>
        <v>3.2064038328282994E-6</v>
      </c>
      <c r="AX109" s="21">
        <f t="shared" si="60"/>
        <v>80.037807596301334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-5.6843418860808015E-14</v>
      </c>
      <c r="BE109" s="13">
        <f>BD109*VLOOKUP('Données projet'!$B$11,Paramètres!$A$1:$I$89,3,0)*VLOOKUP('Données projet'!$B$11,Paramètres!$A$1:$I$89,5,0)</f>
        <v>-6.5483618527650828E-14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418.31716673276725</v>
      </c>
      <c r="BJ109" s="59">
        <f t="shared" si="92"/>
        <v>472.37891533957929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55.069246514247695</v>
      </c>
      <c r="BQ109" s="21">
        <f>EXP(-LN(2)/25)*BQ108+(1-EXP(-LN(2)/25))/(LN(2)/25)*Calculateur!BL109*Calculateur!BN109*VLOOKUP('Données projet'!$B$11,Paramètres!$A$1:$I$89,3,0)*0.475*44/12</f>
        <v>8.62227833968997</v>
      </c>
      <c r="BR109" s="21">
        <f>EXP(-LN(2)/2)*BR108+(1-EXP(-LN(2)/2))/(LN(2)/2)*BL109*BO109*VLOOKUP('Données projet'!$B$11,Paramètres!$A$1:$I$89,3,0)*0.475*44/12</f>
        <v>4.973104850768803E-6</v>
      </c>
      <c r="BS109" s="22">
        <f t="shared" si="63"/>
        <v>63.691529827042515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1.1368683772161603E-13</v>
      </c>
      <c r="BZ109" s="13">
        <f>BY109*VLOOKUP('Données projet'!$B$12,Paramètres!$A$1:$I$89,3,0)*VLOOKUP('Données projet'!$B$12,Paramètres!$A$1:$I$89,5,0)</f>
        <v>6.6506800067145386E-14</v>
      </c>
      <c r="CA109" s="13">
        <f t="shared" si="93"/>
        <v>1.0476989505385114E-12</v>
      </c>
      <c r="CB109" s="20">
        <f t="shared" si="64"/>
        <v>1.9405750156381857E-12</v>
      </c>
      <c r="CC109" s="59">
        <f t="shared" si="65"/>
        <v>278.99181358813104</v>
      </c>
      <c r="CD109" s="59">
        <f ca="1">AVERAGE(OFFSET($CC$3,0,0,'Données projet'!$E$12+1,1))-AVERAGE(OFFSET($H$3,0,0,'Données projet'!$E$12+1,1))</f>
        <v>184.11352167663844</v>
      </c>
      <c r="CE109" s="59">
        <f t="shared" si="94"/>
        <v>145.86653500981791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40.033396440452499</v>
      </c>
      <c r="CL109" s="21">
        <f>EXP(-LN(2)/25)*CL108+(1-EXP(-LN(2)/25))/(LN(2)/25)*Calculateur!CG109*Calculateur!CI109*VLOOKUP('Données projet'!$B$12,Paramètres!$A$1:$I$89,3,0)*0.475*44/12</f>
        <v>13.680454471139702</v>
      </c>
      <c r="CM109" s="21">
        <f>EXP(-LN(2)/2)*CM108+(1-EXP(-LN(2)/2))/(LN(2)/2)*CG109*CJ109*VLOOKUP('Données projet'!$B$12,Paramètres!$A$1:$I$89,3,0)*0.475*44/12</f>
        <v>7.3790225572337637E-2</v>
      </c>
      <c r="CN109" s="22">
        <f t="shared" si="66"/>
        <v>53.787641137164542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5.2111111111111086</v>
      </c>
      <c r="CT109" s="12">
        <f>IF('Données projet'!$A$140&gt;35,CT108+CS109-DB108,IF(A109&lt;'Données projet'!$A$140,$CQ$205^A109,IF(A109='Données projet'!$A$140,'Données projet'!$B$140,CT108+CS109-DB108)))</f>
        <v>297.85888888888877</v>
      </c>
      <c r="CU109" s="17">
        <f>CT109*VLOOKUP('Données projet'!$B$13,Paramètres!$A$1:$I$89,3,0)*VLOOKUP('Données projet'!$B$13,Paramètres!$A$1:$I$89,5,0)</f>
        <v>143.2701255555555</v>
      </c>
      <c r="CV109" s="13">
        <f t="shared" si="95"/>
        <v>37.045135674556683</v>
      </c>
      <c r="CW109" s="20">
        <f t="shared" si="67"/>
        <v>314.04907997577868</v>
      </c>
      <c r="CX109" s="59">
        <f t="shared" si="68"/>
        <v>593.04089356390773</v>
      </c>
      <c r="CY109" s="59">
        <f ca="1">AVERAGE(OFFSET($CX$3,0,0,'Données projet'!$E$13+1,1))-AVERAGE(OFFSET($H$3,0,0,'Données projet'!$E$13+1,1))</f>
        <v>303.76035885073708</v>
      </c>
      <c r="CZ109" s="59">
        <f t="shared" si="96"/>
        <v>127.43112562890414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11.682290417569279</v>
      </c>
      <c r="DG109" s="21">
        <f>EXP(-LN(2)/25)*DG108+(1-EXP(-LN(2)/25))/(LN(2)/25)*Calculateur!DB109*Calculateur!DD109*VLOOKUP('Données projet'!$B$13,Paramètres!$A$1:$I$89,3,0)*0.475*44/12</f>
        <v>21.632236032284968</v>
      </c>
      <c r="DH109" s="21">
        <f>EXP(-LN(2)/2)*DH108+(1-EXP(-LN(2)/2))/(LN(2)/2)*DB109*DE109*VLOOKUP('Données projet'!$B$13,Paramètres!$A$1:$I$89,3,0)*0.475*44/12</f>
        <v>0.5707086214885102</v>
      </c>
      <c r="DI109" s="22">
        <f t="shared" si="69"/>
        <v>33.885235071342763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5.6843418860808015E-14</v>
      </c>
      <c r="DP109" s="17">
        <f>DO109*VLOOKUP('Données projet'!$B$14,Paramètres!$A$1:$I$89,3,0)*VLOOKUP('Données projet'!$B$14,Paramètres!$A$1:$I$89,5,0)</f>
        <v>3.2810021366458389E-14</v>
      </c>
      <c r="DQ109" s="13">
        <f t="shared" si="97"/>
        <v>5.6117125884464641E-13</v>
      </c>
      <c r="DR109" s="20">
        <f t="shared" si="70"/>
        <v>1.0345173963676741E-12</v>
      </c>
      <c r="DS109" s="59">
        <f t="shared" si="71"/>
        <v>278.99181358813013</v>
      </c>
      <c r="DT109" s="59">
        <f ca="1">AVERAGE(OFFSET($DS$3,0,0,'Données projet'!$E$14+1,1))-AVERAGE(OFFSET($H$3,0,0,'Données projet'!$E$14+1,1))</f>
        <v>243.65374431792841</v>
      </c>
      <c r="DU109" s="59">
        <f t="shared" si="98"/>
        <v>271.60754570002939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23.939531871317456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23.939531871317456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2.4</v>
      </c>
      <c r="EJ109" s="12">
        <f>IF('Données projet'!$A$192&gt;35,EJ108+EI109-ER108,IF(A109&lt;'Données projet'!$A$192,$EG$205^A109,IF(A109='Données projet'!$A$192,'Données projet'!$B$192,EJ108+EI109-ER108)))</f>
        <v>275.39999999999986</v>
      </c>
      <c r="EK109" s="17">
        <f>EJ109*VLOOKUP('Données projet'!$B$15,Paramètres!$A$1:$I$89,3,0)*VLOOKUP('Données projet'!$B$15,Paramètres!$A$1:$I$89,5,0)</f>
        <v>184.7383199999999</v>
      </c>
      <c r="EL109" s="13">
        <f t="shared" si="99"/>
        <v>46.374775595471988</v>
      </c>
      <c r="EM109" s="20">
        <f t="shared" si="73"/>
        <v>402.52197482878017</v>
      </c>
      <c r="EN109" s="59">
        <f t="shared" si="74"/>
        <v>681.51378841690928</v>
      </c>
      <c r="EO109" s="59">
        <f ca="1">AVERAGE(OFFSET($EN$3,0,0,'Données projet'!$E$15+1,1))-AVERAGE(OFFSET($H$3,0,0,'Données projet'!$E$15+1,1))</f>
        <v>321.44781099085594</v>
      </c>
      <c r="EP109" s="59">
        <f t="shared" si="100"/>
        <v>201.22243186578183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25.272984803204885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25.272984803204885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2.8421709430404007E-14</v>
      </c>
      <c r="FF109" s="17">
        <f>FE109*VLOOKUP('Données projet'!$B$16,Paramètres!$A$1:$I$89,3,0)*VLOOKUP('Données projet'!$B$16,Paramètres!$A$1:$I$89,5,0)</f>
        <v>2.4829205358400945E-14</v>
      </c>
      <c r="FG109" s="13">
        <f t="shared" si="101"/>
        <v>4.3867331143352915E-13</v>
      </c>
      <c r="FH109" s="20">
        <f t="shared" si="76"/>
        <v>8.0726688341261168E-13</v>
      </c>
      <c r="FI109" s="59">
        <f t="shared" si="77"/>
        <v>278.9918135881299</v>
      </c>
      <c r="FJ109" s="59">
        <f ca="1">AVERAGE(OFFSET($FI$3,0,0,'Données projet'!$E$16+1,1))-AVERAGE(OFFSET($H$3,0,0,'Données projet'!$E$16+1,1))</f>
        <v>285.8437404763045</v>
      </c>
      <c r="FK109" s="59">
        <f t="shared" si="102"/>
        <v>276.01618888357268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47.419364910680137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47.419364910680137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-1.7053025658242404E-13</v>
      </c>
      <c r="GA109" s="17">
        <f>FZ109*VLOOKUP('Données projet'!$B$17,Paramètres!$A$1:$I$89,3,0)*VLOOKUP('Données projet'!$B$17,Paramètres!$A$1:$I$89,5,0)</f>
        <v>-1.3567387213697657E-13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323.01113210765487</v>
      </c>
      <c r="GF109" s="59">
        <f t="shared" si="104"/>
        <v>311.68541696405975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54.435243108426576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54.435243108426576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2.8421709430404007E-14</v>
      </c>
      <c r="GV109" s="17">
        <f>GU109*VLOOKUP('Données projet'!$B$18,Paramètres!$A$1:$I$89,3,0)*VLOOKUP('Données projet'!$B$18,Paramètres!$A$1:$I$89,5,0)</f>
        <v>2.4829205358400945E-14</v>
      </c>
      <c r="GW109" s="13">
        <f t="shared" si="105"/>
        <v>4.3867331143352915E-13</v>
      </c>
      <c r="GX109" s="20">
        <f t="shared" si="82"/>
        <v>8.0726688341261168E-13</v>
      </c>
      <c r="GY109" s="59">
        <f t="shared" si="83"/>
        <v>278.9918135881299</v>
      </c>
      <c r="GZ109" s="59">
        <f ca="1">AVERAGE(OFFSET($GY$3,0,0,'Données projet'!$E$18+1,1))-AVERAGE(OFFSET($H$3,0,0,'Données projet'!$E$18+1,1))</f>
        <v>285.8437404763045</v>
      </c>
      <c r="HA109" s="59">
        <f t="shared" si="106"/>
        <v>276.01618888357268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47.419364910680137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47.419364910680137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3</v>
      </c>
      <c r="N110" s="13">
        <f>IF('Données projet'!$A$36&gt;35,N109+M110-V109,IF(A110&lt;'Données projet'!$A$36,$K$205^A110,IF(A110='Données projet'!$A$36,'Données projet'!$B$36,N109+M110-V109)))</f>
        <v>209.99999999999991</v>
      </c>
      <c r="O110" s="13">
        <f>N110*VLOOKUP('Données projet'!$B$9,Paramètres!$A$1:$I$89,3,0)*VLOOKUP('Données projet'!$B$9,Paramètres!$A$1:$I$89,5,0)</f>
        <v>190.00799999999992</v>
      </c>
      <c r="P110" s="13">
        <f t="shared" si="87"/>
        <v>47.541721533308163</v>
      </c>
      <c r="Q110" s="20">
        <f t="shared" si="107"/>
        <v>413.73243167051163</v>
      </c>
      <c r="R110" s="59">
        <f t="shared" si="55"/>
        <v>692.97303856338522</v>
      </c>
      <c r="S110" s="59">
        <f ca="1">AVERAGE(OFFSET($R$3,0,0,'Données projet'!$E$9+1,1))-AVERAGE(OFFSET($H$3,0,0,'Données projet'!$E$9+1,1))</f>
        <v>315.34103933739129</v>
      </c>
      <c r="T110" s="59">
        <f t="shared" si="88"/>
        <v>165.80901858372513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23.947015950303911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23.947015950303911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-3.4106051316484809E-13</v>
      </c>
      <c r="AJ110" s="13">
        <f>AI110*VLOOKUP('Données projet'!$B$10,Paramètres!$A$1:$I$89,3,0)*VLOOKUP('Données projet'!$B$10,Paramètres!$A$1:$I$89,5,0)</f>
        <v>-2.0395418687257919E-13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317.328615425664</v>
      </c>
      <c r="AO110" s="59">
        <f t="shared" si="90"/>
        <v>324.95872842255744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69.201642861533173</v>
      </c>
      <c r="AV110" s="21">
        <f>EXP(-LN(2)/25)*AV109+(1-EXP(-LN(2)/25))/(LN(2)/25)*Calculateur!AQ110*Calculateur!AS110*VLOOKUP('Données projet'!$B$10,Paramètres!$A$1:$I$89,3,0)*0.475*44/12</f>
        <v>9.1935513865086911</v>
      </c>
      <c r="AW110" s="21">
        <f>EXP(-LN(2)/2)*AW109+(1-EXP(-LN(2)/2))/(LN(2)/2)*AQ110*AT110*VLOOKUP('Données projet'!$B$10,Paramètres!$A$1:$I$89,3,0)*0.475*44/12</f>
        <v>2.2672698934154276E-6</v>
      </c>
      <c r="AX110" s="21">
        <f t="shared" si="60"/>
        <v>78.395196515311753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-5.6843418860808015E-14</v>
      </c>
      <c r="BE110" s="13">
        <f>BD110*VLOOKUP('Données projet'!$B$11,Paramètres!$A$1:$I$89,3,0)*VLOOKUP('Données projet'!$B$11,Paramètres!$A$1:$I$89,5,0)</f>
        <v>-6.5483618527650828E-14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418.31716673276725</v>
      </c>
      <c r="BJ110" s="59">
        <f t="shared" si="92"/>
        <v>472.37891533957929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53.989372179027043</v>
      </c>
      <c r="BQ110" s="21">
        <f>EXP(-LN(2)/25)*BQ109+(1-EXP(-LN(2)/25))/(LN(2)/25)*Calculateur!BL110*Calculateur!BN110*VLOOKUP('Données projet'!$B$11,Paramètres!$A$1:$I$89,3,0)*0.475*44/12</f>
        <v>8.3865016850652356</v>
      </c>
      <c r="BR110" s="21">
        <f>EXP(-LN(2)/2)*BR109+(1-EXP(-LN(2)/2))/(LN(2)/2)*BL110*BO110*VLOOKUP('Données projet'!$B$11,Paramètres!$A$1:$I$89,3,0)*0.475*44/12</f>
        <v>3.5165161635303341E-6</v>
      </c>
      <c r="BS110" s="22">
        <f t="shared" si="63"/>
        <v>62.375877380608443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1.1368683772161603E-13</v>
      </c>
      <c r="BZ110" s="13">
        <f>BY110*VLOOKUP('Données projet'!$B$12,Paramètres!$A$1:$I$89,3,0)*VLOOKUP('Données projet'!$B$12,Paramètres!$A$1:$I$89,5,0)</f>
        <v>6.6506800067145386E-14</v>
      </c>
      <c r="CA110" s="13">
        <f t="shared" si="93"/>
        <v>1.0476989505385114E-12</v>
      </c>
      <c r="CB110" s="20">
        <f t="shared" si="64"/>
        <v>1.9405750156381857E-12</v>
      </c>
      <c r="CC110" s="59">
        <f t="shared" si="65"/>
        <v>279.24060689287558</v>
      </c>
      <c r="CD110" s="59">
        <f ca="1">AVERAGE(OFFSET($CC$3,0,0,'Données projet'!$E$12+1,1))-AVERAGE(OFFSET($H$3,0,0,'Données projet'!$E$12+1,1))</f>
        <v>184.11352167663844</v>
      </c>
      <c r="CE110" s="59">
        <f t="shared" si="94"/>
        <v>145.86653500981791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39.248365954215984</v>
      </c>
      <c r="CL110" s="21">
        <f>EXP(-LN(2)/25)*CL109+(1-EXP(-LN(2)/25))/(LN(2)/25)*Calculateur!CG110*Calculateur!CI110*VLOOKUP('Données projet'!$B$12,Paramètres!$A$1:$I$89,3,0)*0.475*44/12</f>
        <v>13.306361724202553</v>
      </c>
      <c r="CM110" s="21">
        <f>EXP(-LN(2)/2)*CM109+(1-EXP(-LN(2)/2))/(LN(2)/2)*CG110*CJ110*VLOOKUP('Données projet'!$B$12,Paramètres!$A$1:$I$89,3,0)*0.475*44/12</f>
        <v>5.2177568887484933E-2</v>
      </c>
      <c r="CN110" s="22">
        <f t="shared" si="66"/>
        <v>52.606905247306024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>
        <f>VLOOKUP(A110,'Données projet'!$A$139:$I$159,2,0)</f>
        <v>303.07</v>
      </c>
      <c r="CR110" s="12">
        <f>VLOOKUP(A110,'Données projet'!$A$139:$I$159,9,0)</f>
        <v>5.2111111111111086</v>
      </c>
      <c r="CS110" s="12">
        <f t="array" ref="CS110">INDEX(CR:CR,MIN(IF(ISNUMBER(CR110:CR306),ROW(CR110:CR306),"")))</f>
        <v>5.2111111111111086</v>
      </c>
      <c r="CT110" s="12">
        <f>IF('Données projet'!$A$140&gt;35,CT109+CS110-DB109,IF(A110&lt;'Données projet'!$A$140,$CQ$205^A110,IF(A110='Données projet'!$A$140,'Données projet'!$B$140,CT109+CS110-DB109)))</f>
        <v>303.06999999999988</v>
      </c>
      <c r="CU110" s="17">
        <f>CT110*VLOOKUP('Données projet'!$B$13,Paramètres!$A$1:$I$89,3,0)*VLOOKUP('Données projet'!$B$13,Paramètres!$A$1:$I$89,5,0)</f>
        <v>145.77666999999994</v>
      </c>
      <c r="CV110" s="13">
        <f t="shared" si="95"/>
        <v>37.61722927125907</v>
      </c>
      <c r="CW110" s="20">
        <f t="shared" si="67"/>
        <v>319.41104123077611</v>
      </c>
      <c r="CX110" s="59">
        <f t="shared" si="68"/>
        <v>598.65164812364969</v>
      </c>
      <c r="CY110" s="59">
        <f ca="1">AVERAGE(OFFSET($CX$3,0,0,'Données projet'!$E$13+1,1))-AVERAGE(OFFSET($H$3,0,0,'Données projet'!$E$13+1,1))</f>
        <v>303.76035885073708</v>
      </c>
      <c r="CZ110" s="59">
        <f t="shared" si="96"/>
        <v>127.43112562890414</v>
      </c>
      <c r="DA110" s="15">
        <f>IF(ISNA(VLOOKUP(A110,'Données projet'!$A$139:$I$159,3,0)),0,VLOOKUP(A110,'Données projet'!$A$139:$I$159,3,0))</f>
        <v>11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0.22000000000000003</v>
      </c>
      <c r="DD110" s="16">
        <f>IF(ISNA(VLOOKUP(A110,'Données projet'!$A$139:$I$159,6,0)),0%,VLOOKUP(A110,'Données projet'!$A$139:$I$159,6,0)*VLOOKUP('Données projet'!$B$13,Paramètres!$A$1:$I$89,7,0))</f>
        <v>0.18700000000000003</v>
      </c>
      <c r="DE110" s="16">
        <f>IF(ISNA(VLOOKUP(A110,'Données projet'!$A$139:$I$159,7,0)),0%,VLOOKUP(A110,'Données projet'!$A$139:$I$159,7,0))</f>
        <v>0.26</v>
      </c>
      <c r="DF110" s="21">
        <f>EXP(-LN(2)/35)*DF109+(1-EXP(-LN(2)/35))/(LN(2)/35)*DB110*DC110*VLOOKUP('Données projet'!$B$13,Paramètres!$A$1:$I$89,3,0)*0.475*44/12</f>
        <v>11.453207827974316</v>
      </c>
      <c r="DG110" s="21">
        <f>EXP(-LN(2)/25)*DG109+(1-EXP(-LN(2)/25))/(LN(2)/25)*Calculateur!DB110*Calculateur!DD110*VLOOKUP('Données projet'!$B$13,Paramètres!$A$1:$I$89,3,0)*0.475*44/12</f>
        <v>21.040701400392283</v>
      </c>
      <c r="DH110" s="21">
        <f>EXP(-LN(2)/2)*DH109+(1-EXP(-LN(2)/2))/(LN(2)/2)*DB110*DE110*VLOOKUP('Données projet'!$B$13,Paramètres!$A$1:$I$89,3,0)*0.475*44/12</f>
        <v>0.40355193633615216</v>
      </c>
      <c r="DI110" s="22">
        <f t="shared" si="69"/>
        <v>32.897461164702747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5.6843418860808015E-14</v>
      </c>
      <c r="DP110" s="17">
        <f>DO110*VLOOKUP('Données projet'!$B$14,Paramètres!$A$1:$I$89,3,0)*VLOOKUP('Données projet'!$B$14,Paramètres!$A$1:$I$89,5,0)</f>
        <v>3.2810021366458389E-14</v>
      </c>
      <c r="DQ110" s="13">
        <f t="shared" si="97"/>
        <v>5.6117125884464641E-13</v>
      </c>
      <c r="DR110" s="20">
        <f t="shared" si="70"/>
        <v>1.0345173963676741E-12</v>
      </c>
      <c r="DS110" s="59">
        <f t="shared" si="71"/>
        <v>279.24060689287467</v>
      </c>
      <c r="DT110" s="59">
        <f ca="1">AVERAGE(OFFSET($DS$3,0,0,'Données projet'!$E$14+1,1))-AVERAGE(OFFSET($H$3,0,0,'Données projet'!$E$14+1,1))</f>
        <v>243.65374431792841</v>
      </c>
      <c r="DU110" s="59">
        <f t="shared" si="98"/>
        <v>271.60754570002939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23.470092252993567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23.470092252993567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2.4</v>
      </c>
      <c r="EJ110" s="12">
        <f>IF('Données projet'!$A$192&gt;35,EJ109+EI110-ER109,IF(A110&lt;'Données projet'!$A$192,$EG$205^A110,IF(A110='Données projet'!$A$192,'Données projet'!$B$192,EJ109+EI110-ER109)))</f>
        <v>277.79999999999984</v>
      </c>
      <c r="EK110" s="17">
        <f>EJ110*VLOOKUP('Données projet'!$B$15,Paramètres!$A$1:$I$89,3,0)*VLOOKUP('Données projet'!$B$15,Paramètres!$A$1:$I$89,5,0)</f>
        <v>186.34823999999992</v>
      </c>
      <c r="EL110" s="13">
        <f t="shared" si="99"/>
        <v>46.731690940362157</v>
      </c>
      <c r="EM110" s="20">
        <f t="shared" si="73"/>
        <v>405.94754638779727</v>
      </c>
      <c r="EN110" s="59">
        <f t="shared" si="74"/>
        <v>685.18815328067092</v>
      </c>
      <c r="EO110" s="59">
        <f ca="1">AVERAGE(OFFSET($EN$3,0,0,'Données projet'!$E$15+1,1))-AVERAGE(OFFSET($H$3,0,0,'Données projet'!$E$15+1,1))</f>
        <v>321.44781099085594</v>
      </c>
      <c r="EP110" s="59">
        <f t="shared" si="100"/>
        <v>201.22243186578183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24.777396986212661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24.777396986212661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2.8421709430404007E-14</v>
      </c>
      <c r="FF110" s="17">
        <f>FE110*VLOOKUP('Données projet'!$B$16,Paramètres!$A$1:$I$89,3,0)*VLOOKUP('Données projet'!$B$16,Paramètres!$A$1:$I$89,5,0)</f>
        <v>2.4829205358400945E-14</v>
      </c>
      <c r="FG110" s="13">
        <f t="shared" si="101"/>
        <v>4.3867331143352915E-13</v>
      </c>
      <c r="FH110" s="20">
        <f t="shared" si="76"/>
        <v>8.0726688341261168E-13</v>
      </c>
      <c r="FI110" s="59">
        <f t="shared" si="77"/>
        <v>279.24060689287444</v>
      </c>
      <c r="FJ110" s="59">
        <f ca="1">AVERAGE(OFFSET($FI$3,0,0,'Données projet'!$E$16+1,1))-AVERAGE(OFFSET($H$3,0,0,'Données projet'!$E$16+1,1))</f>
        <v>285.8437404763045</v>
      </c>
      <c r="FK110" s="59">
        <f t="shared" si="102"/>
        <v>276.01618888357268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46.489500087738392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46.489500087738392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-1.7053025658242404E-13</v>
      </c>
      <c r="GA110" s="17">
        <f>FZ110*VLOOKUP('Données projet'!$B$17,Paramètres!$A$1:$I$89,3,0)*VLOOKUP('Données projet'!$B$17,Paramètres!$A$1:$I$89,5,0)</f>
        <v>-1.3567387213697657E-13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323.01113210765487</v>
      </c>
      <c r="GF110" s="59">
        <f t="shared" si="104"/>
        <v>311.68541696405975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53.367801193290177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53.367801193290177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2.8421709430404007E-14</v>
      </c>
      <c r="GV110" s="17">
        <f>GU110*VLOOKUP('Données projet'!$B$18,Paramètres!$A$1:$I$89,3,0)*VLOOKUP('Données projet'!$B$18,Paramètres!$A$1:$I$89,5,0)</f>
        <v>2.4829205358400945E-14</v>
      </c>
      <c r="GW110" s="13">
        <f t="shared" si="105"/>
        <v>4.3867331143352915E-13</v>
      </c>
      <c r="GX110" s="20">
        <f t="shared" si="82"/>
        <v>8.0726688341261168E-13</v>
      </c>
      <c r="GY110" s="59">
        <f t="shared" si="83"/>
        <v>279.24060689287444</v>
      </c>
      <c r="GZ110" s="59">
        <f ca="1">AVERAGE(OFFSET($GY$3,0,0,'Données projet'!$E$18+1,1))-AVERAGE(OFFSET($H$3,0,0,'Données projet'!$E$18+1,1))</f>
        <v>285.8437404763045</v>
      </c>
      <c r="HA110" s="59">
        <f t="shared" si="106"/>
        <v>276.01618888357268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46.489500087738392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46.489500087738392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3</v>
      </c>
      <c r="N111" s="13">
        <f>IF('Données projet'!$A$36&gt;35,N110+M111-V110,IF(A111&lt;'Données projet'!$A$36,$K$205^A111,IF(A111='Données projet'!$A$36,'Données projet'!$B$36,N110+M111-V110)))</f>
        <v>212.99999999999991</v>
      </c>
      <c r="O111" s="13">
        <f>N111*VLOOKUP('Données projet'!$B$9,Paramètres!$A$1:$I$89,3,0)*VLOOKUP('Données projet'!$B$9,Paramètres!$A$1:$I$89,5,0)</f>
        <v>192.72239999999991</v>
      </c>
      <c r="P111" s="13">
        <f t="shared" si="87"/>
        <v>48.141337574630832</v>
      </c>
      <c r="Q111" s="20">
        <f t="shared" si="107"/>
        <v>419.50434294248186</v>
      </c>
      <c r="R111" s="59">
        <f t="shared" si="55"/>
        <v>698.98942713248118</v>
      </c>
      <c r="S111" s="59">
        <f ca="1">AVERAGE(OFFSET($R$3,0,0,'Données projet'!$E$9+1,1))-AVERAGE(OFFSET($H$3,0,0,'Données projet'!$E$9+1,1))</f>
        <v>315.34103933739129</v>
      </c>
      <c r="T111" s="59">
        <f t="shared" si="88"/>
        <v>165.80901858372513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23.477429573755934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23.477429573755934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-3.4106051316484809E-13</v>
      </c>
      <c r="AJ111" s="13">
        <f>AI111*VLOOKUP('Données projet'!$B$10,Paramètres!$A$1:$I$89,3,0)*VLOOKUP('Données projet'!$B$10,Paramètres!$A$1:$I$89,5,0)</f>
        <v>-2.0395418687257919E-13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317.328615425664</v>
      </c>
      <c r="AO111" s="59">
        <f t="shared" si="90"/>
        <v>324.95872842255744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67.84464085385288</v>
      </c>
      <c r="AV111" s="21">
        <f>EXP(-LN(2)/25)*AV110+(1-EXP(-LN(2)/25))/(LN(2)/25)*Calculateur!AQ111*Calculateur!AS111*VLOOKUP('Données projet'!$B$10,Paramètres!$A$1:$I$89,3,0)*0.475*44/12</f>
        <v>8.9421532403767561</v>
      </c>
      <c r="AW111" s="21">
        <f>EXP(-LN(2)/2)*AW110+(1-EXP(-LN(2)/2))/(LN(2)/2)*AQ111*AT111*VLOOKUP('Données projet'!$B$10,Paramètres!$A$1:$I$89,3,0)*0.475*44/12</f>
        <v>1.6032019164141497E-6</v>
      </c>
      <c r="AX111" s="21">
        <f t="shared" si="60"/>
        <v>76.786795697431558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-5.6843418860808015E-14</v>
      </c>
      <c r="BE111" s="13">
        <f>BD111*VLOOKUP('Données projet'!$B$11,Paramètres!$A$1:$I$89,3,0)*VLOOKUP('Données projet'!$B$11,Paramètres!$A$1:$I$89,5,0)</f>
        <v>-6.5483618527650828E-14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418.31716673276725</v>
      </c>
      <c r="BJ111" s="59">
        <f t="shared" si="92"/>
        <v>472.37891533957929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52.93067352086176</v>
      </c>
      <c r="BQ111" s="21">
        <f>EXP(-LN(2)/25)*BQ110+(1-EXP(-LN(2)/25))/(LN(2)/25)*Calculateur!BL111*Calculateur!BN111*VLOOKUP('Données projet'!$B$11,Paramètres!$A$1:$I$89,3,0)*0.475*44/12</f>
        <v>8.1571723554601707</v>
      </c>
      <c r="BR111" s="21">
        <f>EXP(-LN(2)/2)*BR110+(1-EXP(-LN(2)/2))/(LN(2)/2)*BL111*BO111*VLOOKUP('Données projet'!$B$11,Paramètres!$A$1:$I$89,3,0)*0.475*44/12</f>
        <v>2.4865524253844015E-6</v>
      </c>
      <c r="BS111" s="22">
        <f t="shared" si="63"/>
        <v>61.087848362874354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1.1368683772161603E-13</v>
      </c>
      <c r="BZ111" s="13">
        <f>BY111*VLOOKUP('Données projet'!$B$12,Paramètres!$A$1:$I$89,3,0)*VLOOKUP('Données projet'!$B$12,Paramètres!$A$1:$I$89,5,0)</f>
        <v>6.6506800067145386E-14</v>
      </c>
      <c r="CA111" s="13">
        <f t="shared" si="93"/>
        <v>1.0476989505385114E-12</v>
      </c>
      <c r="CB111" s="20">
        <f t="shared" si="64"/>
        <v>1.9405750156381857E-12</v>
      </c>
      <c r="CC111" s="59">
        <f t="shared" si="65"/>
        <v>279.48508419000126</v>
      </c>
      <c r="CD111" s="59">
        <f ca="1">AVERAGE(OFFSET($CC$3,0,0,'Données projet'!$E$12+1,1))-AVERAGE(OFFSET($H$3,0,0,'Données projet'!$E$12+1,1))</f>
        <v>184.11352167663844</v>
      </c>
      <c r="CE111" s="59">
        <f t="shared" si="94"/>
        <v>145.86653500981791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38.478729436993248</v>
      </c>
      <c r="CL111" s="21">
        <f>EXP(-LN(2)/25)*CL110+(1-EXP(-LN(2)/25))/(LN(2)/25)*Calculateur!CG111*Calculateur!CI111*VLOOKUP('Données projet'!$B$12,Paramètres!$A$1:$I$89,3,0)*0.475*44/12</f>
        <v>12.942498563103083</v>
      </c>
      <c r="CM111" s="21">
        <f>EXP(-LN(2)/2)*CM110+(1-EXP(-LN(2)/2))/(LN(2)/2)*CG111*CJ111*VLOOKUP('Données projet'!$B$12,Paramètres!$A$1:$I$89,3,0)*0.475*44/12</f>
        <v>3.6895112786168818E-2</v>
      </c>
      <c r="CN111" s="22">
        <f t="shared" si="66"/>
        <v>51.458123112882504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5.0500000000000043</v>
      </c>
      <c r="CT111" s="12">
        <f>IF('Données projet'!$A$140&gt;35,CT110+CS111-DB110,IF(A111&lt;'Données projet'!$A$140,$CQ$205^A111,IF(A111='Données projet'!$A$140,'Données projet'!$B$140,CT110+CS111-DB110)))</f>
        <v>308.11999999999989</v>
      </c>
      <c r="CU111" s="17">
        <f>CT111*VLOOKUP('Données projet'!$B$13,Paramètres!$A$1:$I$89,3,0)*VLOOKUP('Données projet'!$B$13,Paramètres!$A$1:$I$89,5,0)</f>
        <v>148.20571999999996</v>
      </c>
      <c r="CV111" s="13">
        <f t="shared" si="95"/>
        <v>38.17054390840606</v>
      </c>
      <c r="CW111" s="20">
        <f t="shared" si="67"/>
        <v>324.6053263071405</v>
      </c>
      <c r="CX111" s="59">
        <f t="shared" si="68"/>
        <v>604.09041049713983</v>
      </c>
      <c r="CY111" s="59">
        <f ca="1">AVERAGE(OFFSET($CX$3,0,0,'Données projet'!$E$13+1,1))-AVERAGE(OFFSET($H$3,0,0,'Données projet'!$E$13+1,1))</f>
        <v>303.76035885073708</v>
      </c>
      <c r="CZ111" s="59">
        <f t="shared" si="96"/>
        <v>127.43112562890414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11.228617408234728</v>
      </c>
      <c r="DG111" s="21">
        <f>EXP(-LN(2)/25)*DG110+(1-EXP(-LN(2)/25))/(LN(2)/25)*Calculateur!DB111*Calculateur!DD111*VLOOKUP('Données projet'!$B$13,Paramètres!$A$1:$I$89,3,0)*0.475*44/12</f>
        <v>20.46534231411616</v>
      </c>
      <c r="DH111" s="21">
        <f>EXP(-LN(2)/2)*DH110+(1-EXP(-LN(2)/2))/(LN(2)/2)*DB111*DE111*VLOOKUP('Données projet'!$B$13,Paramètres!$A$1:$I$89,3,0)*0.475*44/12</f>
        <v>0.2853543107442551</v>
      </c>
      <c r="DI111" s="22">
        <f t="shared" si="69"/>
        <v>31.979314033095143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5.6843418860808015E-14</v>
      </c>
      <c r="DP111" s="17">
        <f>DO111*VLOOKUP('Données projet'!$B$14,Paramètres!$A$1:$I$89,3,0)*VLOOKUP('Données projet'!$B$14,Paramètres!$A$1:$I$89,5,0)</f>
        <v>3.2810021366458389E-14</v>
      </c>
      <c r="DQ111" s="13">
        <f t="shared" si="97"/>
        <v>5.6117125884464641E-13</v>
      </c>
      <c r="DR111" s="20">
        <f t="shared" si="70"/>
        <v>1.0345173963676741E-12</v>
      </c>
      <c r="DS111" s="59">
        <f t="shared" si="71"/>
        <v>279.48508419000035</v>
      </c>
      <c r="DT111" s="59">
        <f ca="1">AVERAGE(OFFSET($DS$3,0,0,'Données projet'!$E$14+1,1))-AVERAGE(OFFSET($H$3,0,0,'Données projet'!$E$14+1,1))</f>
        <v>243.65374431792841</v>
      </c>
      <c r="DU111" s="59">
        <f t="shared" si="98"/>
        <v>271.60754570002939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23.009858059255116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23.009858059255116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2.4</v>
      </c>
      <c r="EJ111" s="12">
        <f>IF('Données projet'!$A$192&gt;35,EJ110+EI111-ER110,IF(A111&lt;'Données projet'!$A$192,$EG$205^A111,IF(A111='Données projet'!$A$192,'Données projet'!$B$192,EJ110+EI111-ER110)))</f>
        <v>280.19999999999982</v>
      </c>
      <c r="EK111" s="17">
        <f>EJ111*VLOOKUP('Données projet'!$B$15,Paramètres!$A$1:$I$89,3,0)*VLOOKUP('Données projet'!$B$15,Paramètres!$A$1:$I$89,5,0)</f>
        <v>187.95815999999988</v>
      </c>
      <c r="EL111" s="13">
        <f t="shared" si="99"/>
        <v>47.088247541318218</v>
      </c>
      <c r="EM111" s="20">
        <f t="shared" si="73"/>
        <v>409.37249313446233</v>
      </c>
      <c r="EN111" s="59">
        <f t="shared" si="74"/>
        <v>688.85757732446166</v>
      </c>
      <c r="EO111" s="59">
        <f ca="1">AVERAGE(OFFSET($EN$3,0,0,'Données projet'!$E$15+1,1))-AVERAGE(OFFSET($H$3,0,0,'Données projet'!$E$15+1,1))</f>
        <v>321.44781099085594</v>
      </c>
      <c r="EP111" s="59">
        <f t="shared" si="100"/>
        <v>201.22243186578183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24.291527344032936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24.291527344032936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2.8421709430404007E-14</v>
      </c>
      <c r="FF111" s="17">
        <f>FE111*VLOOKUP('Données projet'!$B$16,Paramètres!$A$1:$I$89,3,0)*VLOOKUP('Données projet'!$B$16,Paramètres!$A$1:$I$89,5,0)</f>
        <v>2.4829205358400945E-14</v>
      </c>
      <c r="FG111" s="13">
        <f t="shared" si="101"/>
        <v>4.3867331143352915E-13</v>
      </c>
      <c r="FH111" s="20">
        <f t="shared" si="76"/>
        <v>8.0726688341261168E-13</v>
      </c>
      <c r="FI111" s="59">
        <f t="shared" si="77"/>
        <v>279.48508419000012</v>
      </c>
      <c r="FJ111" s="59">
        <f ca="1">AVERAGE(OFFSET($FI$3,0,0,'Données projet'!$E$16+1,1))-AVERAGE(OFFSET($H$3,0,0,'Données projet'!$E$16+1,1))</f>
        <v>285.8437404763045</v>
      </c>
      <c r="FK111" s="59">
        <f t="shared" si="102"/>
        <v>276.01618888357268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45.577869346812996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45.577869346812996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-1.7053025658242404E-13</v>
      </c>
      <c r="GA111" s="17">
        <f>FZ111*VLOOKUP('Données projet'!$B$17,Paramètres!$A$1:$I$89,3,0)*VLOOKUP('Données projet'!$B$17,Paramètres!$A$1:$I$89,5,0)</f>
        <v>-1.3567387213697657E-13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323.01113210765487</v>
      </c>
      <c r="GF111" s="59">
        <f t="shared" si="104"/>
        <v>311.68541696405975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52.321291163034324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52.321291163034324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2.8421709430404007E-14</v>
      </c>
      <c r="GV111" s="17">
        <f>GU111*VLOOKUP('Données projet'!$B$18,Paramètres!$A$1:$I$89,3,0)*VLOOKUP('Données projet'!$B$18,Paramètres!$A$1:$I$89,5,0)</f>
        <v>2.4829205358400945E-14</v>
      </c>
      <c r="GW111" s="13">
        <f t="shared" si="105"/>
        <v>4.3867331143352915E-13</v>
      </c>
      <c r="GX111" s="20">
        <f t="shared" si="82"/>
        <v>8.0726688341261168E-13</v>
      </c>
      <c r="GY111" s="59">
        <f t="shared" si="83"/>
        <v>279.48508419000012</v>
      </c>
      <c r="GZ111" s="59">
        <f ca="1">AVERAGE(OFFSET($GY$3,0,0,'Données projet'!$E$18+1,1))-AVERAGE(OFFSET($H$3,0,0,'Données projet'!$E$18+1,1))</f>
        <v>285.8437404763045</v>
      </c>
      <c r="HA111" s="59">
        <f t="shared" si="106"/>
        <v>276.01618888357268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45.577869346812996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45.577869346812996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3</v>
      </c>
      <c r="N112" s="13">
        <f>IF('Données projet'!$A$36&gt;35,N111+M112-V111,IF(A112&lt;'Données projet'!$A$36,$K$205^A112,IF(A112='Données projet'!$A$36,'Données projet'!$B$36,N111+M112-V111)))</f>
        <v>215.99999999999991</v>
      </c>
      <c r="O112" s="13">
        <f>N112*VLOOKUP('Données projet'!$B$9,Paramètres!$A$1:$I$89,3,0)*VLOOKUP('Données projet'!$B$9,Paramètres!$A$1:$I$89,5,0)</f>
        <v>195.43679999999992</v>
      </c>
      <c r="P112" s="13">
        <f t="shared" si="87"/>
        <v>48.739971354487849</v>
      </c>
      <c r="Q112" s="20">
        <f t="shared" si="107"/>
        <v>425.27454344239953</v>
      </c>
      <c r="R112" s="59">
        <f t="shared" si="55"/>
        <v>704.99986379498887</v>
      </c>
      <c r="S112" s="59">
        <f ca="1">AVERAGE(OFFSET($R$3,0,0,'Données projet'!$E$9+1,1))-AVERAGE(OFFSET($H$3,0,0,'Données projet'!$E$9+1,1))</f>
        <v>315.34103933739129</v>
      </c>
      <c r="T112" s="59">
        <f t="shared" si="88"/>
        <v>165.80901858372513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23.017051499632657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23.017051499632657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-3.4106051316484809E-13</v>
      </c>
      <c r="AJ112" s="13">
        <f>AI112*VLOOKUP('Données projet'!$B$10,Paramètres!$A$1:$I$89,3,0)*VLOOKUP('Données projet'!$B$10,Paramètres!$A$1:$I$89,5,0)</f>
        <v>-2.0395418687257919E-13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317.328615425664</v>
      </c>
      <c r="AO112" s="59">
        <f t="shared" si="90"/>
        <v>324.95872842255744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66.514248827853692</v>
      </c>
      <c r="AV112" s="21">
        <f>EXP(-LN(2)/25)*AV111+(1-EXP(-LN(2)/25))/(LN(2)/25)*Calculateur!AQ112*Calculateur!AS112*VLOOKUP('Données projet'!$B$10,Paramètres!$A$1:$I$89,3,0)*0.475*44/12</f>
        <v>8.6976295897712532</v>
      </c>
      <c r="AW112" s="21">
        <f>EXP(-LN(2)/2)*AW111+(1-EXP(-LN(2)/2))/(LN(2)/2)*AQ112*AT112*VLOOKUP('Données projet'!$B$10,Paramètres!$A$1:$I$89,3,0)*0.475*44/12</f>
        <v>1.1336349467077138E-6</v>
      </c>
      <c r="AX112" s="21">
        <f t="shared" si="60"/>
        <v>75.211879551259898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-5.6843418860808015E-14</v>
      </c>
      <c r="BE112" s="13">
        <f>BD112*VLOOKUP('Données projet'!$B$11,Paramètres!$A$1:$I$89,3,0)*VLOOKUP('Données projet'!$B$11,Paramètres!$A$1:$I$89,5,0)</f>
        <v>-6.5483618527650828E-14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418.31716673276725</v>
      </c>
      <c r="BJ112" s="59">
        <f t="shared" si="92"/>
        <v>472.37891533957929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51.892735297640677</v>
      </c>
      <c r="BQ112" s="21">
        <f>EXP(-LN(2)/25)*BQ111+(1-EXP(-LN(2)/25))/(LN(2)/25)*Calculateur!BL112*Calculateur!BN112*VLOOKUP('Données projet'!$B$11,Paramètres!$A$1:$I$89,3,0)*0.475*44/12</f>
        <v>7.9341140484330612</v>
      </c>
      <c r="BR112" s="21">
        <f>EXP(-LN(2)/2)*BR111+(1-EXP(-LN(2)/2))/(LN(2)/2)*BL112*BO112*VLOOKUP('Données projet'!$B$11,Paramètres!$A$1:$I$89,3,0)*0.475*44/12</f>
        <v>1.7582580817651671E-6</v>
      </c>
      <c r="BS112" s="22">
        <f t="shared" si="63"/>
        <v>59.826851104331816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1.1368683772161603E-13</v>
      </c>
      <c r="BZ112" s="13">
        <f>BY112*VLOOKUP('Données projet'!$B$12,Paramètres!$A$1:$I$89,3,0)*VLOOKUP('Données projet'!$B$12,Paramètres!$A$1:$I$89,5,0)</f>
        <v>6.6506800067145386E-14</v>
      </c>
      <c r="CA112" s="13">
        <f t="shared" si="93"/>
        <v>1.0476989505385114E-12</v>
      </c>
      <c r="CB112" s="20">
        <f t="shared" si="64"/>
        <v>1.9405750156381857E-12</v>
      </c>
      <c r="CC112" s="59">
        <f t="shared" si="65"/>
        <v>279.72532035259121</v>
      </c>
      <c r="CD112" s="59">
        <f ca="1">AVERAGE(OFFSET($CC$3,0,0,'Données projet'!$E$12+1,1))-AVERAGE(OFFSET($H$3,0,0,'Données projet'!$E$12+1,1))</f>
        <v>184.11352167663844</v>
      </c>
      <c r="CE112" s="59">
        <f t="shared" si="94"/>
        <v>145.86653500981791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37.724185022441326</v>
      </c>
      <c r="CL112" s="21">
        <f>EXP(-LN(2)/25)*CL111+(1-EXP(-LN(2)/25))/(LN(2)/25)*Calculateur!CG112*Calculateur!CI112*VLOOKUP('Données projet'!$B$12,Paramètres!$A$1:$I$89,3,0)*0.475*44/12</f>
        <v>12.588585259278609</v>
      </c>
      <c r="CM112" s="21">
        <f>EXP(-LN(2)/2)*CM111+(1-EXP(-LN(2)/2))/(LN(2)/2)*CG112*CJ112*VLOOKUP('Données projet'!$B$12,Paramètres!$A$1:$I$89,3,0)*0.475*44/12</f>
        <v>2.6088784443742467E-2</v>
      </c>
      <c r="CN112" s="22">
        <f t="shared" si="66"/>
        <v>50.338859066163678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5.0500000000000043</v>
      </c>
      <c r="CT112" s="12">
        <f>IF('Données projet'!$A$140&gt;35,CT111+CS112-DB111,IF(A112&lt;'Données projet'!$A$140,$CQ$205^A112,IF(A112='Données projet'!$A$140,'Données projet'!$B$140,CT111+CS112-DB111)))</f>
        <v>313.1699999999999</v>
      </c>
      <c r="CU112" s="17">
        <f>CT112*VLOOKUP('Données projet'!$B$13,Paramètres!$A$1:$I$89,3,0)*VLOOKUP('Données projet'!$B$13,Paramètres!$A$1:$I$89,5,0)</f>
        <v>150.63476999999995</v>
      </c>
      <c r="CV112" s="13">
        <f t="shared" si="95"/>
        <v>38.722803908596092</v>
      </c>
      <c r="CW112" s="20">
        <f t="shared" si="67"/>
        <v>329.79777455747143</v>
      </c>
      <c r="CX112" s="59">
        <f t="shared" si="68"/>
        <v>609.52309491006076</v>
      </c>
      <c r="CY112" s="59">
        <f ca="1">AVERAGE(OFFSET($CX$3,0,0,'Données projet'!$E$13+1,1))-AVERAGE(OFFSET($H$3,0,0,'Données projet'!$E$13+1,1))</f>
        <v>303.76035885073708</v>
      </c>
      <c r="CZ112" s="59">
        <f t="shared" si="96"/>
        <v>127.43112562890414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11.008431069639602</v>
      </c>
      <c r="DG112" s="21">
        <f>EXP(-LN(2)/25)*DG111+(1-EXP(-LN(2)/25))/(LN(2)/25)*Calculateur!DB112*Calculateur!DD112*VLOOKUP('Données projet'!$B$13,Paramètres!$A$1:$I$89,3,0)*0.475*44/12</f>
        <v>19.905716452311076</v>
      </c>
      <c r="DH112" s="21">
        <f>EXP(-LN(2)/2)*DH111+(1-EXP(-LN(2)/2))/(LN(2)/2)*DB112*DE112*VLOOKUP('Données projet'!$B$13,Paramètres!$A$1:$I$89,3,0)*0.475*44/12</f>
        <v>0.20177596816807608</v>
      </c>
      <c r="DI112" s="22">
        <f t="shared" si="69"/>
        <v>31.115923490118753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5.6843418860808015E-14</v>
      </c>
      <c r="DP112" s="17">
        <f>DO112*VLOOKUP('Données projet'!$B$14,Paramètres!$A$1:$I$89,3,0)*VLOOKUP('Données projet'!$B$14,Paramètres!$A$1:$I$89,5,0)</f>
        <v>3.2810021366458389E-14</v>
      </c>
      <c r="DQ112" s="13">
        <f t="shared" si="97"/>
        <v>5.6117125884464641E-13</v>
      </c>
      <c r="DR112" s="20">
        <f t="shared" si="70"/>
        <v>1.0345173963676741E-12</v>
      </c>
      <c r="DS112" s="59">
        <f t="shared" si="71"/>
        <v>279.7253203525903</v>
      </c>
      <c r="DT112" s="59">
        <f ca="1">AVERAGE(OFFSET($DS$3,0,0,'Données projet'!$E$14+1,1))-AVERAGE(OFFSET($H$3,0,0,'Données projet'!$E$14+1,1))</f>
        <v>243.65374431792841</v>
      </c>
      <c r="DU112" s="59">
        <f t="shared" si="98"/>
        <v>271.60754570002939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22.558648777340736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22.558648777340736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2.4</v>
      </c>
      <c r="EJ112" s="12">
        <f>IF('Données projet'!$A$192&gt;35,EJ111+EI112-ER111,IF(A112&lt;'Données projet'!$A$192,$EG$205^A112,IF(A112='Données projet'!$A$192,'Données projet'!$B$192,EJ111+EI112-ER111)))</f>
        <v>282.5999999999998</v>
      </c>
      <c r="EK112" s="17">
        <f>EJ112*VLOOKUP('Données projet'!$B$15,Paramètres!$A$1:$I$89,3,0)*VLOOKUP('Données projet'!$B$15,Paramètres!$A$1:$I$89,5,0)</f>
        <v>189.56807999999987</v>
      </c>
      <c r="EL112" s="13">
        <f t="shared" si="99"/>
        <v>47.444448827136569</v>
      </c>
      <c r="EM112" s="20">
        <f t="shared" si="73"/>
        <v>412.79682104059594</v>
      </c>
      <c r="EN112" s="59">
        <f t="shared" si="74"/>
        <v>692.52214139318517</v>
      </c>
      <c r="EO112" s="59">
        <f ca="1">AVERAGE(OFFSET($EN$3,0,0,'Données projet'!$E$15+1,1))-AVERAGE(OFFSET($H$3,0,0,'Données projet'!$E$15+1,1))</f>
        <v>321.44781099085594</v>
      </c>
      <c r="EP112" s="59">
        <f t="shared" si="100"/>
        <v>201.22243186578183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23.815185309185136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23.815185309185136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2.8421709430404007E-14</v>
      </c>
      <c r="FF112" s="17">
        <f>FE112*VLOOKUP('Données projet'!$B$16,Paramètres!$A$1:$I$89,3,0)*VLOOKUP('Données projet'!$B$16,Paramètres!$A$1:$I$89,5,0)</f>
        <v>2.4829205358400945E-14</v>
      </c>
      <c r="FG112" s="13">
        <f t="shared" si="101"/>
        <v>4.3867331143352915E-13</v>
      </c>
      <c r="FH112" s="20">
        <f t="shared" si="76"/>
        <v>8.0726688341261168E-13</v>
      </c>
      <c r="FI112" s="59">
        <f t="shared" si="77"/>
        <v>279.72532035259007</v>
      </c>
      <c r="FJ112" s="59">
        <f ca="1">AVERAGE(OFFSET($FI$3,0,0,'Données projet'!$E$16+1,1))-AVERAGE(OFFSET($H$3,0,0,'Données projet'!$E$16+1,1))</f>
        <v>285.8437404763045</v>
      </c>
      <c r="FK112" s="59">
        <f t="shared" si="102"/>
        <v>276.01618888357268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44.684115128677298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44.684115128677298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-1.7053025658242404E-13</v>
      </c>
      <c r="GA112" s="17">
        <f>FZ112*VLOOKUP('Données projet'!$B$17,Paramètres!$A$1:$I$89,3,0)*VLOOKUP('Données projet'!$B$17,Paramètres!$A$1:$I$89,5,0)</f>
        <v>-1.3567387213697657E-13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323.01113210765487</v>
      </c>
      <c r="GF112" s="59">
        <f t="shared" si="104"/>
        <v>311.68541696405975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51.295302556163698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51.295302556163698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2.8421709430404007E-14</v>
      </c>
      <c r="GV112" s="17">
        <f>GU112*VLOOKUP('Données projet'!$B$18,Paramètres!$A$1:$I$89,3,0)*VLOOKUP('Données projet'!$B$18,Paramètres!$A$1:$I$89,5,0)</f>
        <v>2.4829205358400945E-14</v>
      </c>
      <c r="GW112" s="13">
        <f t="shared" si="105"/>
        <v>4.3867331143352915E-13</v>
      </c>
      <c r="GX112" s="20">
        <f t="shared" si="82"/>
        <v>8.0726688341261168E-13</v>
      </c>
      <c r="GY112" s="59">
        <f t="shared" si="83"/>
        <v>279.72532035259007</v>
      </c>
      <c r="GZ112" s="59">
        <f ca="1">AVERAGE(OFFSET($GY$3,0,0,'Données projet'!$E$18+1,1))-AVERAGE(OFFSET($H$3,0,0,'Données projet'!$E$18+1,1))</f>
        <v>285.8437404763045</v>
      </c>
      <c r="HA112" s="59">
        <f t="shared" si="106"/>
        <v>276.01618888357268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44.684115128677298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44.684115128677298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219</v>
      </c>
      <c r="L113" s="12">
        <f>VLOOKUP(A113,'Données projet'!$A$35:$I$55,9,0)</f>
        <v>3</v>
      </c>
      <c r="M113" s="12">
        <f t="array" ref="M113">INDEX(L:L,MIN(IF(ISNUMBER(L113:L309),ROW(L113:L309),"")))</f>
        <v>3</v>
      </c>
      <c r="N113" s="13">
        <f>IF('Données projet'!$A$36&gt;35,N112+M113-V112,IF(A113&lt;'Données projet'!$A$36,$K$205^A113,IF(A113='Données projet'!$A$36,'Données projet'!$B$36,N112+M113-V112)))</f>
        <v>218.99999999999991</v>
      </c>
      <c r="O113" s="13">
        <f>N113*VLOOKUP('Données projet'!$B$9,Paramètres!$A$1:$I$89,3,0)*VLOOKUP('Données projet'!$B$9,Paramètres!$A$1:$I$89,5,0)</f>
        <v>198.1511999999999</v>
      </c>
      <c r="P113" s="13">
        <f t="shared" si="87"/>
        <v>49.337638092068914</v>
      </c>
      <c r="Q113" s="20">
        <f t="shared" si="107"/>
        <v>431.04305967701981</v>
      </c>
      <c r="R113" s="59">
        <f t="shared" si="55"/>
        <v>711.00444863186567</v>
      </c>
      <c r="S113" s="59">
        <f ca="1">AVERAGE(OFFSET($R$3,0,0,'Données projet'!$E$9+1,1))-AVERAGE(OFFSET($H$3,0,0,'Données projet'!$E$9+1,1))</f>
        <v>315.34103933739129</v>
      </c>
      <c r="T113" s="59">
        <f t="shared" si="88"/>
        <v>165.80901858372513</v>
      </c>
      <c r="U113" s="15">
        <f>IF(ISNA(VLOOKUP(A113,'Données projet'!$A$35:$I$55,3,0)),0,VLOOKUP(A113,'Données projet'!$A$35:$I$55,3,0))</f>
        <v>18</v>
      </c>
      <c r="V113" s="15">
        <f>IF(ISNA(VLOOKUP(A113,'Données projet'!$A$35:$I$55,4,0)),0,VLOOKUP(A113,'Données projet'!$A$35:$I$55,4,0))</f>
        <v>13</v>
      </c>
      <c r="W113" s="16">
        <f>IF(ISNA(VLOOKUP(A113,'Données projet'!$A$35:$I$55,5,0)),0%,VLOOKUP(A113,'Données projet'!$A$35:$I$55,5,0)*VLOOKUP('Données projet'!$B$9,Paramètres!$A$1:$I$89,7,0))</f>
        <v>0.30099999999999999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26.479599581197768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26.479599581197768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-3.4106051316484809E-13</v>
      </c>
      <c r="AJ113" s="13">
        <f>AI113*VLOOKUP('Données projet'!$B$10,Paramètres!$A$1:$I$89,3,0)*VLOOKUP('Données projet'!$B$10,Paramètres!$A$1:$I$89,5,0)</f>
        <v>-2.0395418687257919E-13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317.328615425664</v>
      </c>
      <c r="AO113" s="59">
        <f t="shared" si="90"/>
        <v>324.95872842255744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65.209944978025348</v>
      </c>
      <c r="AV113" s="21">
        <f>EXP(-LN(2)/25)*AV112+(1-EXP(-LN(2)/25))/(LN(2)/25)*Calculateur!AQ113*Calculateur!AS113*VLOOKUP('Données projet'!$B$10,Paramètres!$A$1:$I$89,3,0)*0.475*44/12</f>
        <v>8.4597924512504967</v>
      </c>
      <c r="AW113" s="21">
        <f>EXP(-LN(2)/2)*AW112+(1-EXP(-LN(2)/2))/(LN(2)/2)*AQ113*AT113*VLOOKUP('Données projet'!$B$10,Paramètres!$A$1:$I$89,3,0)*0.475*44/12</f>
        <v>8.0160095820707485E-7</v>
      </c>
      <c r="AX113" s="21">
        <f t="shared" si="60"/>
        <v>73.669738230876803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-5.6843418860808015E-14</v>
      </c>
      <c r="BE113" s="13">
        <f>BD113*VLOOKUP('Données projet'!$B$11,Paramètres!$A$1:$I$89,3,0)*VLOOKUP('Données projet'!$B$11,Paramètres!$A$1:$I$89,5,0)</f>
        <v>-6.5483618527650828E-14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418.31716673276725</v>
      </c>
      <c r="BJ113" s="59">
        <f t="shared" si="92"/>
        <v>472.37891533957929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50.875150409897152</v>
      </c>
      <c r="BQ113" s="21">
        <f>EXP(-LN(2)/25)*BQ112+(1-EXP(-LN(2)/25))/(LN(2)/25)*Calculateur!BL113*Calculateur!BN113*VLOOKUP('Données projet'!$B$11,Paramètres!$A$1:$I$89,3,0)*0.475*44/12</f>
        <v>7.7171552825417349</v>
      </c>
      <c r="BR113" s="21">
        <f>EXP(-LN(2)/2)*BR112+(1-EXP(-LN(2)/2))/(LN(2)/2)*BL113*BO113*VLOOKUP('Données projet'!$B$11,Paramètres!$A$1:$I$89,3,0)*0.475*44/12</f>
        <v>1.2432762126922007E-6</v>
      </c>
      <c r="BS113" s="22">
        <f t="shared" si="63"/>
        <v>58.592306935715101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1.1368683772161603E-13</v>
      </c>
      <c r="BZ113" s="13">
        <f>BY113*VLOOKUP('Données projet'!$B$12,Paramètres!$A$1:$I$89,3,0)*VLOOKUP('Données projet'!$B$12,Paramètres!$A$1:$I$89,5,0)</f>
        <v>6.6506800067145386E-14</v>
      </c>
      <c r="CA113" s="13">
        <f t="shared" si="93"/>
        <v>1.0476989505385114E-12</v>
      </c>
      <c r="CB113" s="20">
        <f t="shared" si="64"/>
        <v>1.9405750156381857E-12</v>
      </c>
      <c r="CC113" s="59">
        <f t="shared" si="65"/>
        <v>279.96138895484779</v>
      </c>
      <c r="CD113" s="59">
        <f ca="1">AVERAGE(OFFSET($CC$3,0,0,'Données projet'!$E$12+1,1))-AVERAGE(OFFSET($H$3,0,0,'Données projet'!$E$12+1,1))</f>
        <v>184.11352167663844</v>
      </c>
      <c r="CE113" s="59">
        <f t="shared" si="94"/>
        <v>145.86653500981791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36.984436763632118</v>
      </c>
      <c r="CL113" s="21">
        <f>EXP(-LN(2)/25)*CL112+(1-EXP(-LN(2)/25))/(LN(2)/25)*Calculateur!CG113*Calculateur!CI113*VLOOKUP('Données projet'!$B$12,Paramètres!$A$1:$I$89,3,0)*0.475*44/12</f>
        <v>12.244349733358709</v>
      </c>
      <c r="CM113" s="21">
        <f>EXP(-LN(2)/2)*CM112+(1-EXP(-LN(2)/2))/(LN(2)/2)*CG113*CJ113*VLOOKUP('Données projet'!$B$12,Paramètres!$A$1:$I$89,3,0)*0.475*44/12</f>
        <v>1.8447556393084409E-2</v>
      </c>
      <c r="CN113" s="22">
        <f t="shared" si="66"/>
        <v>49.247234053383913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5.0500000000000043</v>
      </c>
      <c r="CT113" s="12">
        <f>IF('Données projet'!$A$140&gt;35,CT112+CS113-DB112,IF(A113&lt;'Données projet'!$A$140,$CQ$205^A113,IF(A113='Données projet'!$A$140,'Données projet'!$B$140,CT112+CS113-DB112)))</f>
        <v>318.21999999999991</v>
      </c>
      <c r="CU113" s="17">
        <f>CT113*VLOOKUP('Données projet'!$B$13,Paramètres!$A$1:$I$89,3,0)*VLOOKUP('Données projet'!$B$13,Paramètres!$A$1:$I$89,5,0)</f>
        <v>153.06381999999996</v>
      </c>
      <c r="CV113" s="13">
        <f t="shared" si="95"/>
        <v>39.27402824170273</v>
      </c>
      <c r="CW113" s="20">
        <f t="shared" si="67"/>
        <v>334.98841902096547</v>
      </c>
      <c r="CX113" s="59">
        <f t="shared" si="68"/>
        <v>614.94980797581138</v>
      </c>
      <c r="CY113" s="59">
        <f ca="1">AVERAGE(OFFSET($CX$3,0,0,'Données projet'!$E$13+1,1))-AVERAGE(OFFSET($H$3,0,0,'Données projet'!$E$13+1,1))</f>
        <v>303.76035885073708</v>
      </c>
      <c r="CZ113" s="59">
        <f t="shared" si="96"/>
        <v>127.43112562890414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10.792562450843922</v>
      </c>
      <c r="DG113" s="21">
        <f>EXP(-LN(2)/25)*DG112+(1-EXP(-LN(2)/25))/(LN(2)/25)*Calculateur!DB113*Calculateur!DD113*VLOOKUP('Données projet'!$B$13,Paramètres!$A$1:$I$89,3,0)*0.475*44/12</f>
        <v>19.361393589126497</v>
      </c>
      <c r="DH113" s="21">
        <f>EXP(-LN(2)/2)*DH112+(1-EXP(-LN(2)/2))/(LN(2)/2)*DB113*DE113*VLOOKUP('Données projet'!$B$13,Paramètres!$A$1:$I$89,3,0)*0.475*44/12</f>
        <v>0.14267715537212755</v>
      </c>
      <c r="DI113" s="22">
        <f t="shared" si="69"/>
        <v>30.296633195342544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5.6843418860808015E-14</v>
      </c>
      <c r="DP113" s="17">
        <f>DO113*VLOOKUP('Données projet'!$B$14,Paramètres!$A$1:$I$89,3,0)*VLOOKUP('Données projet'!$B$14,Paramètres!$A$1:$I$89,5,0)</f>
        <v>3.2810021366458389E-14</v>
      </c>
      <c r="DQ113" s="13">
        <f t="shared" si="97"/>
        <v>5.6117125884464641E-13</v>
      </c>
      <c r="DR113" s="20">
        <f t="shared" si="70"/>
        <v>1.0345173963676741E-12</v>
      </c>
      <c r="DS113" s="59">
        <f t="shared" si="71"/>
        <v>279.96138895484688</v>
      </c>
      <c r="DT113" s="59">
        <f ca="1">AVERAGE(OFFSET($DS$3,0,0,'Données projet'!$E$14+1,1))-AVERAGE(OFFSET($H$3,0,0,'Données projet'!$E$14+1,1))</f>
        <v>243.65374431792841</v>
      </c>
      <c r="DU113" s="59">
        <f t="shared" si="98"/>
        <v>271.60754570002939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22.116287434234209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22.116287434234209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285</v>
      </c>
      <c r="EH113" s="12">
        <f>VLOOKUP(A113,'Données projet'!$A$191:$I$211,9,0)</f>
        <v>2.4</v>
      </c>
      <c r="EI113" s="12">
        <f t="array" ref="EI113">INDEX(EH:EH,MIN(IF(ISNUMBER(EH113:EH309),ROW(EH113:EH309),"")))</f>
        <v>2.4</v>
      </c>
      <c r="EJ113" s="12">
        <f>IF('Données projet'!$A$192&gt;35,EJ112+EI113-ER112,IF(A113&lt;'Données projet'!$A$192,$EG$205^A113,IF(A113='Données projet'!$A$192,'Données projet'!$B$192,EJ112+EI113-ER112)))</f>
        <v>284.99999999999977</v>
      </c>
      <c r="EK113" s="17">
        <f>EJ113*VLOOKUP('Données projet'!$B$15,Paramètres!$A$1:$I$89,3,0)*VLOOKUP('Données projet'!$B$15,Paramètres!$A$1:$I$89,5,0)</f>
        <v>191.17799999999986</v>
      </c>
      <c r="EL113" s="13">
        <f t="shared" si="99"/>
        <v>47.800298165013608</v>
      </c>
      <c r="EM113" s="20">
        <f t="shared" si="73"/>
        <v>416.22053597073176</v>
      </c>
      <c r="EN113" s="59">
        <f t="shared" si="74"/>
        <v>696.18192492557762</v>
      </c>
      <c r="EO113" s="59">
        <f ca="1">AVERAGE(OFFSET($EN$3,0,0,'Données projet'!$E$15+1,1))-AVERAGE(OFFSET($H$3,0,0,'Données projet'!$E$15+1,1))</f>
        <v>321.44781099085594</v>
      </c>
      <c r="EP113" s="59">
        <f t="shared" si="100"/>
        <v>201.22243186578183</v>
      </c>
      <c r="EQ113" s="15">
        <f>IF(ISNA(VLOOKUP(A113,'Données projet'!$A$191:$I$211,3,0)),0,VLOOKUP(A113,'Données projet'!$A$191:$I$211,3,0))</f>
        <v>17</v>
      </c>
      <c r="ER113" s="15">
        <f>IF(ISNA(VLOOKUP(A113,'Données projet'!$A$191:$I$211,4,0)),0,VLOOKUP(A113,'Données projet'!$A$191:$I$211,4,0))</f>
        <v>19</v>
      </c>
      <c r="ES113" s="16">
        <f>IF(ISNA(VLOOKUP(A113,'Données projet'!$A$191:$I$211,5,0)),0%,VLOOKUP(A113,'Données projet'!$A$191:$I$211,5,0)*VLOOKUP('Données projet'!$B$15,Paramètres!$A$1:$I$89,7,0))</f>
        <v>0.42400000000000004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29.322107069539452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29.322107069539452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2.8421709430404007E-14</v>
      </c>
      <c r="FF113" s="17">
        <f>FE113*VLOOKUP('Données projet'!$B$16,Paramètres!$A$1:$I$89,3,0)*VLOOKUP('Données projet'!$B$16,Paramètres!$A$1:$I$89,5,0)</f>
        <v>2.4829205358400945E-14</v>
      </c>
      <c r="FG113" s="13">
        <f t="shared" si="101"/>
        <v>4.3867331143352915E-13</v>
      </c>
      <c r="FH113" s="20">
        <f t="shared" si="76"/>
        <v>8.0726688341261168E-13</v>
      </c>
      <c r="FI113" s="59">
        <f t="shared" si="77"/>
        <v>279.96138895484665</v>
      </c>
      <c r="FJ113" s="59">
        <f ca="1">AVERAGE(OFFSET($FI$3,0,0,'Données projet'!$E$16+1,1))-AVERAGE(OFFSET($H$3,0,0,'Données projet'!$E$16+1,1))</f>
        <v>285.8437404763045</v>
      </c>
      <c r="FK113" s="59">
        <f t="shared" si="102"/>
        <v>276.01618888357268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43.807886885622992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43.807886885622992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-1.7053025658242404E-13</v>
      </c>
      <c r="GA113" s="17">
        <f>FZ113*VLOOKUP('Données projet'!$B$17,Paramètres!$A$1:$I$89,3,0)*VLOOKUP('Données projet'!$B$17,Paramètres!$A$1:$I$89,5,0)</f>
        <v>-1.3567387213697657E-13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323.01113210765487</v>
      </c>
      <c r="GF113" s="59">
        <f t="shared" si="104"/>
        <v>311.68541696405975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50.28943296008255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50.28943296008255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2.8421709430404007E-14</v>
      </c>
      <c r="GV113" s="17">
        <f>GU113*VLOOKUP('Données projet'!$B$18,Paramètres!$A$1:$I$89,3,0)*VLOOKUP('Données projet'!$B$18,Paramètres!$A$1:$I$89,5,0)</f>
        <v>2.4829205358400945E-14</v>
      </c>
      <c r="GW113" s="13">
        <f t="shared" si="105"/>
        <v>4.3867331143352915E-13</v>
      </c>
      <c r="GX113" s="20">
        <f t="shared" si="82"/>
        <v>8.0726688341261168E-13</v>
      </c>
      <c r="GY113" s="59">
        <f t="shared" si="83"/>
        <v>279.96138895484665</v>
      </c>
      <c r="GZ113" s="59">
        <f ca="1">AVERAGE(OFFSET($GY$3,0,0,'Données projet'!$E$18+1,1))-AVERAGE(OFFSET($H$3,0,0,'Données projet'!$E$18+1,1))</f>
        <v>285.8437404763045</v>
      </c>
      <c r="HA113" s="59">
        <f t="shared" si="106"/>
        <v>276.01618888357268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43.807886885622992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43.807886885622992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2.6</v>
      </c>
      <c r="N114" s="13">
        <f>IF('Données projet'!$A$36&gt;35,N113+M114-V113,IF(A114&lt;'Données projet'!$A$36,$K$205^A114,IF(A114='Données projet'!$A$36,'Données projet'!$B$36,N113+M114-V113)))</f>
        <v>208.59999999999991</v>
      </c>
      <c r="O114" s="13">
        <f>N114*VLOOKUP('Données projet'!$B$9,Paramètres!$A$1:$I$89,3,0)*VLOOKUP('Données projet'!$B$9,Paramètres!$A$1:$I$89,5,0)</f>
        <v>188.7412799999999</v>
      </c>
      <c r="P114" s="13">
        <f t="shared" si="87"/>
        <v>47.261560168122358</v>
      </c>
      <c r="Q114" s="20">
        <f t="shared" si="107"/>
        <v>411.03827995947955</v>
      </c>
      <c r="R114" s="59">
        <f t="shared" si="55"/>
        <v>691.23164225410312</v>
      </c>
      <c r="S114" s="59">
        <f ca="1">AVERAGE(OFFSET($R$3,0,0,'Données projet'!$E$9+1,1))-AVERAGE(OFFSET($H$3,0,0,'Données projet'!$E$9+1,1))</f>
        <v>315.34103933739129</v>
      </c>
      <c r="T114" s="59">
        <f t="shared" si="88"/>
        <v>165.80901858372513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25.96035078437145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25.96035078437145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-3.4106051316484809E-13</v>
      </c>
      <c r="AJ114" s="13">
        <f>AI114*VLOOKUP('Données projet'!$B$10,Paramètres!$A$1:$I$89,3,0)*VLOOKUP('Données projet'!$B$10,Paramètres!$A$1:$I$89,5,0)</f>
        <v>-2.0395418687257919E-13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317.328615425664</v>
      </c>
      <c r="AO114" s="59">
        <f t="shared" si="90"/>
        <v>324.95872842255744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63.931217731145338</v>
      </c>
      <c r="AV114" s="21">
        <f>EXP(-LN(2)/25)*AV113+(1-EXP(-LN(2)/25))/(LN(2)/25)*Calculateur!AQ114*Calculateur!AS114*VLOOKUP('Données projet'!$B$10,Paramètres!$A$1:$I$89,3,0)*0.475*44/12</f>
        <v>8.2284589817899025</v>
      </c>
      <c r="AW114" s="21">
        <f>EXP(-LN(2)/2)*AW113+(1-EXP(-LN(2)/2))/(LN(2)/2)*AQ114*AT114*VLOOKUP('Données projet'!$B$10,Paramètres!$A$1:$I$89,3,0)*0.475*44/12</f>
        <v>5.6681747335385689E-7</v>
      </c>
      <c r="AX114" s="21">
        <f t="shared" si="60"/>
        <v>72.159677279752714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-6.5483618527650828E-14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418.31716673276725</v>
      </c>
      <c r="BJ114" s="59">
        <f t="shared" si="92"/>
        <v>472.37891533957929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49.877519741136787</v>
      </c>
      <c r="BQ114" s="21">
        <f>EXP(-LN(2)/25)*BQ113+(1-EXP(-LN(2)/25))/(LN(2)/25)*Calculateur!BL114*Calculateur!BN114*VLOOKUP('Données projet'!$B$11,Paramètres!$A$1:$I$89,3,0)*0.475*44/12</f>
        <v>7.5061292655130725</v>
      </c>
      <c r="BR114" s="21">
        <f>EXP(-LN(2)/2)*BR113+(1-EXP(-LN(2)/2))/(LN(2)/2)*BL114*BO114*VLOOKUP('Données projet'!$B$11,Paramètres!$A$1:$I$89,3,0)*0.475*44/12</f>
        <v>8.7912904088258353E-7</v>
      </c>
      <c r="BS114" s="22">
        <f t="shared" si="63"/>
        <v>57.383649885778901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1.1368683772161603E-13</v>
      </c>
      <c r="BZ114" s="13">
        <f>BY114*VLOOKUP('Données projet'!$B$12,Paramètres!$A$1:$I$89,3,0)*VLOOKUP('Données projet'!$B$12,Paramètres!$A$1:$I$89,5,0)</f>
        <v>6.6506800067145386E-14</v>
      </c>
      <c r="CA114" s="13">
        <f t="shared" si="93"/>
        <v>1.0476989505385114E-12</v>
      </c>
      <c r="CB114" s="20">
        <f t="shared" si="64"/>
        <v>1.9405750156381857E-12</v>
      </c>
      <c r="CC114" s="59">
        <f t="shared" si="65"/>
        <v>280.1933622946255</v>
      </c>
      <c r="CD114" s="59">
        <f ca="1">AVERAGE(OFFSET($CC$3,0,0,'Données projet'!$E$12+1,1))-AVERAGE(OFFSET($H$3,0,0,'Données projet'!$E$12+1,1))</f>
        <v>184.11352167663844</v>
      </c>
      <c r="CE114" s="59">
        <f t="shared" si="94"/>
        <v>145.86653500981791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36.259194516976272</v>
      </c>
      <c r="CL114" s="21">
        <f>EXP(-LN(2)/25)*CL113+(1-EXP(-LN(2)/25))/(LN(2)/25)*Calculateur!CG114*Calculateur!CI114*VLOOKUP('Données projet'!$B$12,Paramètres!$A$1:$I$89,3,0)*0.475*44/12</f>
        <v>11.909527345997647</v>
      </c>
      <c r="CM114" s="21">
        <f>EXP(-LN(2)/2)*CM113+(1-EXP(-LN(2)/2))/(LN(2)/2)*CG114*CJ114*VLOOKUP('Données projet'!$B$12,Paramètres!$A$1:$I$89,3,0)*0.475*44/12</f>
        <v>1.3044392221871233E-2</v>
      </c>
      <c r="CN114" s="22">
        <f t="shared" si="66"/>
        <v>48.181766255195789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5.0500000000000043</v>
      </c>
      <c r="CT114" s="12">
        <f>IF('Données projet'!$A$140&gt;35,CT113+CS114-DB113,IF(A114&lt;'Données projet'!$A$140,$CQ$205^A114,IF(A114='Données projet'!$A$140,'Données projet'!$B$140,CT113+CS114-DB113)))</f>
        <v>323.26999999999992</v>
      </c>
      <c r="CU114" s="17">
        <f>CT114*VLOOKUP('Données projet'!$B$13,Paramètres!$A$1:$I$89,3,0)*VLOOKUP('Données projet'!$B$13,Paramètres!$A$1:$I$89,5,0)</f>
        <v>155.49286999999995</v>
      </c>
      <c r="CV114" s="13">
        <f t="shared" si="95"/>
        <v>39.824235240980734</v>
      </c>
      <c r="CW114" s="20">
        <f t="shared" si="67"/>
        <v>340.17729162804136</v>
      </c>
      <c r="CX114" s="59">
        <f t="shared" si="68"/>
        <v>620.37065392266493</v>
      </c>
      <c r="CY114" s="59">
        <f ca="1">AVERAGE(OFFSET($CX$3,0,0,'Données projet'!$E$13+1,1))-AVERAGE(OFFSET($H$3,0,0,'Données projet'!$E$13+1,1))</f>
        <v>303.76035885073708</v>
      </c>
      <c r="CZ114" s="59">
        <f t="shared" si="96"/>
        <v>127.43112562890414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10.58092688399597</v>
      </c>
      <c r="DG114" s="21">
        <f>EXP(-LN(2)/25)*DG113+(1-EXP(-LN(2)/25))/(LN(2)/25)*Calculateur!DB114*Calculateur!DD114*VLOOKUP('Données projet'!$B$13,Paramètres!$A$1:$I$89,3,0)*0.475*44/12</f>
        <v>18.831955263260394</v>
      </c>
      <c r="DH114" s="21">
        <f>EXP(-LN(2)/2)*DH113+(1-EXP(-LN(2)/2))/(LN(2)/2)*DB114*DE114*VLOOKUP('Données projet'!$B$13,Paramètres!$A$1:$I$89,3,0)*0.475*44/12</f>
        <v>0.10088798408403804</v>
      </c>
      <c r="DI114" s="22">
        <f t="shared" si="69"/>
        <v>29.513770131340401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5.6843418860808015E-14</v>
      </c>
      <c r="DP114" s="17">
        <f>DO114*VLOOKUP('Données projet'!$B$14,Paramètres!$A$1:$I$89,3,0)*VLOOKUP('Données projet'!$B$14,Paramètres!$A$1:$I$89,5,0)</f>
        <v>3.2810021366458389E-14</v>
      </c>
      <c r="DQ114" s="13">
        <f t="shared" si="97"/>
        <v>5.6117125884464641E-13</v>
      </c>
      <c r="DR114" s="20">
        <f t="shared" si="70"/>
        <v>1.0345173963676741E-12</v>
      </c>
      <c r="DS114" s="59">
        <f t="shared" si="71"/>
        <v>280.19336229462459</v>
      </c>
      <c r="DT114" s="59">
        <f ca="1">AVERAGE(OFFSET($DS$3,0,0,'Données projet'!$E$14+1,1))-AVERAGE(OFFSET($H$3,0,0,'Données projet'!$E$14+1,1))</f>
        <v>243.65374431792841</v>
      </c>
      <c r="DU114" s="59">
        <f t="shared" si="98"/>
        <v>271.60754570002939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21.682600527252223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21.682600527252223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1.9</v>
      </c>
      <c r="EJ114" s="12">
        <f>IF('Données projet'!$A$192&gt;35,EJ113+EI114-ER113,IF(A114&lt;'Données projet'!$A$192,$EG$205^A114,IF(A114='Données projet'!$A$192,'Données projet'!$B$192,EJ113+EI114-ER113)))</f>
        <v>267.89999999999975</v>
      </c>
      <c r="EK114" s="17">
        <f>EJ114*VLOOKUP('Données projet'!$B$15,Paramètres!$A$1:$I$89,3,0)*VLOOKUP('Données projet'!$B$15,Paramètres!$A$1:$I$89,5,0)</f>
        <v>179.70731999999984</v>
      </c>
      <c r="EL114" s="13">
        <f t="shared" si="99"/>
        <v>45.257064093014478</v>
      </c>
      <c r="EM114" s="20">
        <f t="shared" si="73"/>
        <v>391.81296896199984</v>
      </c>
      <c r="EN114" s="59">
        <f t="shared" si="74"/>
        <v>672.00633125662341</v>
      </c>
      <c r="EO114" s="59">
        <f ca="1">AVERAGE(OFFSET($EN$3,0,0,'Données projet'!$E$15+1,1))-AVERAGE(OFFSET($H$3,0,0,'Données projet'!$E$15+1,1))</f>
        <v>321.44781099085594</v>
      </c>
      <c r="EP114" s="59">
        <f t="shared" si="100"/>
        <v>201.22243186578183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28.747118434625126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28.747118434625126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2.8421709430404007E-14</v>
      </c>
      <c r="FF114" s="17">
        <f>FE114*VLOOKUP('Données projet'!$B$16,Paramètres!$A$1:$I$89,3,0)*VLOOKUP('Données projet'!$B$16,Paramètres!$A$1:$I$89,5,0)</f>
        <v>2.4829205358400945E-14</v>
      </c>
      <c r="FG114" s="13">
        <f t="shared" si="101"/>
        <v>4.3867331143352915E-13</v>
      </c>
      <c r="FH114" s="20">
        <f t="shared" si="76"/>
        <v>8.0726688341261168E-13</v>
      </c>
      <c r="FI114" s="59">
        <f t="shared" si="77"/>
        <v>280.19336229462436</v>
      </c>
      <c r="FJ114" s="59">
        <f ca="1">AVERAGE(OFFSET($FI$3,0,0,'Données projet'!$E$16+1,1))-AVERAGE(OFFSET($H$3,0,0,'Données projet'!$E$16+1,1))</f>
        <v>285.8437404763045</v>
      </c>
      <c r="FK114" s="59">
        <f t="shared" si="102"/>
        <v>276.01618888357268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42.948840943968527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42.948840943968527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-1.7053025658242404E-13</v>
      </c>
      <c r="GA114" s="17">
        <f>FZ114*VLOOKUP('Données projet'!$B$17,Paramètres!$A$1:$I$89,3,0)*VLOOKUP('Données projet'!$B$17,Paramètres!$A$1:$I$89,5,0)</f>
        <v>-1.3567387213697657E-13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323.01113210765487</v>
      </c>
      <c r="GF114" s="59">
        <f t="shared" si="104"/>
        <v>311.68541696405975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49.303287853260677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49.303287853260677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2.8421709430404007E-14</v>
      </c>
      <c r="GV114" s="17">
        <f>GU114*VLOOKUP('Données projet'!$B$18,Paramètres!$A$1:$I$89,3,0)*VLOOKUP('Données projet'!$B$18,Paramètres!$A$1:$I$89,5,0)</f>
        <v>2.4829205358400945E-14</v>
      </c>
      <c r="GW114" s="13">
        <f t="shared" si="105"/>
        <v>4.3867331143352915E-13</v>
      </c>
      <c r="GX114" s="20">
        <f t="shared" si="82"/>
        <v>8.0726688341261168E-13</v>
      </c>
      <c r="GY114" s="59">
        <f t="shared" si="83"/>
        <v>280.19336229462436</v>
      </c>
      <c r="GZ114" s="59">
        <f ca="1">AVERAGE(OFFSET($GY$3,0,0,'Données projet'!$E$18+1,1))-AVERAGE(OFFSET($H$3,0,0,'Données projet'!$E$18+1,1))</f>
        <v>285.8437404763045</v>
      </c>
      <c r="HA114" s="59">
        <f t="shared" si="106"/>
        <v>276.01618888357268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42.948840943968527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42.948840943968527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2.6</v>
      </c>
      <c r="N115" s="13">
        <f>IF('Données projet'!$A$36&gt;35,N114+M115-V114,IF(A115&lt;'Données projet'!$A$36,$K$205^A115,IF(A115='Données projet'!$A$36,'Données projet'!$B$36,N114+M115-V114)))</f>
        <v>211.1999999999999</v>
      </c>
      <c r="O115" s="13">
        <f>N115*VLOOKUP('Données projet'!$B$9,Paramètres!$A$1:$I$89,3,0)*VLOOKUP('Données projet'!$B$9,Paramètres!$A$1:$I$89,5,0)</f>
        <v>191.09375999999992</v>
      </c>
      <c r="P115" s="13">
        <f t="shared" si="87"/>
        <v>47.781686814164104</v>
      </c>
      <c r="Q115" s="20">
        <f t="shared" si="107"/>
        <v>416.04140320133564</v>
      </c>
      <c r="R115" s="59">
        <f t="shared" si="55"/>
        <v>696.46271461690651</v>
      </c>
      <c r="S115" s="59">
        <f ca="1">AVERAGE(OFFSET($R$3,0,0,'Données projet'!$E$9+1,1))-AVERAGE(OFFSET($H$3,0,0,'Données projet'!$E$9+1,1))</f>
        <v>315.34103933739129</v>
      </c>
      <c r="T115" s="59">
        <f t="shared" si="88"/>
        <v>165.80901858372513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25.451284139740402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25.451284139740402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-3.4106051316484809E-13</v>
      </c>
      <c r="AJ115" s="13">
        <f>AI115*VLOOKUP('Données projet'!$B$10,Paramètres!$A$1:$I$89,3,0)*VLOOKUP('Données projet'!$B$10,Paramètres!$A$1:$I$89,5,0)</f>
        <v>-2.0395418687257919E-13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317.328615425664</v>
      </c>
      <c r="AO115" s="59">
        <f t="shared" si="90"/>
        <v>324.95872842255744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62.677565545630038</v>
      </c>
      <c r="AV115" s="21">
        <f>EXP(-LN(2)/25)*AV114+(1-EXP(-LN(2)/25))/(LN(2)/25)*Calculateur!AQ115*Calculateur!AS115*VLOOKUP('Données projet'!$B$10,Paramètres!$A$1:$I$89,3,0)*0.475*44/12</f>
        <v>8.0034513382170065</v>
      </c>
      <c r="AW115" s="21">
        <f>EXP(-LN(2)/2)*AW114+(1-EXP(-LN(2)/2))/(LN(2)/2)*AQ115*AT115*VLOOKUP('Données projet'!$B$10,Paramètres!$A$1:$I$89,3,0)*0.475*44/12</f>
        <v>4.0080047910353742E-7</v>
      </c>
      <c r="AX115" s="21">
        <f t="shared" si="60"/>
        <v>70.681017284647524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-6.5483618527650828E-14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418.31716673276725</v>
      </c>
      <c r="BJ115" s="59">
        <f t="shared" si="92"/>
        <v>472.37891533957929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48.899452001296183</v>
      </c>
      <c r="BQ115" s="21">
        <f>EXP(-LN(2)/25)*BQ114+(1-EXP(-LN(2)/25))/(LN(2)/25)*Calculateur!BL115*Calculateur!BN115*VLOOKUP('Données projet'!$B$11,Paramètres!$A$1:$I$89,3,0)*0.475*44/12</f>
        <v>7.3008737660174345</v>
      </c>
      <c r="BR115" s="21">
        <f>EXP(-LN(2)/2)*BR114+(1-EXP(-LN(2)/2))/(LN(2)/2)*BL115*BO115*VLOOKUP('Données projet'!$B$11,Paramètres!$A$1:$I$89,3,0)*0.475*44/12</f>
        <v>6.2163810634610037E-7</v>
      </c>
      <c r="BS115" s="22">
        <f t="shared" si="63"/>
        <v>56.200326388951723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1.1368683772161603E-13</v>
      </c>
      <c r="BZ115" s="13">
        <f>BY115*VLOOKUP('Données projet'!$B$12,Paramètres!$A$1:$I$89,3,0)*VLOOKUP('Données projet'!$B$12,Paramètres!$A$1:$I$89,5,0)</f>
        <v>6.6506800067145386E-14</v>
      </c>
      <c r="CA115" s="13">
        <f t="shared" si="93"/>
        <v>1.0476989505385114E-12</v>
      </c>
      <c r="CB115" s="20">
        <f t="shared" si="64"/>
        <v>1.9405750156381857E-12</v>
      </c>
      <c r="CC115" s="59">
        <f t="shared" si="65"/>
        <v>280.4213114155728</v>
      </c>
      <c r="CD115" s="59">
        <f ca="1">AVERAGE(OFFSET($CC$3,0,0,'Données projet'!$E$12+1,1))-AVERAGE(OFFSET($H$3,0,0,'Données projet'!$E$12+1,1))</f>
        <v>184.11352167663844</v>
      </c>
      <c r="CE115" s="59">
        <f t="shared" si="94"/>
        <v>145.86653500981791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35.548173828423259</v>
      </c>
      <c r="CL115" s="21">
        <f>EXP(-LN(2)/25)*CL114+(1-EXP(-LN(2)/25))/(LN(2)/25)*Calculateur!CG115*Calculateur!CI115*VLOOKUP('Données projet'!$B$12,Paramètres!$A$1:$I$89,3,0)*0.475*44/12</f>
        <v>11.583860694426518</v>
      </c>
      <c r="CM115" s="21">
        <f>EXP(-LN(2)/2)*CM114+(1-EXP(-LN(2)/2))/(LN(2)/2)*CG115*CJ115*VLOOKUP('Données projet'!$B$12,Paramètres!$A$1:$I$89,3,0)*0.475*44/12</f>
        <v>9.2237781965422046E-3</v>
      </c>
      <c r="CN115" s="22">
        <f t="shared" si="66"/>
        <v>47.141258301046321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5.0500000000000043</v>
      </c>
      <c r="CT115" s="12">
        <f>IF('Données projet'!$A$140&gt;35,CT114+CS115-DB114,IF(A115&lt;'Données projet'!$A$140,$CQ$205^A115,IF(A115='Données projet'!$A$140,'Données projet'!$B$140,CT114+CS115-DB114)))</f>
        <v>328.31999999999994</v>
      </c>
      <c r="CU115" s="17">
        <f>CT115*VLOOKUP('Données projet'!$B$13,Paramètres!$A$1:$I$89,3,0)*VLOOKUP('Données projet'!$B$13,Paramètres!$A$1:$I$89,5,0)</f>
        <v>157.92191999999997</v>
      </c>
      <c r="CV115" s="13">
        <f t="shared" si="95"/>
        <v>40.37344263403557</v>
      </c>
      <c r="CW115" s="20">
        <f t="shared" si="67"/>
        <v>345.36442325427856</v>
      </c>
      <c r="CX115" s="59">
        <f t="shared" si="68"/>
        <v>625.78573466984949</v>
      </c>
      <c r="CY115" s="59">
        <f ca="1">AVERAGE(OFFSET($CX$3,0,0,'Données projet'!$E$13+1,1))-AVERAGE(OFFSET($H$3,0,0,'Données projet'!$E$13+1,1))</f>
        <v>303.76035885073708</v>
      </c>
      <c r="CZ115" s="59">
        <f t="shared" si="96"/>
        <v>127.43112562890414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10.373441361528956</v>
      </c>
      <c r="DG115" s="21">
        <f>EXP(-LN(2)/25)*DG114+(1-EXP(-LN(2)/25))/(LN(2)/25)*Calculateur!DB115*Calculateur!DD115*VLOOKUP('Données projet'!$B$13,Paramètres!$A$1:$I$89,3,0)*0.475*44/12</f>
        <v>18.316994456257053</v>
      </c>
      <c r="DH115" s="21">
        <f>EXP(-LN(2)/2)*DH114+(1-EXP(-LN(2)/2))/(LN(2)/2)*DB115*DE115*VLOOKUP('Données projet'!$B$13,Paramètres!$A$1:$I$89,3,0)*0.475*44/12</f>
        <v>7.1338577686063775E-2</v>
      </c>
      <c r="DI115" s="22">
        <f t="shared" si="69"/>
        <v>28.761774395472074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5.6843418860808015E-14</v>
      </c>
      <c r="DP115" s="17">
        <f>DO115*VLOOKUP('Données projet'!$B$14,Paramètres!$A$1:$I$89,3,0)*VLOOKUP('Données projet'!$B$14,Paramètres!$A$1:$I$89,5,0)</f>
        <v>3.2810021366458389E-14</v>
      </c>
      <c r="DQ115" s="13">
        <f t="shared" si="97"/>
        <v>5.6117125884464641E-13</v>
      </c>
      <c r="DR115" s="20">
        <f t="shared" si="70"/>
        <v>1.0345173963676741E-12</v>
      </c>
      <c r="DS115" s="59">
        <f t="shared" si="71"/>
        <v>280.42131141557189</v>
      </c>
      <c r="DT115" s="59">
        <f ca="1">AVERAGE(OFFSET($DS$3,0,0,'Données projet'!$E$14+1,1))-AVERAGE(OFFSET($H$3,0,0,'Données projet'!$E$14+1,1))</f>
        <v>243.65374431792841</v>
      </c>
      <c r="DU115" s="59">
        <f t="shared" si="98"/>
        <v>271.60754570002939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21.257417955993262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21.257417955993262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1.9</v>
      </c>
      <c r="EJ115" s="12">
        <f>IF('Données projet'!$A$192&gt;35,EJ114+EI115-ER114,IF(A115&lt;'Données projet'!$A$192,$EG$205^A115,IF(A115='Données projet'!$A$192,'Données projet'!$B$192,EJ114+EI115-ER114)))</f>
        <v>269.79999999999973</v>
      </c>
      <c r="EK115" s="17">
        <f>EJ115*VLOOKUP('Données projet'!$B$15,Paramètres!$A$1:$I$89,3,0)*VLOOKUP('Données projet'!$B$15,Paramètres!$A$1:$I$89,5,0)</f>
        <v>180.98183999999983</v>
      </c>
      <c r="EL115" s="13">
        <f t="shared" si="99"/>
        <v>45.54055827086686</v>
      </c>
      <c r="EM115" s="20">
        <f t="shared" si="73"/>
        <v>394.52651032175942</v>
      </c>
      <c r="EN115" s="59">
        <f t="shared" si="74"/>
        <v>674.94782173733029</v>
      </c>
      <c r="EO115" s="59">
        <f ca="1">AVERAGE(OFFSET($EN$3,0,0,'Données projet'!$E$15+1,1))-AVERAGE(OFFSET($H$3,0,0,'Données projet'!$E$15+1,1))</f>
        <v>321.44781099085594</v>
      </c>
      <c r="EP115" s="59">
        <f t="shared" si="100"/>
        <v>201.22243186578183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28.183404976133033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28.183404976133033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2.8421709430404007E-14</v>
      </c>
      <c r="FF115" s="17">
        <f>FE115*VLOOKUP('Données projet'!$B$16,Paramètres!$A$1:$I$89,3,0)*VLOOKUP('Données projet'!$B$16,Paramètres!$A$1:$I$89,5,0)</f>
        <v>2.4829205358400945E-14</v>
      </c>
      <c r="FG115" s="13">
        <f t="shared" si="101"/>
        <v>4.3867331143352915E-13</v>
      </c>
      <c r="FH115" s="20">
        <f t="shared" si="76"/>
        <v>8.0726688341261168E-13</v>
      </c>
      <c r="FI115" s="59">
        <f t="shared" si="77"/>
        <v>280.42131141557167</v>
      </c>
      <c r="FJ115" s="59">
        <f ca="1">AVERAGE(OFFSET($FI$3,0,0,'Données projet'!$E$16+1,1))-AVERAGE(OFFSET($H$3,0,0,'Données projet'!$E$16+1,1))</f>
        <v>285.8437404763045</v>
      </c>
      <c r="FK115" s="59">
        <f t="shared" si="102"/>
        <v>276.01618888357268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42.106640369263623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42.106640369263623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-1.7053025658242404E-13</v>
      </c>
      <c r="GA115" s="17">
        <f>FZ115*VLOOKUP('Données projet'!$B$17,Paramètres!$A$1:$I$89,3,0)*VLOOKUP('Données projet'!$B$17,Paramètres!$A$1:$I$89,5,0)</f>
        <v>-1.3567387213697657E-13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323.01113210765487</v>
      </c>
      <c r="GF115" s="59">
        <f t="shared" si="104"/>
        <v>311.68541696405975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48.336480450494456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48.336480450494456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2.8421709430404007E-14</v>
      </c>
      <c r="GV115" s="17">
        <f>GU115*VLOOKUP('Données projet'!$B$18,Paramètres!$A$1:$I$89,3,0)*VLOOKUP('Données projet'!$B$18,Paramètres!$A$1:$I$89,5,0)</f>
        <v>2.4829205358400945E-14</v>
      </c>
      <c r="GW115" s="13">
        <f t="shared" si="105"/>
        <v>4.3867331143352915E-13</v>
      </c>
      <c r="GX115" s="20">
        <f t="shared" si="82"/>
        <v>8.0726688341261168E-13</v>
      </c>
      <c r="GY115" s="59">
        <f t="shared" si="83"/>
        <v>280.42131141557167</v>
      </c>
      <c r="GZ115" s="59">
        <f ca="1">AVERAGE(OFFSET($GY$3,0,0,'Données projet'!$E$18+1,1))-AVERAGE(OFFSET($H$3,0,0,'Données projet'!$E$18+1,1))</f>
        <v>285.8437404763045</v>
      </c>
      <c r="HA115" s="59">
        <f t="shared" si="106"/>
        <v>276.01618888357268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42.106640369263623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42.106640369263623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2.6</v>
      </c>
      <c r="N116" s="13">
        <f>IF('Données projet'!$A$36&gt;35,N115+M116-V115,IF(A116&lt;'Données projet'!$A$36,$K$205^A116,IF(A116='Données projet'!$A$36,'Données projet'!$B$36,N115+M116-V115)))</f>
        <v>213.7999999999999</v>
      </c>
      <c r="O116" s="13">
        <f>N116*VLOOKUP('Données projet'!$B$9,Paramètres!$A$1:$I$89,3,0)*VLOOKUP('Données projet'!$B$9,Paramètres!$A$1:$I$89,5,0)</f>
        <v>193.4462399999999</v>
      </c>
      <c r="P116" s="13">
        <f t="shared" si="87"/>
        <v>48.301068656218504</v>
      </c>
      <c r="Q116" s="20">
        <f t="shared" si="107"/>
        <v>421.0432292429137</v>
      </c>
      <c r="R116" s="59">
        <f t="shared" si="55"/>
        <v>701.68853537180132</v>
      </c>
      <c r="S116" s="59">
        <f ca="1">AVERAGE(OFFSET($R$3,0,0,'Données projet'!$E$9+1,1))-AVERAGE(OFFSET($H$3,0,0,'Données projet'!$E$9+1,1))</f>
        <v>315.34103933739129</v>
      </c>
      <c r="T116" s="59">
        <f t="shared" si="88"/>
        <v>165.80901858372513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24.952199981510574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24.952199981510574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-3.4106051316484809E-13</v>
      </c>
      <c r="AJ116" s="13">
        <f>AI116*VLOOKUP('Données projet'!$B$10,Paramètres!$A$1:$I$89,3,0)*VLOOKUP('Données projet'!$B$10,Paramètres!$A$1:$I$89,5,0)</f>
        <v>-2.0395418687257919E-13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317.328615425664</v>
      </c>
      <c r="AO116" s="59">
        <f t="shared" si="90"/>
        <v>324.95872842255744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61.448496714820365</v>
      </c>
      <c r="AV116" s="21">
        <f>EXP(-LN(2)/25)*AV115+(1-EXP(-LN(2)/25))/(LN(2)/25)*Calculateur!AQ116*Calculateur!AS116*VLOOKUP('Données projet'!$B$10,Paramètres!$A$1:$I$89,3,0)*0.475*44/12</f>
        <v>7.7845965404902486</v>
      </c>
      <c r="AW116" s="21">
        <f>EXP(-LN(2)/2)*AW115+(1-EXP(-LN(2)/2))/(LN(2)/2)*AQ116*AT116*VLOOKUP('Données projet'!$B$10,Paramètres!$A$1:$I$89,3,0)*0.475*44/12</f>
        <v>2.8340873667692844E-7</v>
      </c>
      <c r="AX116" s="21">
        <f t="shared" si="60"/>
        <v>69.233093538719359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-6.5483618527650828E-14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418.31716673276725</v>
      </c>
      <c r="BJ116" s="59">
        <f t="shared" si="92"/>
        <v>472.37891533957929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47.94056357327144</v>
      </c>
      <c r="BQ116" s="21">
        <f>EXP(-LN(2)/25)*BQ115+(1-EXP(-LN(2)/25))/(LN(2)/25)*Calculateur!BL116*Calculateur!BN116*VLOOKUP('Données projet'!$B$11,Paramètres!$A$1:$I$89,3,0)*0.475*44/12</f>
        <v>7.101230988949423</v>
      </c>
      <c r="BR116" s="21">
        <f>EXP(-LN(2)/2)*BR115+(1-EXP(-LN(2)/2))/(LN(2)/2)*BL116*BO116*VLOOKUP('Données projet'!$B$11,Paramètres!$A$1:$I$89,3,0)*0.475*44/12</f>
        <v>4.3956452044129176E-7</v>
      </c>
      <c r="BS116" s="22">
        <f t="shared" si="63"/>
        <v>55.041795001785388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1.1368683772161603E-13</v>
      </c>
      <c r="BZ116" s="13">
        <f>BY116*VLOOKUP('Données projet'!$B$12,Paramètres!$A$1:$I$89,3,0)*VLOOKUP('Données projet'!$B$12,Paramètres!$A$1:$I$89,5,0)</f>
        <v>6.6506800067145386E-14</v>
      </c>
      <c r="CA116" s="13">
        <f t="shared" si="93"/>
        <v>1.0476989505385114E-12</v>
      </c>
      <c r="CB116" s="20">
        <f t="shared" si="64"/>
        <v>1.9405750156381857E-12</v>
      </c>
      <c r="CC116" s="59">
        <f t="shared" si="65"/>
        <v>280.64530612888956</v>
      </c>
      <c r="CD116" s="59">
        <f ca="1">AVERAGE(OFFSET($CC$3,0,0,'Données projet'!$E$12+1,1))-AVERAGE(OFFSET($H$3,0,0,'Données projet'!$E$12+1,1))</f>
        <v>184.11352167663844</v>
      </c>
      <c r="CE116" s="59">
        <f t="shared" si="94"/>
        <v>145.86653500981791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34.851095821892969</v>
      </c>
      <c r="CL116" s="21">
        <f>EXP(-LN(2)/25)*CL115+(1-EXP(-LN(2)/25))/(LN(2)/25)*Calculateur!CG116*Calculateur!CI116*VLOOKUP('Données projet'!$B$12,Paramètres!$A$1:$I$89,3,0)*0.475*44/12</f>
        <v>11.267099414568666</v>
      </c>
      <c r="CM116" s="21">
        <f>EXP(-LN(2)/2)*CM115+(1-EXP(-LN(2)/2))/(LN(2)/2)*CG116*CJ116*VLOOKUP('Données projet'!$B$12,Paramètres!$A$1:$I$89,3,0)*0.475*44/12</f>
        <v>6.5221961109356167E-3</v>
      </c>
      <c r="CN116" s="22">
        <f t="shared" si="66"/>
        <v>46.124717432572567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5.0500000000000043</v>
      </c>
      <c r="CT116" s="12">
        <f>IF('Données projet'!$A$140&gt;35,CT115+CS116-DB115,IF(A116&lt;'Données projet'!$A$140,$CQ$205^A116,IF(A116='Données projet'!$A$140,'Données projet'!$B$140,CT115+CS116-DB115)))</f>
        <v>333.36999999999995</v>
      </c>
      <c r="CU116" s="17">
        <f>CT116*VLOOKUP('Données projet'!$B$13,Paramètres!$A$1:$I$89,3,0)*VLOOKUP('Données projet'!$B$13,Paramètres!$A$1:$I$89,5,0)</f>
        <v>160.35096999999996</v>
      </c>
      <c r="CV116" s="13">
        <f t="shared" si="95"/>
        <v>40.921667571833261</v>
      </c>
      <c r="CW116" s="20">
        <f t="shared" si="67"/>
        <v>350.5498437709428</v>
      </c>
      <c r="CX116" s="59">
        <f t="shared" si="68"/>
        <v>631.19514989983043</v>
      </c>
      <c r="CY116" s="59">
        <f ca="1">AVERAGE(OFFSET($CX$3,0,0,'Données projet'!$E$13+1,1))-AVERAGE(OFFSET($H$3,0,0,'Données projet'!$E$13+1,1))</f>
        <v>303.76035885073708</v>
      </c>
      <c r="CZ116" s="59">
        <f t="shared" si="96"/>
        <v>127.43112562890414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10.170024503603846</v>
      </c>
      <c r="DG116" s="21">
        <f>EXP(-LN(2)/25)*DG115+(1-EXP(-LN(2)/25))/(LN(2)/25)*Calculateur!DB116*Calculateur!DD116*VLOOKUP('Données projet'!$B$13,Paramètres!$A$1:$I$89,3,0)*0.475*44/12</f>
        <v>17.816115279601828</v>
      </c>
      <c r="DH116" s="21">
        <f>EXP(-LN(2)/2)*DH115+(1-EXP(-LN(2)/2))/(LN(2)/2)*DB116*DE116*VLOOKUP('Données projet'!$B$13,Paramètres!$A$1:$I$89,3,0)*0.475*44/12</f>
        <v>5.044399204201902E-2</v>
      </c>
      <c r="DI116" s="22">
        <f t="shared" si="69"/>
        <v>28.036583775247692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5.6843418860808015E-14</v>
      </c>
      <c r="DP116" s="17">
        <f>DO116*VLOOKUP('Données projet'!$B$14,Paramètres!$A$1:$I$89,3,0)*VLOOKUP('Données projet'!$B$14,Paramètres!$A$1:$I$89,5,0)</f>
        <v>3.2810021366458389E-14</v>
      </c>
      <c r="DQ116" s="13">
        <f t="shared" si="97"/>
        <v>5.6117125884464641E-13</v>
      </c>
      <c r="DR116" s="20">
        <f t="shared" si="70"/>
        <v>1.0345173963676741E-12</v>
      </c>
      <c r="DS116" s="59">
        <f t="shared" si="71"/>
        <v>280.64530612888865</v>
      </c>
      <c r="DT116" s="59">
        <f ca="1">AVERAGE(OFFSET($DS$3,0,0,'Données projet'!$E$14+1,1))-AVERAGE(OFFSET($H$3,0,0,'Données projet'!$E$14+1,1))</f>
        <v>243.65374431792841</v>
      </c>
      <c r="DU116" s="59">
        <f t="shared" si="98"/>
        <v>271.60754570002939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20.840572955620924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20.840572955620924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1.9</v>
      </c>
      <c r="EJ116" s="12">
        <f>IF('Données projet'!$A$192&gt;35,EJ115+EI116-ER115,IF(A116&lt;'Données projet'!$A$192,$EG$205^A116,IF(A116='Données projet'!$A$192,'Données projet'!$B$192,EJ115+EI116-ER115)))</f>
        <v>271.6999999999997</v>
      </c>
      <c r="EK116" s="17">
        <f>EJ116*VLOOKUP('Données projet'!$B$15,Paramètres!$A$1:$I$89,3,0)*VLOOKUP('Données projet'!$B$15,Paramètres!$A$1:$I$89,5,0)</f>
        <v>182.2563599999998</v>
      </c>
      <c r="EL116" s="13">
        <f t="shared" si="99"/>
        <v>45.823820156539156</v>
      </c>
      <c r="EM116" s="20">
        <f t="shared" si="73"/>
        <v>397.23964710597198</v>
      </c>
      <c r="EN116" s="59">
        <f t="shared" si="74"/>
        <v>677.88495323485961</v>
      </c>
      <c r="EO116" s="59">
        <f ca="1">AVERAGE(OFFSET($EN$3,0,0,'Données projet'!$E$15+1,1))-AVERAGE(OFFSET($H$3,0,0,'Données projet'!$E$15+1,1))</f>
        <v>321.44781099085594</v>
      </c>
      <c r="EP116" s="59">
        <f t="shared" si="100"/>
        <v>201.22243186578183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27.630745594730712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27.630745594730712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2.8421709430404007E-14</v>
      </c>
      <c r="FF116" s="17">
        <f>FE116*VLOOKUP('Données projet'!$B$16,Paramètres!$A$1:$I$89,3,0)*VLOOKUP('Données projet'!$B$16,Paramètres!$A$1:$I$89,5,0)</f>
        <v>2.4829205358400945E-14</v>
      </c>
      <c r="FG116" s="13">
        <f t="shared" si="101"/>
        <v>4.3867331143352915E-13</v>
      </c>
      <c r="FH116" s="20">
        <f t="shared" si="76"/>
        <v>8.0726688341261168E-13</v>
      </c>
      <c r="FI116" s="59">
        <f t="shared" si="77"/>
        <v>280.64530612888842</v>
      </c>
      <c r="FJ116" s="59">
        <f ca="1">AVERAGE(OFFSET($FI$3,0,0,'Données projet'!$E$16+1,1))-AVERAGE(OFFSET($H$3,0,0,'Données projet'!$E$16+1,1))</f>
        <v>285.8437404763045</v>
      </c>
      <c r="FK116" s="59">
        <f t="shared" si="102"/>
        <v>276.01618888357268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41.280954834137049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41.280954834137049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-1.7053025658242404E-13</v>
      </c>
      <c r="GA116" s="17">
        <f>FZ116*VLOOKUP('Données projet'!$B$17,Paramètres!$A$1:$I$89,3,0)*VLOOKUP('Données projet'!$B$17,Paramètres!$A$1:$I$89,5,0)</f>
        <v>-1.3567387213697657E-13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323.01113210765487</v>
      </c>
      <c r="GF116" s="59">
        <f t="shared" si="104"/>
        <v>311.68541696405975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47.388631551202195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47.388631551202195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2.8421709430404007E-14</v>
      </c>
      <c r="GV116" s="17">
        <f>GU116*VLOOKUP('Données projet'!$B$18,Paramètres!$A$1:$I$89,3,0)*VLOOKUP('Données projet'!$B$18,Paramètres!$A$1:$I$89,5,0)</f>
        <v>2.4829205358400945E-14</v>
      </c>
      <c r="GW116" s="13">
        <f t="shared" si="105"/>
        <v>4.3867331143352915E-13</v>
      </c>
      <c r="GX116" s="20">
        <f t="shared" si="82"/>
        <v>8.0726688341261168E-13</v>
      </c>
      <c r="GY116" s="59">
        <f t="shared" si="83"/>
        <v>280.64530612888842</v>
      </c>
      <c r="GZ116" s="59">
        <f ca="1">AVERAGE(OFFSET($GY$3,0,0,'Données projet'!$E$18+1,1))-AVERAGE(OFFSET($H$3,0,0,'Données projet'!$E$18+1,1))</f>
        <v>285.8437404763045</v>
      </c>
      <c r="HA116" s="59">
        <f t="shared" si="106"/>
        <v>276.01618888357268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41.280954834137049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41.280954834137049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2.6</v>
      </c>
      <c r="N117" s="13">
        <f>IF('Données projet'!$A$36&gt;35,N116+M117-V116,IF(A117&lt;'Données projet'!$A$36,$K$205^A117,IF(A117='Données projet'!$A$36,'Données projet'!$B$36,N116+M117-V116)))</f>
        <v>216.39999999999989</v>
      </c>
      <c r="O117" s="13">
        <f>N117*VLOOKUP('Données projet'!$B$9,Paramètres!$A$1:$I$89,3,0)*VLOOKUP('Données projet'!$B$9,Paramètres!$A$1:$I$89,5,0)</f>
        <v>195.79871999999989</v>
      </c>
      <c r="P117" s="13">
        <f t="shared" si="87"/>
        <v>48.819715799409671</v>
      </c>
      <c r="Q117" s="20">
        <f t="shared" si="107"/>
        <v>426.04377568397166</v>
      </c>
      <c r="R117" s="59">
        <f t="shared" si="55"/>
        <v>706.90919071867711</v>
      </c>
      <c r="S117" s="59">
        <f ca="1">AVERAGE(OFFSET($R$3,0,0,'Données projet'!$E$9+1,1))-AVERAGE(OFFSET($H$3,0,0,'Données projet'!$E$9+1,1))</f>
        <v>315.34103933739129</v>
      </c>
      <c r="T117" s="59">
        <f t="shared" si="88"/>
        <v>165.80901858372513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24.462902559212356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24.462902559212356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-3.4106051316484809E-13</v>
      </c>
      <c r="AJ117" s="13">
        <f>AI117*VLOOKUP('Données projet'!$B$10,Paramètres!$A$1:$I$89,3,0)*VLOOKUP('Données projet'!$B$10,Paramètres!$A$1:$I$89,5,0)</f>
        <v>-2.0395418687257919E-13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317.328615425664</v>
      </c>
      <c r="AO117" s="59">
        <f t="shared" si="90"/>
        <v>324.95872842255744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60.243529174124902</v>
      </c>
      <c r="AV117" s="21">
        <f>EXP(-LN(2)/25)*AV116+(1-EXP(-LN(2)/25))/(LN(2)/25)*Calculateur!AQ117*Calculateur!AS117*VLOOKUP('Données projet'!$B$10,Paramètres!$A$1:$I$89,3,0)*0.475*44/12</f>
        <v>7.5717263387164024</v>
      </c>
      <c r="AW117" s="21">
        <f>EXP(-LN(2)/2)*AW116+(1-EXP(-LN(2)/2))/(LN(2)/2)*AQ117*AT117*VLOOKUP('Données projet'!$B$10,Paramètres!$A$1:$I$89,3,0)*0.475*44/12</f>
        <v>2.0040023955176871E-7</v>
      </c>
      <c r="AX117" s="21">
        <f t="shared" si="60"/>
        <v>67.815255713241541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-6.5483618527650828E-14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418.31716673276725</v>
      </c>
      <c r="BJ117" s="59">
        <f t="shared" si="92"/>
        <v>472.37891533957929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47.000478362456072</v>
      </c>
      <c r="BQ117" s="21">
        <f>EXP(-LN(2)/25)*BQ116+(1-EXP(-LN(2)/25))/(LN(2)/25)*Calculateur!BL117*Calculateur!BN117*VLOOKUP('Données projet'!$B$11,Paramètres!$A$1:$I$89,3,0)*0.475*44/12</f>
        <v>6.9070474541190929</v>
      </c>
      <c r="BR117" s="21">
        <f>EXP(-LN(2)/2)*BR116+(1-EXP(-LN(2)/2))/(LN(2)/2)*BL117*BO117*VLOOKUP('Données projet'!$B$11,Paramètres!$A$1:$I$89,3,0)*0.475*44/12</f>
        <v>3.1081905317305019E-7</v>
      </c>
      <c r="BS117" s="22">
        <f t="shared" si="63"/>
        <v>53.90752612739422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1.1368683772161603E-13</v>
      </c>
      <c r="BZ117" s="13">
        <f>BY117*VLOOKUP('Données projet'!$B$12,Paramètres!$A$1:$I$89,3,0)*VLOOKUP('Données projet'!$B$12,Paramètres!$A$1:$I$89,5,0)</f>
        <v>6.6506800067145386E-14</v>
      </c>
      <c r="CA117" s="13">
        <f t="shared" si="93"/>
        <v>1.0476989505385114E-12</v>
      </c>
      <c r="CB117" s="20">
        <f t="shared" si="64"/>
        <v>1.9405750156381857E-12</v>
      </c>
      <c r="CC117" s="59">
        <f t="shared" si="65"/>
        <v>280.86541503470738</v>
      </c>
      <c r="CD117" s="59">
        <f ca="1">AVERAGE(OFFSET($CC$3,0,0,'Données projet'!$E$12+1,1))-AVERAGE(OFFSET($H$3,0,0,'Données projet'!$E$12+1,1))</f>
        <v>184.11352167663844</v>
      </c>
      <c r="CE117" s="59">
        <f t="shared" si="94"/>
        <v>145.86653500981791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34.167687089895139</v>
      </c>
      <c r="CL117" s="21">
        <f>EXP(-LN(2)/25)*CL116+(1-EXP(-LN(2)/25))/(LN(2)/25)*Calculateur!CG117*Calculateur!CI117*VLOOKUP('Données projet'!$B$12,Paramètres!$A$1:$I$89,3,0)*0.475*44/12</f>
        <v>10.958999988566278</v>
      </c>
      <c r="CM117" s="21">
        <f>EXP(-LN(2)/2)*CM116+(1-EXP(-LN(2)/2))/(LN(2)/2)*CG117*CJ117*VLOOKUP('Données projet'!$B$12,Paramètres!$A$1:$I$89,3,0)*0.475*44/12</f>
        <v>4.6118890982711023E-3</v>
      </c>
      <c r="CN117" s="22">
        <f t="shared" si="66"/>
        <v>45.131298967559687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5.0500000000000043</v>
      </c>
      <c r="CT117" s="12">
        <f>IF('Données projet'!$A$140&gt;35,CT116+CS117-DB116,IF(A117&lt;'Données projet'!$A$140,$CQ$205^A117,IF(A117='Données projet'!$A$140,'Données projet'!$B$140,CT116+CS117-DB116)))</f>
        <v>338.41999999999996</v>
      </c>
      <c r="CU117" s="17">
        <f>CT117*VLOOKUP('Données projet'!$B$13,Paramètres!$A$1:$I$89,3,0)*VLOOKUP('Données projet'!$B$13,Paramètres!$A$1:$I$89,5,0)</f>
        <v>162.78001999999998</v>
      </c>
      <c r="CV117" s="13">
        <f t="shared" si="95"/>
        <v>41.468926655902791</v>
      </c>
      <c r="CW117" s="20">
        <f t="shared" si="67"/>
        <v>355.73358209236403</v>
      </c>
      <c r="CX117" s="59">
        <f t="shared" si="68"/>
        <v>636.59899712706942</v>
      </c>
      <c r="CY117" s="59">
        <f ca="1">AVERAGE(OFFSET($CX$3,0,0,'Données projet'!$E$13+1,1))-AVERAGE(OFFSET($H$3,0,0,'Données projet'!$E$13+1,1))</f>
        <v>303.76035885073708</v>
      </c>
      <c r="CZ117" s="59">
        <f t="shared" si="96"/>
        <v>127.43112562890414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9.9705965261906169</v>
      </c>
      <c r="DG117" s="21">
        <f>EXP(-LN(2)/25)*DG116+(1-EXP(-LN(2)/25))/(LN(2)/25)*Calculateur!DB117*Calculateur!DD117*VLOOKUP('Données projet'!$B$13,Paramètres!$A$1:$I$89,3,0)*0.475*44/12</f>
        <v>17.328932670372332</v>
      </c>
      <c r="DH117" s="21">
        <f>EXP(-LN(2)/2)*DH116+(1-EXP(-LN(2)/2))/(LN(2)/2)*DB117*DE117*VLOOKUP('Données projet'!$B$13,Paramètres!$A$1:$I$89,3,0)*0.475*44/12</f>
        <v>3.5669288843031888E-2</v>
      </c>
      <c r="DI117" s="22">
        <f t="shared" si="69"/>
        <v>27.335198485405982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5.6843418860808015E-14</v>
      </c>
      <c r="DP117" s="17">
        <f>DO117*VLOOKUP('Données projet'!$B$14,Paramètres!$A$1:$I$89,3,0)*VLOOKUP('Données projet'!$B$14,Paramètres!$A$1:$I$89,5,0)</f>
        <v>3.2810021366458389E-14</v>
      </c>
      <c r="DQ117" s="13">
        <f t="shared" si="97"/>
        <v>5.6117125884464641E-13</v>
      </c>
      <c r="DR117" s="20">
        <f t="shared" si="70"/>
        <v>1.0345173963676741E-12</v>
      </c>
      <c r="DS117" s="59">
        <f t="shared" si="71"/>
        <v>280.86541503470647</v>
      </c>
      <c r="DT117" s="59">
        <f ca="1">AVERAGE(OFFSET($DS$3,0,0,'Données projet'!$E$14+1,1))-AVERAGE(OFFSET($H$3,0,0,'Données projet'!$E$14+1,1))</f>
        <v>243.65374431792841</v>
      </c>
      <c r="DU117" s="59">
        <f t="shared" si="98"/>
        <v>271.60754570002939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20.431902031455547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20.431902031455547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1.9</v>
      </c>
      <c r="EJ117" s="12">
        <f>IF('Données projet'!$A$192&gt;35,EJ116+EI117-ER116,IF(A117&lt;'Données projet'!$A$192,$EG$205^A117,IF(A117='Données projet'!$A$192,'Données projet'!$B$192,EJ116+EI117-ER116)))</f>
        <v>273.59999999999968</v>
      </c>
      <c r="EK117" s="17">
        <f>EJ117*VLOOKUP('Données projet'!$B$15,Paramètres!$A$1:$I$89,3,0)*VLOOKUP('Données projet'!$B$15,Paramètres!$A$1:$I$89,5,0)</f>
        <v>183.5308799999998</v>
      </c>
      <c r="EL117" s="13">
        <f t="shared" si="99"/>
        <v>46.106851562826662</v>
      </c>
      <c r="EM117" s="20">
        <f t="shared" si="73"/>
        <v>399.9523824719227</v>
      </c>
      <c r="EN117" s="59">
        <f t="shared" si="74"/>
        <v>680.81779750662815</v>
      </c>
      <c r="EO117" s="59">
        <f ca="1">AVERAGE(OFFSET($EN$3,0,0,'Données projet'!$E$15+1,1))-AVERAGE(OFFSET($H$3,0,0,'Données projet'!$E$15+1,1))</f>
        <v>321.44781099085594</v>
      </c>
      <c r="EP117" s="59">
        <f t="shared" si="100"/>
        <v>201.22243186578183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27.088923526708751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27.088923526708751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2.8421709430404007E-14</v>
      </c>
      <c r="FF117" s="17">
        <f>FE117*VLOOKUP('Données projet'!$B$16,Paramètres!$A$1:$I$89,3,0)*VLOOKUP('Données projet'!$B$16,Paramètres!$A$1:$I$89,5,0)</f>
        <v>2.4829205358400945E-14</v>
      </c>
      <c r="FG117" s="13">
        <f t="shared" si="101"/>
        <v>4.3867331143352915E-13</v>
      </c>
      <c r="FH117" s="20">
        <f t="shared" si="76"/>
        <v>8.0726688341261168E-13</v>
      </c>
      <c r="FI117" s="59">
        <f t="shared" si="77"/>
        <v>280.86541503470625</v>
      </c>
      <c r="FJ117" s="59">
        <f ca="1">AVERAGE(OFFSET($FI$3,0,0,'Données projet'!$E$16+1,1))-AVERAGE(OFFSET($H$3,0,0,'Données projet'!$E$16+1,1))</f>
        <v>285.8437404763045</v>
      </c>
      <c r="FK117" s="59">
        <f t="shared" si="102"/>
        <v>276.01618888357268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40.471460488735858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40.471460488735858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-1.7053025658242404E-13</v>
      </c>
      <c r="GA117" s="17">
        <f>FZ117*VLOOKUP('Données projet'!$B$17,Paramètres!$A$1:$I$89,3,0)*VLOOKUP('Données projet'!$B$17,Paramètres!$A$1:$I$89,5,0)</f>
        <v>-1.3567387213697657E-13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323.01113210765487</v>
      </c>
      <c r="GF117" s="59">
        <f t="shared" si="104"/>
        <v>311.68541696405975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46.459369390694313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46.459369390694313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2.8421709430404007E-14</v>
      </c>
      <c r="GV117" s="17">
        <f>GU117*VLOOKUP('Données projet'!$B$18,Paramètres!$A$1:$I$89,3,0)*VLOOKUP('Données projet'!$B$18,Paramètres!$A$1:$I$89,5,0)</f>
        <v>2.4829205358400945E-14</v>
      </c>
      <c r="GW117" s="13">
        <f t="shared" si="105"/>
        <v>4.3867331143352915E-13</v>
      </c>
      <c r="GX117" s="20">
        <f t="shared" si="82"/>
        <v>8.0726688341261168E-13</v>
      </c>
      <c r="GY117" s="59">
        <f t="shared" si="83"/>
        <v>280.86541503470625</v>
      </c>
      <c r="GZ117" s="59">
        <f ca="1">AVERAGE(OFFSET($GY$3,0,0,'Données projet'!$E$18+1,1))-AVERAGE(OFFSET($H$3,0,0,'Données projet'!$E$18+1,1))</f>
        <v>285.8437404763045</v>
      </c>
      <c r="HA117" s="59">
        <f t="shared" si="106"/>
        <v>276.01618888357268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40.471460488735858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40.471460488735858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219</v>
      </c>
      <c r="L118" s="12">
        <f>VLOOKUP(A118,'Données projet'!$A$35:$I$55,9,0)</f>
        <v>2.6</v>
      </c>
      <c r="M118" s="12">
        <f t="array" ref="M118">INDEX(L:L,MIN(IF(ISNUMBER(L118:L314),ROW(L118:L314),"")))</f>
        <v>2.6</v>
      </c>
      <c r="N118" s="13">
        <f>IF('Données projet'!$A$36&gt;35,N117+M118-V117,IF(A118&lt;'Données projet'!$A$36,$K$205^A118,IF(A118='Données projet'!$A$36,'Données projet'!$B$36,N117+M118-V117)))</f>
        <v>218.99999999999989</v>
      </c>
      <c r="O118" s="13">
        <f>N118*VLOOKUP('Données projet'!$B$9,Paramètres!$A$1:$I$89,3,0)*VLOOKUP('Données projet'!$B$9,Paramètres!$A$1:$I$89,5,0)</f>
        <v>198.1511999999999</v>
      </c>
      <c r="P118" s="13">
        <f t="shared" si="87"/>
        <v>49.337638092068914</v>
      </c>
      <c r="Q118" s="20">
        <f t="shared" si="107"/>
        <v>431.04305967701981</v>
      </c>
      <c r="R118" s="59">
        <f t="shared" si="55"/>
        <v>712.12476522011707</v>
      </c>
      <c r="S118" s="59">
        <f ca="1">AVERAGE(OFFSET($R$3,0,0,'Données projet'!$E$9+1,1))-AVERAGE(OFFSET($H$3,0,0,'Données projet'!$E$9+1,1))</f>
        <v>315.34103933739129</v>
      </c>
      <c r="T118" s="59">
        <f t="shared" si="88"/>
        <v>165.80901858372513</v>
      </c>
      <c r="U118" s="15">
        <f>IF(ISNA(VLOOKUP(A118,'Données projet'!$A$35:$I$55,3,0)),0,VLOOKUP(A118,'Données projet'!$A$35:$I$55,3,0))</f>
        <v>19</v>
      </c>
      <c r="V118" s="15">
        <f>IF(ISNA(VLOOKUP(A118,'Données projet'!$A$35:$I$55,4,0)),0,VLOOKUP(A118,'Données projet'!$A$35:$I$55,4,0))</f>
        <v>13</v>
      </c>
      <c r="W118" s="16">
        <f>IF(ISNA(VLOOKUP(A118,'Données projet'!$A$35:$I$55,5,0)),0%,VLOOKUP(A118,'Données projet'!$A$35:$I$55,5,0)*VLOOKUP('Données projet'!$B$9,Paramètres!$A$1:$I$89,7,0))</f>
        <v>0.30099999999999999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27.897098383381177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27.897098383381177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-3.4106051316484809E-13</v>
      </c>
      <c r="AJ118" s="13">
        <f>AI118*VLOOKUP('Données projet'!$B$10,Paramètres!$A$1:$I$89,3,0)*VLOOKUP('Données projet'!$B$10,Paramètres!$A$1:$I$89,5,0)</f>
        <v>-2.0395418687257919E-13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317.328615425664</v>
      </c>
      <c r="AO118" s="59">
        <f t="shared" si="90"/>
        <v>324.95872842255744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59.062190311944846</v>
      </c>
      <c r="AV118" s="21">
        <f>EXP(-LN(2)/25)*AV117+(1-EXP(-LN(2)/25))/(LN(2)/25)*Calculateur!AQ118*Calculateur!AS118*VLOOKUP('Données projet'!$B$10,Paramètres!$A$1:$I$89,3,0)*0.475*44/12</f>
        <v>7.3646770838044198</v>
      </c>
      <c r="AW118" s="21">
        <f>EXP(-LN(2)/2)*AW117+(1-EXP(-LN(2)/2))/(LN(2)/2)*AQ118*AT118*VLOOKUP('Données projet'!$B$10,Paramètres!$A$1:$I$89,3,0)*0.475*44/12</f>
        <v>1.4170436833846422E-7</v>
      </c>
      <c r="AX118" s="21">
        <f t="shared" si="60"/>
        <v>66.426867537453631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-6.5483618527650828E-14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418.31716673276725</v>
      </c>
      <c r="BJ118" s="59">
        <f t="shared" si="92"/>
        <v>472.37891533957929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46.078827649229432</v>
      </c>
      <c r="BQ118" s="21">
        <f>EXP(-LN(2)/25)*BQ117+(1-EXP(-LN(2)/25))/(LN(2)/25)*Calculateur!BL118*Calculateur!BN118*VLOOKUP('Données projet'!$B$11,Paramètres!$A$1:$I$89,3,0)*0.475*44/12</f>
        <v>6.7181738782603668</v>
      </c>
      <c r="BR118" s="21">
        <f>EXP(-LN(2)/2)*BR117+(1-EXP(-LN(2)/2))/(LN(2)/2)*BL118*BO118*VLOOKUP('Données projet'!$B$11,Paramètres!$A$1:$I$89,3,0)*0.475*44/12</f>
        <v>2.1978226022064588E-7</v>
      </c>
      <c r="BS118" s="22">
        <f t="shared" si="63"/>
        <v>52.797001747272056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1.1368683772161603E-13</v>
      </c>
      <c r="BZ118" s="13">
        <f>BY118*VLOOKUP('Données projet'!$B$12,Paramètres!$A$1:$I$89,3,0)*VLOOKUP('Données projet'!$B$12,Paramètres!$A$1:$I$89,5,0)</f>
        <v>6.6506800067145386E-14</v>
      </c>
      <c r="CA118" s="13">
        <f t="shared" si="93"/>
        <v>1.0476989505385114E-12</v>
      </c>
      <c r="CB118" s="20">
        <f t="shared" si="64"/>
        <v>1.9405750156381857E-12</v>
      </c>
      <c r="CC118" s="59">
        <f t="shared" si="65"/>
        <v>281.08170554309919</v>
      </c>
      <c r="CD118" s="59">
        <f ca="1">AVERAGE(OFFSET($CC$3,0,0,'Données projet'!$E$12+1,1))-AVERAGE(OFFSET($H$3,0,0,'Données projet'!$E$12+1,1))</f>
        <v>184.11352167663844</v>
      </c>
      <c r="CE118" s="59">
        <f t="shared" si="94"/>
        <v>145.86653500981791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33.497679586293621</v>
      </c>
      <c r="CL118" s="21">
        <f>EXP(-LN(2)/25)*CL117+(1-EXP(-LN(2)/25))/(LN(2)/25)*Calculateur!CG118*Calculateur!CI118*VLOOKUP('Données projet'!$B$12,Paramètres!$A$1:$I$89,3,0)*0.475*44/12</f>
        <v>10.65932555757017</v>
      </c>
      <c r="CM118" s="21">
        <f>EXP(-LN(2)/2)*CM117+(1-EXP(-LN(2)/2))/(LN(2)/2)*CG118*CJ118*VLOOKUP('Données projet'!$B$12,Paramètres!$A$1:$I$89,3,0)*0.475*44/12</f>
        <v>3.2610980554678083E-3</v>
      </c>
      <c r="CN118" s="22">
        <f t="shared" si="66"/>
        <v>44.16026624191926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343.47</v>
      </c>
      <c r="CR118" s="12">
        <f>VLOOKUP(A118,'Données projet'!$A$139:$I$159,9,0)</f>
        <v>5.0500000000000043</v>
      </c>
      <c r="CS118" s="12">
        <f t="array" ref="CS118">INDEX(CR:CR,MIN(IF(ISNUMBER(CR118:CR314),ROW(CR118:CR314),"")))</f>
        <v>5.0500000000000043</v>
      </c>
      <c r="CT118" s="12">
        <f>IF('Données projet'!$A$140&gt;35,CT117+CS118-DB117,IF(A118&lt;'Données projet'!$A$140,$CQ$205^A118,IF(A118='Données projet'!$A$140,'Données projet'!$B$140,CT117+CS118-DB117)))</f>
        <v>343.46999999999997</v>
      </c>
      <c r="CU118" s="17">
        <f>CT118*VLOOKUP('Données projet'!$B$13,Paramètres!$A$1:$I$89,3,0)*VLOOKUP('Données projet'!$B$13,Paramètres!$A$1:$I$89,5,0)</f>
        <v>165.20907</v>
      </c>
      <c r="CV118" s="13">
        <f t="shared" si="95"/>
        <v>42.015235963868584</v>
      </c>
      <c r="CW118" s="20">
        <f t="shared" si="67"/>
        <v>360.91566622040438</v>
      </c>
      <c r="CX118" s="59">
        <f t="shared" si="68"/>
        <v>641.99737176350163</v>
      </c>
      <c r="CY118" s="59">
        <f ca="1">AVERAGE(OFFSET($CX$3,0,0,'Données projet'!$E$13+1,1))-AVERAGE(OFFSET($H$3,0,0,'Données projet'!$E$13+1,1))</f>
        <v>303.76035885073708</v>
      </c>
      <c r="CZ118" s="59">
        <f t="shared" si="96"/>
        <v>127.43112562890414</v>
      </c>
      <c r="DA118" s="15">
        <f>IF(ISNA(VLOOKUP(A118,'Données projet'!$A$139:$I$159,3,0)),0,VLOOKUP(A118,'Données projet'!$A$139:$I$159,3,0))</f>
        <v>12</v>
      </c>
      <c r="DB118" s="15">
        <f>IF(ISNA(VLOOKUP(A118,'Données projet'!$A$139:$I$159,4,0)),0,VLOOKUP(A118,'Données projet'!$A$139:$I$159,4,0))</f>
        <v>65</v>
      </c>
      <c r="DC118" s="16">
        <f>IF(ISNA(VLOOKUP(A118,'Données projet'!$A$139:$I$159,5,0)),0%,VLOOKUP(A118,'Données projet'!$A$139:$I$159,5,0)*VLOOKUP('Données projet'!$B$13,Paramètres!$A$1:$I$89,7,0))</f>
        <v>0.22000000000000003</v>
      </c>
      <c r="DD118" s="16">
        <f>IF(ISNA(VLOOKUP(A118,'Données projet'!$A$139:$I$159,6,0)),0%,VLOOKUP(A118,'Données projet'!$A$139:$I$159,6,0)*VLOOKUP('Données projet'!$B$13,Paramètres!$A$1:$I$89,7,0))</f>
        <v>0.18700000000000003</v>
      </c>
      <c r="DE118" s="16">
        <f>IF(ISNA(VLOOKUP(A118,'Données projet'!$A$139:$I$159,7,0)),0%,VLOOKUP(A118,'Données projet'!$A$139:$I$159,7,0))</f>
        <v>0.26</v>
      </c>
      <c r="DF118" s="21">
        <f>EXP(-LN(2)/35)*DF117+(1-EXP(-LN(2)/35))/(LN(2)/35)*DB118*DC118*VLOOKUP('Données projet'!$B$13,Paramètres!$A$1:$I$89,3,0)*0.475*44/12</f>
        <v>18.899587503625199</v>
      </c>
      <c r="DG118" s="21">
        <f>EXP(-LN(2)/25)*DG117+(1-EXP(-LN(2)/25))/(LN(2)/25)*Calculateur!DB118*Calculateur!DD118*VLOOKUP('Données projet'!$B$13,Paramètres!$A$1:$I$89,3,0)*0.475*44/12</f>
        <v>24.580366479000709</v>
      </c>
      <c r="DH118" s="21">
        <f>EXP(-LN(2)/2)*DH117+(1-EXP(-LN(2)/2))/(LN(2)/2)*DB118*DE118*VLOOKUP('Données projet'!$B$13,Paramètres!$A$1:$I$89,3,0)*0.475*44/12</f>
        <v>9.2290251193838984</v>
      </c>
      <c r="DI118" s="22">
        <f t="shared" si="69"/>
        <v>52.708979102009806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5.6843418860808015E-14</v>
      </c>
      <c r="DP118" s="17">
        <f>DO118*VLOOKUP('Données projet'!$B$14,Paramètres!$A$1:$I$89,3,0)*VLOOKUP('Données projet'!$B$14,Paramètres!$A$1:$I$89,5,0)</f>
        <v>3.2810021366458389E-14</v>
      </c>
      <c r="DQ118" s="13">
        <f t="shared" si="97"/>
        <v>5.6117125884464641E-13</v>
      </c>
      <c r="DR118" s="20">
        <f t="shared" si="70"/>
        <v>1.0345173963676741E-12</v>
      </c>
      <c r="DS118" s="59">
        <f t="shared" si="71"/>
        <v>281.08170554309828</v>
      </c>
      <c r="DT118" s="59">
        <f ca="1">AVERAGE(OFFSET($DS$3,0,0,'Données projet'!$E$14+1,1))-AVERAGE(OFFSET($H$3,0,0,'Données projet'!$E$14+1,1))</f>
        <v>243.65374431792841</v>
      </c>
      <c r="DU118" s="59">
        <f t="shared" si="98"/>
        <v>271.60754570002939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20.031244894848399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20.031244894848399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1.9</v>
      </c>
      <c r="EJ118" s="12">
        <f>IF('Données projet'!$A$192&gt;35,EJ117+EI118-ER117,IF(A118&lt;'Données projet'!$A$192,$EG$205^A118,IF(A118='Données projet'!$A$192,'Données projet'!$B$192,EJ117+EI118-ER117)))</f>
        <v>275.49999999999966</v>
      </c>
      <c r="EK118" s="17">
        <f>EJ118*VLOOKUP('Données projet'!$B$15,Paramètres!$A$1:$I$89,3,0)*VLOOKUP('Données projet'!$B$15,Paramètres!$A$1:$I$89,5,0)</f>
        <v>184.80539999999976</v>
      </c>
      <c r="EL118" s="13">
        <f t="shared" si="99"/>
        <v>46.389654275891566</v>
      </c>
      <c r="EM118" s="20">
        <f t="shared" si="73"/>
        <v>402.66471953051069</v>
      </c>
      <c r="EN118" s="59">
        <f t="shared" si="74"/>
        <v>683.74642507360795</v>
      </c>
      <c r="EO118" s="59">
        <f ca="1">AVERAGE(OFFSET($EN$3,0,0,'Données projet'!$E$15+1,1))-AVERAGE(OFFSET($H$3,0,0,'Données projet'!$E$15+1,1))</f>
        <v>321.44781099085594</v>
      </c>
      <c r="EP118" s="59">
        <f t="shared" si="100"/>
        <v>201.22243186578183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26.557726258961871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26.557726258961871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2.8421709430404007E-14</v>
      </c>
      <c r="FF118" s="17">
        <f>FE118*VLOOKUP('Données projet'!$B$16,Paramètres!$A$1:$I$89,3,0)*VLOOKUP('Données projet'!$B$16,Paramètres!$A$1:$I$89,5,0)</f>
        <v>2.4829205358400945E-14</v>
      </c>
      <c r="FG118" s="13">
        <f t="shared" si="101"/>
        <v>4.3867331143352915E-13</v>
      </c>
      <c r="FH118" s="20">
        <f t="shared" si="76"/>
        <v>8.0726688341261168E-13</v>
      </c>
      <c r="FI118" s="59">
        <f t="shared" si="77"/>
        <v>281.08170554309805</v>
      </c>
      <c r="FJ118" s="59">
        <f ca="1">AVERAGE(OFFSET($FI$3,0,0,'Données projet'!$E$16+1,1))-AVERAGE(OFFSET($H$3,0,0,'Données projet'!$E$16+1,1))</f>
        <v>285.8437404763045</v>
      </c>
      <c r="FK118" s="59">
        <f t="shared" si="102"/>
        <v>276.01618888357268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39.677839833705193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39.677839833705193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-1.7053025658242404E-13</v>
      </c>
      <c r="GA118" s="17">
        <f>FZ118*VLOOKUP('Données projet'!$B$17,Paramètres!$A$1:$I$89,3,0)*VLOOKUP('Données projet'!$B$17,Paramètres!$A$1:$I$89,5,0)</f>
        <v>-1.3567387213697657E-13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323.01113210765487</v>
      </c>
      <c r="GF118" s="59">
        <f t="shared" si="104"/>
        <v>311.68541696405975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45.54832949436004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45.54832949436004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2.8421709430404007E-14</v>
      </c>
      <c r="GV118" s="17">
        <f>GU118*VLOOKUP('Données projet'!$B$18,Paramètres!$A$1:$I$89,3,0)*VLOOKUP('Données projet'!$B$18,Paramètres!$A$1:$I$89,5,0)</f>
        <v>2.4829205358400945E-14</v>
      </c>
      <c r="GW118" s="13">
        <f t="shared" si="105"/>
        <v>4.3867331143352915E-13</v>
      </c>
      <c r="GX118" s="20">
        <f t="shared" si="82"/>
        <v>8.0726688341261168E-13</v>
      </c>
      <c r="GY118" s="59">
        <f t="shared" si="83"/>
        <v>281.08170554309805</v>
      </c>
      <c r="GZ118" s="59">
        <f ca="1">AVERAGE(OFFSET($GY$3,0,0,'Données projet'!$E$18+1,1))-AVERAGE(OFFSET($H$3,0,0,'Données projet'!$E$18+1,1))</f>
        <v>285.8437404763045</v>
      </c>
      <c r="HA118" s="59">
        <f t="shared" si="106"/>
        <v>276.01618888357268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39.677839833705193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39.677839833705193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</v>
      </c>
      <c r="N119" s="13">
        <f>IF('Données projet'!$A$36&gt;35,N118+M119-V118,IF(A119&lt;'Données projet'!$A$36,$K$205^A119,IF(A119='Données projet'!$A$36,'Données projet'!$B$36,N118+M119-V118)))</f>
        <v>208.99999999999989</v>
      </c>
      <c r="O119" s="13">
        <f>N119*VLOOKUP('Données projet'!$B$9,Paramètres!$A$1:$I$89,3,0)*VLOOKUP('Données projet'!$B$9,Paramètres!$A$1:$I$89,5,0)</f>
        <v>189.1031999999999</v>
      </c>
      <c r="P119" s="13">
        <f t="shared" si="87"/>
        <v>47.34162854278712</v>
      </c>
      <c r="Q119" s="20">
        <f t="shared" si="107"/>
        <v>411.80807637868742</v>
      </c>
      <c r="R119" s="59">
        <f t="shared" si="55"/>
        <v>693.10232027340885</v>
      </c>
      <c r="S119" s="59">
        <f ca="1">AVERAGE(OFFSET($R$3,0,0,'Données projet'!$E$9+1,1))-AVERAGE(OFFSET($H$3,0,0,'Données projet'!$E$9+1,1))</f>
        <v>315.34103933739129</v>
      </c>
      <c r="T119" s="59">
        <f t="shared" si="88"/>
        <v>165.80901858372513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27.35005329963294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27.35005329963294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-3.4106051316484809E-13</v>
      </c>
      <c r="AJ119" s="13">
        <f>AI119*VLOOKUP('Données projet'!$B$10,Paramètres!$A$1:$I$89,3,0)*VLOOKUP('Données projet'!$B$10,Paramètres!$A$1:$I$89,5,0)</f>
        <v>-2.0395418687257919E-13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317.328615425664</v>
      </c>
      <c r="AO119" s="59">
        <f t="shared" si="90"/>
        <v>324.95872842255744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57.904016784306584</v>
      </c>
      <c r="AV119" s="21">
        <f>EXP(-LN(2)/25)*AV118+(1-EXP(-LN(2)/25))/(LN(2)/25)*Calculateur!AQ119*Calculateur!AS119*VLOOKUP('Données projet'!$B$10,Paramètres!$A$1:$I$89,3,0)*0.475*44/12</f>
        <v>7.1632896016562526</v>
      </c>
      <c r="AW119" s="21">
        <f>EXP(-LN(2)/2)*AW118+(1-EXP(-LN(2)/2))/(LN(2)/2)*AQ119*AT119*VLOOKUP('Données projet'!$B$10,Paramètres!$A$1:$I$89,3,0)*0.475*44/12</f>
        <v>1.0020011977588436E-7</v>
      </c>
      <c r="AX119" s="21">
        <f t="shared" si="60"/>
        <v>65.067306486162963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-6.5483618527650828E-14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418.31716673276725</v>
      </c>
      <c r="BJ119" s="59">
        <f t="shared" si="92"/>
        <v>472.37891533957929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45.175249944337743</v>
      </c>
      <c r="BQ119" s="21">
        <f>EXP(-LN(2)/25)*BQ118+(1-EXP(-LN(2)/25))/(LN(2)/25)*Calculateur!BL119*Calculateur!BN119*VLOOKUP('Données projet'!$B$11,Paramètres!$A$1:$I$89,3,0)*0.475*44/12</f>
        <v>6.5344650602659273</v>
      </c>
      <c r="BR119" s="21">
        <f>EXP(-LN(2)/2)*BR118+(1-EXP(-LN(2)/2))/(LN(2)/2)*BL119*BO119*VLOOKUP('Données projet'!$B$11,Paramètres!$A$1:$I$89,3,0)*0.475*44/12</f>
        <v>1.5540952658652509E-7</v>
      </c>
      <c r="BS119" s="22">
        <f t="shared" si="63"/>
        <v>51.709715160013197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1.1368683772161603E-13</v>
      </c>
      <c r="BZ119" s="13">
        <f>BY119*VLOOKUP('Données projet'!$B$12,Paramètres!$A$1:$I$89,3,0)*VLOOKUP('Données projet'!$B$12,Paramètres!$A$1:$I$89,5,0)</f>
        <v>6.6506800067145386E-14</v>
      </c>
      <c r="CA119" s="13">
        <f t="shared" si="93"/>
        <v>1.0476989505385114E-12</v>
      </c>
      <c r="CB119" s="20">
        <f t="shared" si="64"/>
        <v>1.9405750156381857E-12</v>
      </c>
      <c r="CC119" s="59">
        <f t="shared" si="65"/>
        <v>281.29424389472342</v>
      </c>
      <c r="CD119" s="59">
        <f ca="1">AVERAGE(OFFSET($CC$3,0,0,'Données projet'!$E$12+1,1))-AVERAGE(OFFSET($H$3,0,0,'Données projet'!$E$12+1,1))</f>
        <v>184.11352167663844</v>
      </c>
      <c r="CE119" s="59">
        <f t="shared" si="94"/>
        <v>145.86653500981791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32.840810521173502</v>
      </c>
      <c r="CL119" s="21">
        <f>EXP(-LN(2)/25)*CL118+(1-EXP(-LN(2)/25))/(LN(2)/25)*Calculateur!CG119*Calculateur!CI119*VLOOKUP('Données projet'!$B$12,Paramètres!$A$1:$I$89,3,0)*0.475*44/12</f>
        <v>10.367845739648844</v>
      </c>
      <c r="CM119" s="21">
        <f>EXP(-LN(2)/2)*CM118+(1-EXP(-LN(2)/2))/(LN(2)/2)*CG119*CJ119*VLOOKUP('Données projet'!$B$12,Paramètres!$A$1:$I$89,3,0)*0.475*44/12</f>
        <v>2.3059445491355511E-3</v>
      </c>
      <c r="CN119" s="22">
        <f t="shared" si="66"/>
        <v>43.21096220537148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4.3927272727272717</v>
      </c>
      <c r="CT119" s="12">
        <f>IF('Données projet'!$A$140&gt;35,CT118+CS119-DB118,IF(A119&lt;'Données projet'!$A$140,$CQ$205^A119,IF(A119='Données projet'!$A$140,'Données projet'!$B$140,CT118+CS119-DB118)))</f>
        <v>282.86272727272723</v>
      </c>
      <c r="CU119" s="17">
        <f>CT119*VLOOKUP('Données projet'!$B$13,Paramètres!$A$1:$I$89,3,0)*VLOOKUP('Données projet'!$B$13,Paramètres!$A$1:$I$89,5,0)</f>
        <v>136.05697181818181</v>
      </c>
      <c r="CV119" s="13">
        <f t="shared" si="95"/>
        <v>35.392216701719846</v>
      </c>
      <c r="CW119" s="20">
        <f t="shared" si="67"/>
        <v>298.60733667216209</v>
      </c>
      <c r="CX119" s="59">
        <f t="shared" si="68"/>
        <v>579.90158056688358</v>
      </c>
      <c r="CY119" s="59">
        <f ca="1">AVERAGE(OFFSET($CX$3,0,0,'Données projet'!$E$13+1,1))-AVERAGE(OFFSET($H$3,0,0,'Données projet'!$E$13+1,1))</f>
        <v>303.76035885073708</v>
      </c>
      <c r="CZ119" s="59">
        <f t="shared" si="96"/>
        <v>127.43112562890414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18.528978120289228</v>
      </c>
      <c r="DG119" s="21">
        <f>EXP(-LN(2)/25)*DG118+(1-EXP(-LN(2)/25))/(LN(2)/25)*Calculateur!DB119*Calculateur!DD119*VLOOKUP('Données projet'!$B$13,Paramètres!$A$1:$I$89,3,0)*0.475*44/12</f>
        <v>23.908215065007141</v>
      </c>
      <c r="DH119" s="21">
        <f>EXP(-LN(2)/2)*DH118+(1-EXP(-LN(2)/2))/(LN(2)/2)*DB119*DE119*VLOOKUP('Données projet'!$B$13,Paramètres!$A$1:$I$89,3,0)*0.475*44/12</f>
        <v>6.5259062456573416</v>
      </c>
      <c r="DI119" s="22">
        <f t="shared" si="69"/>
        <v>48.963099430953704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5.6843418860808015E-14</v>
      </c>
      <c r="DP119" s="17">
        <f>DO119*VLOOKUP('Données projet'!$B$14,Paramètres!$A$1:$I$89,3,0)*VLOOKUP('Données projet'!$B$14,Paramètres!$A$1:$I$89,5,0)</f>
        <v>3.2810021366458389E-14</v>
      </c>
      <c r="DQ119" s="13">
        <f t="shared" si="97"/>
        <v>5.6117125884464641E-13</v>
      </c>
      <c r="DR119" s="20">
        <f t="shared" si="70"/>
        <v>1.0345173963676741E-12</v>
      </c>
      <c r="DS119" s="59">
        <f t="shared" si="71"/>
        <v>281.29424389472251</v>
      </c>
      <c r="DT119" s="59">
        <f ca="1">AVERAGE(OFFSET($DS$3,0,0,'Données projet'!$E$14+1,1))-AVERAGE(OFFSET($H$3,0,0,'Données projet'!$E$14+1,1))</f>
        <v>243.65374431792841</v>
      </c>
      <c r="DU119" s="59">
        <f t="shared" si="98"/>
        <v>271.60754570002939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19.638444400313396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19.638444400313396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1.9</v>
      </c>
      <c r="EJ119" s="12">
        <f>IF('Données projet'!$A$192&gt;35,EJ118+EI119-ER118,IF(A119&lt;'Données projet'!$A$192,$EG$205^A119,IF(A119='Données projet'!$A$192,'Données projet'!$B$192,EJ118+EI119-ER118)))</f>
        <v>277.39999999999964</v>
      </c>
      <c r="EK119" s="17">
        <f>EJ119*VLOOKUP('Données projet'!$B$15,Paramètres!$A$1:$I$89,3,0)*VLOOKUP('Données projet'!$B$15,Paramètres!$A$1:$I$89,5,0)</f>
        <v>186.07991999999976</v>
      </c>
      <c r="EL119" s="13">
        <f t="shared" si="99"/>
        <v>46.672230055835392</v>
      </c>
      <c r="EM119" s="20">
        <f t="shared" si="73"/>
        <v>405.37666134724623</v>
      </c>
      <c r="EN119" s="59">
        <f t="shared" si="74"/>
        <v>686.67090524196772</v>
      </c>
      <c r="EO119" s="59">
        <f ca="1">AVERAGE(OFFSET($EN$3,0,0,'Données projet'!$E$15+1,1))-AVERAGE(OFFSET($H$3,0,0,'Données projet'!$E$15+1,1))</f>
        <v>321.44781099085594</v>
      </c>
      <c r="EP119" s="59">
        <f t="shared" si="100"/>
        <v>201.22243186578183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26.036945445637166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26.036945445637166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2.8421709430404007E-14</v>
      </c>
      <c r="FF119" s="17">
        <f>FE119*VLOOKUP('Données projet'!$B$16,Paramètres!$A$1:$I$89,3,0)*VLOOKUP('Données projet'!$B$16,Paramètres!$A$1:$I$89,5,0)</f>
        <v>2.4829205358400945E-14</v>
      </c>
      <c r="FG119" s="13">
        <f t="shared" si="101"/>
        <v>4.3867331143352915E-13</v>
      </c>
      <c r="FH119" s="20">
        <f t="shared" si="76"/>
        <v>8.0726688341261168E-13</v>
      </c>
      <c r="FI119" s="59">
        <f t="shared" si="77"/>
        <v>281.29424389472229</v>
      </c>
      <c r="FJ119" s="59">
        <f ca="1">AVERAGE(OFFSET($FI$3,0,0,'Données projet'!$E$16+1,1))-AVERAGE(OFFSET($H$3,0,0,'Données projet'!$E$16+1,1))</f>
        <v>285.8437404763045</v>
      </c>
      <c r="FK119" s="59">
        <f t="shared" si="102"/>
        <v>276.01618888357268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38.899781595658872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38.899781595658872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-1.7053025658242404E-13</v>
      </c>
      <c r="GA119" s="17">
        <f>FZ119*VLOOKUP('Données projet'!$B$17,Paramètres!$A$1:$I$89,3,0)*VLOOKUP('Données projet'!$B$17,Paramètres!$A$1:$I$89,5,0)</f>
        <v>-1.3567387213697657E-13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323.01113210765487</v>
      </c>
      <c r="GF119" s="59">
        <f t="shared" si="104"/>
        <v>311.68541696405975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44.655154534713411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44.655154534713411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2.8421709430404007E-14</v>
      </c>
      <c r="GV119" s="17">
        <f>GU119*VLOOKUP('Données projet'!$B$18,Paramètres!$A$1:$I$89,3,0)*VLOOKUP('Données projet'!$B$18,Paramètres!$A$1:$I$89,5,0)</f>
        <v>2.4829205358400945E-14</v>
      </c>
      <c r="GW119" s="13">
        <f t="shared" si="105"/>
        <v>4.3867331143352915E-13</v>
      </c>
      <c r="GX119" s="20">
        <f t="shared" si="82"/>
        <v>8.0726688341261168E-13</v>
      </c>
      <c r="GY119" s="59">
        <f t="shared" si="83"/>
        <v>281.29424389472229</v>
      </c>
      <c r="GZ119" s="59">
        <f ca="1">AVERAGE(OFFSET($GY$3,0,0,'Données projet'!$E$18+1,1))-AVERAGE(OFFSET($H$3,0,0,'Données projet'!$E$18+1,1))</f>
        <v>285.8437404763045</v>
      </c>
      <c r="HA119" s="59">
        <f t="shared" si="106"/>
        <v>276.01618888357268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38.899781595658872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38.899781595658872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</v>
      </c>
      <c r="N120" s="13">
        <f>IF('Données projet'!$A$36&gt;35,N119+M120-V119,IF(A120&lt;'Données projet'!$A$36,$K$205^A120,IF(A120='Données projet'!$A$36,'Données projet'!$B$36,N119+M120-V119)))</f>
        <v>211.99999999999989</v>
      </c>
      <c r="O120" s="13">
        <f>N120*VLOOKUP('Données projet'!$B$9,Paramètres!$A$1:$I$89,3,0)*VLOOKUP('Données projet'!$B$9,Paramètres!$A$1:$I$89,5,0)</f>
        <v>191.81759999999989</v>
      </c>
      <c r="P120" s="13">
        <f t="shared" si="87"/>
        <v>47.941575465657095</v>
      </c>
      <c r="Q120" s="20">
        <f t="shared" si="107"/>
        <v>417.58056393601925</v>
      </c>
      <c r="R120" s="59">
        <f t="shared" si="55"/>
        <v>699.08365911712895</v>
      </c>
      <c r="S120" s="59">
        <f ca="1">AVERAGE(OFFSET($R$3,0,0,'Données projet'!$E$9+1,1))-AVERAGE(OFFSET($H$3,0,0,'Données projet'!$E$9+1,1))</f>
        <v>315.34103933739129</v>
      </c>
      <c r="T120" s="59">
        <f t="shared" si="88"/>
        <v>165.80901858372513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26.813735436312452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26.813735436312452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-3.4106051316484809E-13</v>
      </c>
      <c r="AJ120" s="13">
        <f>AI120*VLOOKUP('Données projet'!$B$10,Paramètres!$A$1:$I$89,3,0)*VLOOKUP('Données projet'!$B$10,Paramètres!$A$1:$I$89,5,0)</f>
        <v>-2.0395418687257919E-13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317.328615425664</v>
      </c>
      <c r="AO120" s="59">
        <f t="shared" si="90"/>
        <v>324.95872842255744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56.76855433312921</v>
      </c>
      <c r="AV120" s="21">
        <f>EXP(-LN(2)/25)*AV119+(1-EXP(-LN(2)/25))/(LN(2)/25)*Calculateur!AQ120*Calculateur!AS120*VLOOKUP('Données projet'!$B$10,Paramètres!$A$1:$I$89,3,0)*0.475*44/12</f>
        <v>6.9674090707979346</v>
      </c>
      <c r="AW120" s="21">
        <f>EXP(-LN(2)/2)*AW119+(1-EXP(-LN(2)/2))/(LN(2)/2)*AQ120*AT120*VLOOKUP('Données projet'!$B$10,Paramètres!$A$1:$I$89,3,0)*0.475*44/12</f>
        <v>7.0852184169232111E-8</v>
      </c>
      <c r="AX120" s="21">
        <f t="shared" si="60"/>
        <v>63.735963474779325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-6.5483618527650828E-14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418.31716673276725</v>
      </c>
      <c r="BJ120" s="59">
        <f t="shared" si="92"/>
        <v>472.37891533957929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44.289390847110994</v>
      </c>
      <c r="BQ120" s="21">
        <f>EXP(-LN(2)/25)*BQ119+(1-EXP(-LN(2)/25))/(LN(2)/25)*Calculateur!BL120*Calculateur!BN120*VLOOKUP('Données projet'!$B$11,Paramètres!$A$1:$I$89,3,0)*0.475*44/12</f>
        <v>6.3557797695603728</v>
      </c>
      <c r="BR120" s="21">
        <f>EXP(-LN(2)/2)*BR119+(1-EXP(-LN(2)/2))/(LN(2)/2)*BL120*BO120*VLOOKUP('Données projet'!$B$11,Paramètres!$A$1:$I$89,3,0)*0.475*44/12</f>
        <v>1.0989113011032294E-7</v>
      </c>
      <c r="BS120" s="22">
        <f t="shared" si="63"/>
        <v>50.645170726562498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1.1368683772161603E-13</v>
      </c>
      <c r="BZ120" s="13">
        <f>BY120*VLOOKUP('Données projet'!$B$12,Paramètres!$A$1:$I$89,3,0)*VLOOKUP('Données projet'!$B$12,Paramètres!$A$1:$I$89,5,0)</f>
        <v>6.6506800067145386E-14</v>
      </c>
      <c r="CA120" s="13">
        <f t="shared" si="93"/>
        <v>1.0476989505385114E-12</v>
      </c>
      <c r="CB120" s="20">
        <f t="shared" si="64"/>
        <v>1.9405750156381857E-12</v>
      </c>
      <c r="CC120" s="59">
        <f t="shared" si="65"/>
        <v>281.50309518111158</v>
      </c>
      <c r="CD120" s="59">
        <f ca="1">AVERAGE(OFFSET($CC$3,0,0,'Données projet'!$E$12+1,1))-AVERAGE(OFFSET($H$3,0,0,'Données projet'!$E$12+1,1))</f>
        <v>184.11352167663844</v>
      </c>
      <c r="CE120" s="59">
        <f t="shared" si="94"/>
        <v>145.86653500981791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32.196822257769817</v>
      </c>
      <c r="CL120" s="21">
        <f>EXP(-LN(2)/25)*CL119+(1-EXP(-LN(2)/25))/(LN(2)/25)*Calculateur!CG120*Calculateur!CI120*VLOOKUP('Données projet'!$B$12,Paramètres!$A$1:$I$89,3,0)*0.475*44/12</f>
        <v>10.084336452676835</v>
      </c>
      <c r="CM120" s="21">
        <f>EXP(-LN(2)/2)*CM119+(1-EXP(-LN(2)/2))/(LN(2)/2)*CG120*CJ120*VLOOKUP('Données projet'!$B$12,Paramètres!$A$1:$I$89,3,0)*0.475*44/12</f>
        <v>1.6305490277339042E-3</v>
      </c>
      <c r="CN120" s="22">
        <f t="shared" si="66"/>
        <v>42.282789259474384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4.3927272727272717</v>
      </c>
      <c r="CT120" s="12">
        <f>IF('Données projet'!$A$140&gt;35,CT119+CS120-DB119,IF(A120&lt;'Données projet'!$A$140,$CQ$205^A120,IF(A120='Données projet'!$A$140,'Données projet'!$B$140,CT119+CS120-DB119)))</f>
        <v>287.25545454545448</v>
      </c>
      <c r="CU120" s="17">
        <f>CT120*VLOOKUP('Données projet'!$B$13,Paramètres!$A$1:$I$89,3,0)*VLOOKUP('Données projet'!$B$13,Paramètres!$A$1:$I$89,5,0)</f>
        <v>138.1698736363636</v>
      </c>
      <c r="CV120" s="13">
        <f t="shared" si="95"/>
        <v>35.87742870784809</v>
      </c>
      <c r="CW120" s="20">
        <f t="shared" si="67"/>
        <v>303.13238491616863</v>
      </c>
      <c r="CX120" s="59">
        <f t="shared" si="68"/>
        <v>584.63548009727833</v>
      </c>
      <c r="CY120" s="59">
        <f ca="1">AVERAGE(OFFSET($CX$3,0,0,'Données projet'!$E$13+1,1))-AVERAGE(OFFSET($H$3,0,0,'Données projet'!$E$13+1,1))</f>
        <v>303.76035885073708</v>
      </c>
      <c r="CZ120" s="59">
        <f t="shared" si="96"/>
        <v>127.43112562890414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18.165636160911074</v>
      </c>
      <c r="DG120" s="21">
        <f>EXP(-LN(2)/25)*DG119+(1-EXP(-LN(2)/25))/(LN(2)/25)*Calculateur!DB120*Calculateur!DD120*VLOOKUP('Données projet'!$B$13,Paramètres!$A$1:$I$89,3,0)*0.475*44/12</f>
        <v>23.254443666776133</v>
      </c>
      <c r="DH120" s="21">
        <f>EXP(-LN(2)/2)*DH119+(1-EXP(-LN(2)/2))/(LN(2)/2)*DB120*DE120*VLOOKUP('Données projet'!$B$13,Paramètres!$A$1:$I$89,3,0)*0.475*44/12</f>
        <v>4.6145125596919501</v>
      </c>
      <c r="DI120" s="22">
        <f t="shared" si="69"/>
        <v>46.034592387379156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5.6843418860808015E-14</v>
      </c>
      <c r="DP120" s="17">
        <f>DO120*VLOOKUP('Données projet'!$B$14,Paramètres!$A$1:$I$89,3,0)*VLOOKUP('Données projet'!$B$14,Paramètres!$A$1:$I$89,5,0)</f>
        <v>3.2810021366458389E-14</v>
      </c>
      <c r="DQ120" s="13">
        <f t="shared" si="97"/>
        <v>5.6117125884464641E-13</v>
      </c>
      <c r="DR120" s="20">
        <f t="shared" si="70"/>
        <v>1.0345173963676741E-12</v>
      </c>
      <c r="DS120" s="59">
        <f t="shared" si="71"/>
        <v>281.50309518111067</v>
      </c>
      <c r="DT120" s="59">
        <f ca="1">AVERAGE(OFFSET($DS$3,0,0,'Données projet'!$E$14+1,1))-AVERAGE(OFFSET($H$3,0,0,'Données projet'!$E$14+1,1))</f>
        <v>243.65374431792841</v>
      </c>
      <c r="DU120" s="59">
        <f t="shared" si="98"/>
        <v>271.60754570002939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19.25334648389158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19.25334648389158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1.9</v>
      </c>
      <c r="EJ120" s="12">
        <f>IF('Données projet'!$A$192&gt;35,EJ119+EI120-ER119,IF(A120&lt;'Données projet'!$A$192,$EG$205^A120,IF(A120='Données projet'!$A$192,'Données projet'!$B$192,EJ119+EI120-ER119)))</f>
        <v>279.29999999999961</v>
      </c>
      <c r="EK120" s="17">
        <f>EJ120*VLOOKUP('Données projet'!$B$15,Paramètres!$A$1:$I$89,3,0)*VLOOKUP('Données projet'!$B$15,Paramètres!$A$1:$I$89,5,0)</f>
        <v>187.35443999999976</v>
      </c>
      <c r="EL120" s="13">
        <f t="shared" si="99"/>
        <v>46.954580637255056</v>
      </c>
      <c r="EM120" s="20">
        <f t="shared" si="73"/>
        <v>408.08821094321871</v>
      </c>
      <c r="EN120" s="59">
        <f t="shared" si="74"/>
        <v>689.59130612432841</v>
      </c>
      <c r="EO120" s="59">
        <f ca="1">AVERAGE(OFFSET($EN$3,0,0,'Données projet'!$E$15+1,1))-AVERAGE(OFFSET($H$3,0,0,'Données projet'!$E$15+1,1))</f>
        <v>321.44781099085594</v>
      </c>
      <c r="EP120" s="59">
        <f t="shared" si="100"/>
        <v>201.22243186578183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25.526376826416826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25.526376826416826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2.8421709430404007E-14</v>
      </c>
      <c r="FF120" s="17">
        <f>FE120*VLOOKUP('Données projet'!$B$16,Paramètres!$A$1:$I$89,3,0)*VLOOKUP('Données projet'!$B$16,Paramètres!$A$1:$I$89,5,0)</f>
        <v>2.4829205358400945E-14</v>
      </c>
      <c r="FG120" s="13">
        <f t="shared" si="101"/>
        <v>4.3867331143352915E-13</v>
      </c>
      <c r="FH120" s="20">
        <f t="shared" si="76"/>
        <v>8.0726688341261168E-13</v>
      </c>
      <c r="FI120" s="59">
        <f t="shared" si="77"/>
        <v>281.50309518111044</v>
      </c>
      <c r="FJ120" s="59">
        <f ca="1">AVERAGE(OFFSET($FI$3,0,0,'Données projet'!$E$16+1,1))-AVERAGE(OFFSET($H$3,0,0,'Données projet'!$E$16+1,1))</f>
        <v>285.8437404763045</v>
      </c>
      <c r="FK120" s="59">
        <f t="shared" si="102"/>
        <v>276.01618888357268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38.136980605091978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38.136980605091978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-1.7053025658242404E-13</v>
      </c>
      <c r="GA120" s="17">
        <f>FZ120*VLOOKUP('Données projet'!$B$17,Paramètres!$A$1:$I$89,3,0)*VLOOKUP('Données projet'!$B$17,Paramètres!$A$1:$I$89,5,0)</f>
        <v>-1.3567387213697657E-13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323.01113210765487</v>
      </c>
      <c r="GF120" s="59">
        <f t="shared" si="104"/>
        <v>311.68541696405975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43.77949419124252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43.77949419124252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2.8421709430404007E-14</v>
      </c>
      <c r="GV120" s="17">
        <f>GU120*VLOOKUP('Données projet'!$B$18,Paramètres!$A$1:$I$89,3,0)*VLOOKUP('Données projet'!$B$18,Paramètres!$A$1:$I$89,5,0)</f>
        <v>2.4829205358400945E-14</v>
      </c>
      <c r="GW120" s="13">
        <f t="shared" si="105"/>
        <v>4.3867331143352915E-13</v>
      </c>
      <c r="GX120" s="20">
        <f t="shared" si="82"/>
        <v>8.0726688341261168E-13</v>
      </c>
      <c r="GY120" s="59">
        <f t="shared" si="83"/>
        <v>281.50309518111044</v>
      </c>
      <c r="GZ120" s="59">
        <f ca="1">AVERAGE(OFFSET($GY$3,0,0,'Données projet'!$E$18+1,1))-AVERAGE(OFFSET($H$3,0,0,'Données projet'!$E$18+1,1))</f>
        <v>285.8437404763045</v>
      </c>
      <c r="HA120" s="59">
        <f t="shared" si="106"/>
        <v>276.01618888357268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38.136980605091978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38.136980605091978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</v>
      </c>
      <c r="N121" s="13">
        <f>IF('Données projet'!$A$36&gt;35,N120+M121-V120,IF(A121&lt;'Données projet'!$A$36,$K$205^A121,IF(A121='Données projet'!$A$36,'Données projet'!$B$36,N120+M121-V120)))</f>
        <v>214.99999999999989</v>
      </c>
      <c r="O121" s="13">
        <f>N121*VLOOKUP('Données projet'!$B$9,Paramètres!$A$1:$I$89,3,0)*VLOOKUP('Données projet'!$B$9,Paramètres!$A$1:$I$89,5,0)</f>
        <v>194.5319999999999</v>
      </c>
      <c r="P121" s="13">
        <f t="shared" si="87"/>
        <v>48.540534952652578</v>
      </c>
      <c r="Q121" s="20">
        <f t="shared" si="107"/>
        <v>423.35133170920295</v>
      </c>
      <c r="R121" s="59">
        <f t="shared" si="55"/>
        <v>705.05965507380336</v>
      </c>
      <c r="S121" s="59">
        <f ca="1">AVERAGE(OFFSET($R$3,0,0,'Données projet'!$E$9+1,1))-AVERAGE(OFFSET($H$3,0,0,'Données projet'!$E$9+1,1))</f>
        <v>315.34103933739129</v>
      </c>
      <c r="T121" s="59">
        <f t="shared" si="88"/>
        <v>165.80901858372513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26.287934439170083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26.287934439170083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-3.4106051316484809E-13</v>
      </c>
      <c r="AJ121" s="13">
        <f>AI121*VLOOKUP('Données projet'!$B$10,Paramètres!$A$1:$I$89,3,0)*VLOOKUP('Données projet'!$B$10,Paramètres!$A$1:$I$89,5,0)</f>
        <v>-2.0395418687257919E-13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317.328615425664</v>
      </c>
      <c r="AO121" s="59">
        <f t="shared" si="90"/>
        <v>324.95872842255744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55.655357608055716</v>
      </c>
      <c r="AV121" s="21">
        <f>EXP(-LN(2)/25)*AV120+(1-EXP(-LN(2)/25))/(LN(2)/25)*Calculateur!AQ121*Calculateur!AS121*VLOOKUP('Données projet'!$B$10,Paramètres!$A$1:$I$89,3,0)*0.475*44/12</f>
        <v>6.7768849033568461</v>
      </c>
      <c r="AW121" s="21">
        <f>EXP(-LN(2)/2)*AW120+(1-EXP(-LN(2)/2))/(LN(2)/2)*AQ121*AT121*VLOOKUP('Données projet'!$B$10,Paramètres!$A$1:$I$89,3,0)*0.475*44/12</f>
        <v>5.0100059887942178E-8</v>
      </c>
      <c r="AX121" s="21">
        <f t="shared" si="60"/>
        <v>62.432242561512624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-6.5483618527650828E-14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418.31716673276725</v>
      </c>
      <c r="BJ121" s="59">
        <f t="shared" si="92"/>
        <v>472.37891533957929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43.420902906460164</v>
      </c>
      <c r="BQ121" s="21">
        <f>EXP(-LN(2)/25)*BQ120+(1-EXP(-LN(2)/25))/(LN(2)/25)*Calculateur!BL121*Calculateur!BN121*VLOOKUP('Données projet'!$B$11,Paramètres!$A$1:$I$89,3,0)*0.475*44/12</f>
        <v>6.1819806375258128</v>
      </c>
      <c r="BR121" s="21">
        <f>EXP(-LN(2)/2)*BR120+(1-EXP(-LN(2)/2))/(LN(2)/2)*BL121*BO121*VLOOKUP('Données projet'!$B$11,Paramètres!$A$1:$I$89,3,0)*0.475*44/12</f>
        <v>7.7704763293262547E-8</v>
      </c>
      <c r="BS121" s="22">
        <f t="shared" si="63"/>
        <v>49.602883621690737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1.1368683772161603E-13</v>
      </c>
      <c r="BZ121" s="13">
        <f>BY121*VLOOKUP('Données projet'!$B$12,Paramètres!$A$1:$I$89,3,0)*VLOOKUP('Données projet'!$B$12,Paramètres!$A$1:$I$89,5,0)</f>
        <v>6.6506800067145386E-14</v>
      </c>
      <c r="CA121" s="13">
        <f t="shared" si="93"/>
        <v>1.0476989505385114E-12</v>
      </c>
      <c r="CB121" s="20">
        <f t="shared" si="64"/>
        <v>1.9405750156381857E-12</v>
      </c>
      <c r="CC121" s="59">
        <f t="shared" si="65"/>
        <v>281.70832336460234</v>
      </c>
      <c r="CD121" s="59">
        <f ca="1">AVERAGE(OFFSET($CC$3,0,0,'Données projet'!$E$12+1,1))-AVERAGE(OFFSET($H$3,0,0,'Données projet'!$E$12+1,1))</f>
        <v>184.11352167663844</v>
      </c>
      <c r="CE121" s="59">
        <f t="shared" si="94"/>
        <v>145.86653500981791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31.565462211417426</v>
      </c>
      <c r="CL121" s="21">
        <f>EXP(-LN(2)/25)*CL120+(1-EXP(-LN(2)/25))/(LN(2)/25)*Calculateur!CG121*Calculateur!CI121*VLOOKUP('Données projet'!$B$12,Paramètres!$A$1:$I$89,3,0)*0.475*44/12</f>
        <v>9.8085797420661809</v>
      </c>
      <c r="CM121" s="21">
        <f>EXP(-LN(2)/2)*CM120+(1-EXP(-LN(2)/2))/(LN(2)/2)*CG121*CJ121*VLOOKUP('Données projet'!$B$12,Paramètres!$A$1:$I$89,3,0)*0.475*44/12</f>
        <v>1.1529722745677756E-3</v>
      </c>
      <c r="CN121" s="22">
        <f t="shared" si="66"/>
        <v>41.375194925758173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4.3927272727272717</v>
      </c>
      <c r="CT121" s="12">
        <f>IF('Données projet'!$A$140&gt;35,CT120+CS121-DB120,IF(A121&lt;'Données projet'!$A$140,$CQ$205^A121,IF(A121='Données projet'!$A$140,'Données projet'!$B$140,CT120+CS121-DB120)))</f>
        <v>291.64818181818174</v>
      </c>
      <c r="CU121" s="17">
        <f>CT121*VLOOKUP('Données projet'!$B$13,Paramètres!$A$1:$I$89,3,0)*VLOOKUP('Données projet'!$B$13,Paramètres!$A$1:$I$89,5,0)</f>
        <v>140.28277545454543</v>
      </c>
      <c r="CV121" s="13">
        <f t="shared" si="95"/>
        <v>36.361777771377184</v>
      </c>
      <c r="CW121" s="20">
        <f t="shared" si="67"/>
        <v>307.65593020181518</v>
      </c>
      <c r="CX121" s="59">
        <f t="shared" si="68"/>
        <v>589.36425356641553</v>
      </c>
      <c r="CY121" s="59">
        <f ca="1">AVERAGE(OFFSET($CX$3,0,0,'Données projet'!$E$13+1,1))-AVERAGE(OFFSET($H$3,0,0,'Données projet'!$E$13+1,1))</f>
        <v>303.76035885073708</v>
      </c>
      <c r="CZ121" s="59">
        <f t="shared" si="96"/>
        <v>127.43112562890414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17.809419115739612</v>
      </c>
      <c r="DG121" s="21">
        <f>EXP(-LN(2)/25)*DG120+(1-EXP(-LN(2)/25))/(LN(2)/25)*Calculateur!DB121*Calculateur!DD121*VLOOKUP('Données projet'!$B$13,Paramètres!$A$1:$I$89,3,0)*0.475*44/12</f>
        <v>22.618549681810094</v>
      </c>
      <c r="DH121" s="21">
        <f>EXP(-LN(2)/2)*DH120+(1-EXP(-LN(2)/2))/(LN(2)/2)*DB121*DE121*VLOOKUP('Données projet'!$B$13,Paramètres!$A$1:$I$89,3,0)*0.475*44/12</f>
        <v>3.2629531228286712</v>
      </c>
      <c r="DI121" s="22">
        <f t="shared" si="69"/>
        <v>43.690921920378379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5.6843418860808015E-14</v>
      </c>
      <c r="DP121" s="17">
        <f>DO121*VLOOKUP('Données projet'!$B$14,Paramètres!$A$1:$I$89,3,0)*VLOOKUP('Données projet'!$B$14,Paramètres!$A$1:$I$89,5,0)</f>
        <v>3.2810021366458389E-14</v>
      </c>
      <c r="DQ121" s="13">
        <f t="shared" si="97"/>
        <v>5.6117125884464641E-13</v>
      </c>
      <c r="DR121" s="20">
        <f t="shared" si="70"/>
        <v>1.0345173963676741E-12</v>
      </c>
      <c r="DS121" s="59">
        <f t="shared" si="71"/>
        <v>281.70832336460143</v>
      </c>
      <c r="DT121" s="59">
        <f ca="1">AVERAGE(OFFSET($DS$3,0,0,'Données projet'!$E$14+1,1))-AVERAGE(OFFSET($H$3,0,0,'Données projet'!$E$14+1,1))</f>
        <v>243.65374431792841</v>
      </c>
      <c r="DU121" s="59">
        <f t="shared" si="98"/>
        <v>271.60754570002939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18.875800102724259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18.875800102724259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1.9</v>
      </c>
      <c r="EJ121" s="12">
        <f>IF('Données projet'!$A$192&gt;35,EJ120+EI121-ER120,IF(A121&lt;'Données projet'!$A$192,$EG$205^A121,IF(A121='Données projet'!$A$192,'Données projet'!$B$192,EJ120+EI121-ER120)))</f>
        <v>281.19999999999959</v>
      </c>
      <c r="EK121" s="17">
        <f>EJ121*VLOOKUP('Données projet'!$B$15,Paramètres!$A$1:$I$89,3,0)*VLOOKUP('Données projet'!$B$15,Paramètres!$A$1:$I$89,5,0)</f>
        <v>188.62895999999972</v>
      </c>
      <c r="EL121" s="13">
        <f t="shared" si="99"/>
        <v>47.236707729783255</v>
      </c>
      <c r="EM121" s="20">
        <f t="shared" si="73"/>
        <v>410.79937129603871</v>
      </c>
      <c r="EN121" s="59">
        <f t="shared" si="74"/>
        <v>692.50769466063912</v>
      </c>
      <c r="EO121" s="59">
        <f ca="1">AVERAGE(OFFSET($EN$3,0,0,'Données projet'!$E$15+1,1))-AVERAGE(OFFSET($H$3,0,0,'Données projet'!$E$15+1,1))</f>
        <v>321.44781099085594</v>
      </c>
      <c r="EP121" s="59">
        <f t="shared" si="100"/>
        <v>201.22243186578183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25.025820146403291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25.025820146403291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2.8421709430404007E-14</v>
      </c>
      <c r="FF121" s="17">
        <f>FE121*VLOOKUP('Données projet'!$B$16,Paramètres!$A$1:$I$89,3,0)*VLOOKUP('Données projet'!$B$16,Paramètres!$A$1:$I$89,5,0)</f>
        <v>2.4829205358400945E-14</v>
      </c>
      <c r="FG121" s="13">
        <f t="shared" si="101"/>
        <v>4.3867331143352915E-13</v>
      </c>
      <c r="FH121" s="20">
        <f t="shared" si="76"/>
        <v>8.0726688341261168E-13</v>
      </c>
      <c r="FI121" s="59">
        <f t="shared" si="77"/>
        <v>281.7083233646012</v>
      </c>
      <c r="FJ121" s="59">
        <f ca="1">AVERAGE(OFFSET($FI$3,0,0,'Données projet'!$E$16+1,1))-AVERAGE(OFFSET($H$3,0,0,'Données projet'!$E$16+1,1))</f>
        <v>285.8437404763045</v>
      </c>
      <c r="FK121" s="59">
        <f t="shared" si="102"/>
        <v>276.01618888357268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37.389137676687433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37.389137676687433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-1.7053025658242404E-13</v>
      </c>
      <c r="GA121" s="17">
        <f>FZ121*VLOOKUP('Données projet'!$B$17,Paramètres!$A$1:$I$89,3,0)*VLOOKUP('Données projet'!$B$17,Paramètres!$A$1:$I$89,5,0)</f>
        <v>-1.3567387213697657E-13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323.01113210765487</v>
      </c>
      <c r="GF121" s="59">
        <f t="shared" si="104"/>
        <v>311.68541696405975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42.921005013007026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42.921005013007026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2.8421709430404007E-14</v>
      </c>
      <c r="GV121" s="17">
        <f>GU121*VLOOKUP('Données projet'!$B$18,Paramètres!$A$1:$I$89,3,0)*VLOOKUP('Données projet'!$B$18,Paramètres!$A$1:$I$89,5,0)</f>
        <v>2.4829205358400945E-14</v>
      </c>
      <c r="GW121" s="13">
        <f t="shared" si="105"/>
        <v>4.3867331143352915E-13</v>
      </c>
      <c r="GX121" s="20">
        <f t="shared" si="82"/>
        <v>8.0726688341261168E-13</v>
      </c>
      <c r="GY121" s="59">
        <f t="shared" si="83"/>
        <v>281.7083233646012</v>
      </c>
      <c r="GZ121" s="59">
        <f ca="1">AVERAGE(OFFSET($GY$3,0,0,'Données projet'!$E$18+1,1))-AVERAGE(OFFSET($H$3,0,0,'Données projet'!$E$18+1,1))</f>
        <v>285.8437404763045</v>
      </c>
      <c r="HA121" s="59">
        <f t="shared" si="106"/>
        <v>276.01618888357268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37.389137676687433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37.389137676687433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</v>
      </c>
      <c r="N122" s="13">
        <f>IF('Données projet'!$A$36&gt;35,N121+M122-V121,IF(A122&lt;'Données projet'!$A$36,$K$205^A122,IF(A122='Données projet'!$A$36,'Données projet'!$B$36,N121+M122-V121)))</f>
        <v>217.99999999999989</v>
      </c>
      <c r="O122" s="13">
        <f>N122*VLOOKUP('Données projet'!$B$9,Paramètres!$A$1:$I$89,3,0)*VLOOKUP('Données projet'!$B$9,Paramètres!$A$1:$I$89,5,0)</f>
        <v>197.24639999999988</v>
      </c>
      <c r="P122" s="13">
        <f t="shared" si="87"/>
        <v>49.138522374247202</v>
      </c>
      <c r="Q122" s="20">
        <f t="shared" si="107"/>
        <v>429.12040646848033</v>
      </c>
      <c r="R122" s="59">
        <f t="shared" si="55"/>
        <v>711.03039776640946</v>
      </c>
      <c r="S122" s="59">
        <f ca="1">AVERAGE(OFFSET($R$3,0,0,'Données projet'!$E$9+1,1))-AVERAGE(OFFSET($H$3,0,0,'Données projet'!$E$9+1,1))</f>
        <v>315.34103933739129</v>
      </c>
      <c r="T122" s="59">
        <f t="shared" si="88"/>
        <v>165.80901858372513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25.772444078874734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25.772444078874734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-3.4106051316484809E-13</v>
      </c>
      <c r="AJ122" s="13">
        <f>AI122*VLOOKUP('Données projet'!$B$10,Paramètres!$A$1:$I$89,3,0)*VLOOKUP('Données projet'!$B$10,Paramètres!$A$1:$I$89,5,0)</f>
        <v>-2.0395418687257919E-13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317.328615425664</v>
      </c>
      <c r="AO122" s="59">
        <f t="shared" si="90"/>
        <v>324.95872842255744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54.563989991777952</v>
      </c>
      <c r="AV122" s="21">
        <f>EXP(-LN(2)/25)*AV121+(1-EXP(-LN(2)/25))/(LN(2)/25)*Calculateur!AQ122*Calculateur!AS122*VLOOKUP('Données projet'!$B$10,Paramètres!$A$1:$I$89,3,0)*0.475*44/12</f>
        <v>6.5915706292936651</v>
      </c>
      <c r="AW122" s="21">
        <f>EXP(-LN(2)/2)*AW121+(1-EXP(-LN(2)/2))/(LN(2)/2)*AQ122*AT122*VLOOKUP('Données projet'!$B$10,Paramètres!$A$1:$I$89,3,0)*0.475*44/12</f>
        <v>3.5426092084616056E-8</v>
      </c>
      <c r="AX122" s="21">
        <f t="shared" si="60"/>
        <v>61.155560656497705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-6.5483618527650828E-14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418.31716673276725</v>
      </c>
      <c r="BJ122" s="59">
        <f t="shared" si="92"/>
        <v>472.37891533957929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42.569445484600159</v>
      </c>
      <c r="BQ122" s="21">
        <f>EXP(-LN(2)/25)*BQ121+(1-EXP(-LN(2)/25))/(LN(2)/25)*Calculateur!BL122*Calculateur!BN122*VLOOKUP('Données projet'!$B$11,Paramètres!$A$1:$I$89,3,0)*0.475*44/12</f>
        <v>6.0129340518964369</v>
      </c>
      <c r="BR122" s="21">
        <f>EXP(-LN(2)/2)*BR121+(1-EXP(-LN(2)/2))/(LN(2)/2)*BL122*BO122*VLOOKUP('Données projet'!$B$11,Paramètres!$A$1:$I$89,3,0)*0.475*44/12</f>
        <v>5.494556505516147E-8</v>
      </c>
      <c r="BS122" s="22">
        <f t="shared" si="63"/>
        <v>48.582379591442162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1.1368683772161603E-13</v>
      </c>
      <c r="BZ122" s="13">
        <f>BY122*VLOOKUP('Données projet'!$B$12,Paramètres!$A$1:$I$89,3,0)*VLOOKUP('Données projet'!$B$12,Paramètres!$A$1:$I$89,5,0)</f>
        <v>6.6506800067145386E-14</v>
      </c>
      <c r="CA122" s="13">
        <f t="shared" si="93"/>
        <v>1.0476989505385114E-12</v>
      </c>
      <c r="CB122" s="20">
        <f t="shared" si="64"/>
        <v>1.9405750156381857E-12</v>
      </c>
      <c r="CC122" s="59">
        <f t="shared" si="65"/>
        <v>281.90999129793107</v>
      </c>
      <c r="CD122" s="59">
        <f ca="1">AVERAGE(OFFSET($CC$3,0,0,'Données projet'!$E$12+1,1))-AVERAGE(OFFSET($H$3,0,0,'Données projet'!$E$12+1,1))</f>
        <v>184.11352167663844</v>
      </c>
      <c r="CE122" s="59">
        <f t="shared" si="94"/>
        <v>145.86653500981791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30.946482750482399</v>
      </c>
      <c r="CL122" s="21">
        <f>EXP(-LN(2)/25)*CL121+(1-EXP(-LN(2)/25))/(LN(2)/25)*Calculateur!CG122*Calculateur!CI122*VLOOKUP('Données projet'!$B$12,Paramètres!$A$1:$I$89,3,0)*0.475*44/12</f>
        <v>9.5403636132085907</v>
      </c>
      <c r="CM122" s="21">
        <f>EXP(-LN(2)/2)*CM121+(1-EXP(-LN(2)/2))/(LN(2)/2)*CG122*CJ122*VLOOKUP('Données projet'!$B$12,Paramètres!$A$1:$I$89,3,0)*0.475*44/12</f>
        <v>8.1527451386695208E-4</v>
      </c>
      <c r="CN122" s="22">
        <f t="shared" si="66"/>
        <v>40.487661638204855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4.3927272727272717</v>
      </c>
      <c r="CT122" s="12">
        <f>IF('Données projet'!$A$140&gt;35,CT121+CS122-DB121,IF(A122&lt;'Données projet'!$A$140,$CQ$205^A122,IF(A122='Données projet'!$A$140,'Données projet'!$B$140,CT121+CS122-DB121)))</f>
        <v>296.040909090909</v>
      </c>
      <c r="CU122" s="17">
        <f>CT122*VLOOKUP('Données projet'!$B$13,Paramètres!$A$1:$I$89,3,0)*VLOOKUP('Données projet'!$B$13,Paramètres!$A$1:$I$89,5,0)</f>
        <v>142.39567727272723</v>
      </c>
      <c r="CV122" s="13">
        <f t="shared" si="95"/>
        <v>36.845278391009202</v>
      </c>
      <c r="CW122" s="20">
        <f t="shared" si="67"/>
        <v>312.1779977810076</v>
      </c>
      <c r="CX122" s="59">
        <f t="shared" si="68"/>
        <v>594.08798907893674</v>
      </c>
      <c r="CY122" s="59">
        <f ca="1">AVERAGE(OFFSET($CX$3,0,0,'Données projet'!$E$13+1,1))-AVERAGE(OFFSET($H$3,0,0,'Données projet'!$E$13+1,1))</f>
        <v>303.76035885073708</v>
      </c>
      <c r="CZ122" s="59">
        <f t="shared" si="96"/>
        <v>127.43112562890414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17.460187269553018</v>
      </c>
      <c r="DG122" s="21">
        <f>EXP(-LN(2)/25)*DG121+(1-EXP(-LN(2)/25))/(LN(2)/25)*Calculateur!DB122*Calculateur!DD122*VLOOKUP('Données projet'!$B$13,Paramètres!$A$1:$I$89,3,0)*0.475*44/12</f>
        <v>22.000044251303166</v>
      </c>
      <c r="DH122" s="21">
        <f>EXP(-LN(2)/2)*DH121+(1-EXP(-LN(2)/2))/(LN(2)/2)*DB122*DE122*VLOOKUP('Données projet'!$B$13,Paramètres!$A$1:$I$89,3,0)*0.475*44/12</f>
        <v>2.3072562798459755</v>
      </c>
      <c r="DI122" s="22">
        <f t="shared" si="69"/>
        <v>41.767487800702156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5.6843418860808015E-14</v>
      </c>
      <c r="DP122" s="17">
        <f>DO122*VLOOKUP('Données projet'!$B$14,Paramètres!$A$1:$I$89,3,0)*VLOOKUP('Données projet'!$B$14,Paramètres!$A$1:$I$89,5,0)</f>
        <v>3.2810021366458389E-14</v>
      </c>
      <c r="DQ122" s="13">
        <f t="shared" si="97"/>
        <v>5.6117125884464641E-13</v>
      </c>
      <c r="DR122" s="20">
        <f t="shared" si="70"/>
        <v>1.0345173963676741E-12</v>
      </c>
      <c r="DS122" s="59">
        <f t="shared" si="71"/>
        <v>281.90999129793016</v>
      </c>
      <c r="DT122" s="59">
        <f ca="1">AVERAGE(OFFSET($DS$3,0,0,'Données projet'!$E$14+1,1))-AVERAGE(OFFSET($H$3,0,0,'Données projet'!$E$14+1,1))</f>
        <v>243.65374431792841</v>
      </c>
      <c r="DU122" s="59">
        <f t="shared" si="98"/>
        <v>271.60754570002939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18.505657175811074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18.505657175811074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1.9</v>
      </c>
      <c r="EJ122" s="12">
        <f>IF('Données projet'!$A$192&gt;35,EJ121+EI122-ER121,IF(A122&lt;'Données projet'!$A$192,$EG$205^A122,IF(A122='Données projet'!$A$192,'Données projet'!$B$192,EJ121+EI122-ER121)))</f>
        <v>283.09999999999957</v>
      </c>
      <c r="EK122" s="17">
        <f>EJ122*VLOOKUP('Données projet'!$B$15,Paramètres!$A$1:$I$89,3,0)*VLOOKUP('Données projet'!$B$15,Paramètres!$A$1:$I$89,5,0)</f>
        <v>189.90347999999972</v>
      </c>
      <c r="EL122" s="13">
        <f t="shared" si="99"/>
        <v>47.518613018613962</v>
      </c>
      <c r="EM122" s="20">
        <f t="shared" si="73"/>
        <v>413.5101453407521</v>
      </c>
      <c r="EN122" s="59">
        <f t="shared" si="74"/>
        <v>695.42013663868124</v>
      </c>
      <c r="EO122" s="59">
        <f ca="1">AVERAGE(OFFSET($EN$3,0,0,'Données projet'!$E$15+1,1))-AVERAGE(OFFSET($H$3,0,0,'Données projet'!$E$15+1,1))</f>
        <v>321.44781099085594</v>
      </c>
      <c r="EP122" s="59">
        <f t="shared" si="100"/>
        <v>201.22243186578183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24.535079077575393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24.535079077575393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2.8421709430404007E-14</v>
      </c>
      <c r="FF122" s="17">
        <f>FE122*VLOOKUP('Données projet'!$B$16,Paramètres!$A$1:$I$89,3,0)*VLOOKUP('Données projet'!$B$16,Paramètres!$A$1:$I$89,5,0)</f>
        <v>2.4829205358400945E-14</v>
      </c>
      <c r="FG122" s="13">
        <f t="shared" si="101"/>
        <v>4.3867331143352915E-13</v>
      </c>
      <c r="FH122" s="20">
        <f t="shared" si="76"/>
        <v>8.0726688341261168E-13</v>
      </c>
      <c r="FI122" s="59">
        <f t="shared" si="77"/>
        <v>281.90999129792993</v>
      </c>
      <c r="FJ122" s="59">
        <f ca="1">AVERAGE(OFFSET($FI$3,0,0,'Données projet'!$E$16+1,1))-AVERAGE(OFFSET($H$3,0,0,'Données projet'!$E$16+1,1))</f>
        <v>285.8437404763045</v>
      </c>
      <c r="FK122" s="59">
        <f t="shared" si="102"/>
        <v>276.01618888357268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36.655959491969753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36.655959491969753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-1.7053025658242404E-13</v>
      </c>
      <c r="GA122" s="17">
        <f>FZ122*VLOOKUP('Données projet'!$B$17,Paramètres!$A$1:$I$89,3,0)*VLOOKUP('Données projet'!$B$17,Paramètres!$A$1:$I$89,5,0)</f>
        <v>-1.3567387213697657E-13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323.01113210765487</v>
      </c>
      <c r="GF122" s="59">
        <f t="shared" si="104"/>
        <v>311.68541696405975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42.079350283930033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42.079350283930033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2.8421709430404007E-14</v>
      </c>
      <c r="GV122" s="17">
        <f>GU122*VLOOKUP('Données projet'!$B$18,Paramètres!$A$1:$I$89,3,0)*VLOOKUP('Données projet'!$B$18,Paramètres!$A$1:$I$89,5,0)</f>
        <v>2.4829205358400945E-14</v>
      </c>
      <c r="GW122" s="13">
        <f t="shared" si="105"/>
        <v>4.3867331143352915E-13</v>
      </c>
      <c r="GX122" s="20">
        <f t="shared" si="82"/>
        <v>8.0726688341261168E-13</v>
      </c>
      <c r="GY122" s="59">
        <f t="shared" si="83"/>
        <v>281.90999129792993</v>
      </c>
      <c r="GZ122" s="59">
        <f ca="1">AVERAGE(OFFSET($GY$3,0,0,'Données projet'!$E$18+1,1))-AVERAGE(OFFSET($H$3,0,0,'Données projet'!$E$18+1,1))</f>
        <v>285.8437404763045</v>
      </c>
      <c r="HA122" s="59">
        <f t="shared" si="106"/>
        <v>276.01618888357268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36.655959491969753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36.655959491969753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221</v>
      </c>
      <c r="L123" s="12">
        <f>VLOOKUP(A123,'Données projet'!$A$35:$I$55,9,0)</f>
        <v>3</v>
      </c>
      <c r="M123" s="12">
        <f t="array" ref="M123">INDEX(L:L,MIN(IF(ISNUMBER(L123:L319),ROW(L123:L319),"")))</f>
        <v>3</v>
      </c>
      <c r="N123" s="13">
        <f>IF('Données projet'!$A$36&gt;35,N122+M123-V122,IF(A123&lt;'Données projet'!$A$36,$K$205^A123,IF(A123='Données projet'!$A$36,'Données projet'!$B$36,N122+M123-V122)))</f>
        <v>220.99999999999989</v>
      </c>
      <c r="O123" s="13">
        <f>N123*VLOOKUP('Données projet'!$B$9,Paramètres!$A$1:$I$89,3,0)*VLOOKUP('Données projet'!$B$9,Paramètres!$A$1:$I$89,5,0)</f>
        <v>199.96079999999989</v>
      </c>
      <c r="P123" s="13">
        <f t="shared" si="87"/>
        <v>49.735552653569222</v>
      </c>
      <c r="Q123" s="20">
        <f t="shared" si="107"/>
        <v>434.88781420496616</v>
      </c>
      <c r="R123" s="59">
        <f t="shared" si="55"/>
        <v>716.99597494844284</v>
      </c>
      <c r="S123" s="59">
        <f ca="1">AVERAGE(OFFSET($R$3,0,0,'Données projet'!$E$9+1,1))-AVERAGE(OFFSET($H$3,0,0,'Données projet'!$E$9+1,1))</f>
        <v>315.34103933739129</v>
      </c>
      <c r="T123" s="59">
        <f t="shared" si="88"/>
        <v>165.80901858372513</v>
      </c>
      <c r="U123" s="15">
        <f>IF(ISNA(VLOOKUP(A123,'Données projet'!$A$35:$I$55,3,0)),0,VLOOKUP(A123,'Données projet'!$A$35:$I$55,3,0))</f>
        <v>20</v>
      </c>
      <c r="V123" s="15">
        <f>IF(ISNA(VLOOKUP(A123,'Données projet'!$A$35:$I$55,4,0)),0,VLOOKUP(A123,'Données projet'!$A$35:$I$55,4,0))</f>
        <v>221</v>
      </c>
      <c r="W123" s="16">
        <f>IF(ISNA(VLOOKUP(A123,'Données projet'!$A$35:$I$55,5,0)),0%,VLOOKUP(A123,'Données projet'!$A$35:$I$55,5,0)*VLOOKUP('Données projet'!$B$9,Paramètres!$A$1:$I$89,7,0))</f>
        <v>0.34400000000000003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101.30851723501975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101.30851723501975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-3.4106051316484809E-13</v>
      </c>
      <c r="AJ123" s="13">
        <f>AI123*VLOOKUP('Données projet'!$B$10,Paramètres!$A$1:$I$89,3,0)*VLOOKUP('Données projet'!$B$10,Paramètres!$A$1:$I$89,5,0)</f>
        <v>-2.0395418687257919E-13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317.328615425664</v>
      </c>
      <c r="AO123" s="59">
        <f t="shared" si="90"/>
        <v>324.95872842255744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53.494023428786882</v>
      </c>
      <c r="AV123" s="21">
        <f>EXP(-LN(2)/25)*AV122+(1-EXP(-LN(2)/25))/(LN(2)/25)*Calculateur!AQ123*Calculateur!AS123*VLOOKUP('Données projet'!$B$10,Paramètres!$A$1:$I$89,3,0)*0.475*44/12</f>
        <v>6.4113237837999959</v>
      </c>
      <c r="AW123" s="21">
        <f>EXP(-LN(2)/2)*AW122+(1-EXP(-LN(2)/2))/(LN(2)/2)*AQ123*AT123*VLOOKUP('Données projet'!$B$10,Paramètres!$A$1:$I$89,3,0)*0.475*44/12</f>
        <v>2.5050029943971089E-8</v>
      </c>
      <c r="AX123" s="21">
        <f t="shared" si="60"/>
        <v>59.905347237636903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-6.5483618527650828E-14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418.31716673276725</v>
      </c>
      <c r="BJ123" s="59">
        <f t="shared" si="92"/>
        <v>472.37891533957929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41.734684623445084</v>
      </c>
      <c r="BQ123" s="21">
        <f>EXP(-LN(2)/25)*BQ122+(1-EXP(-LN(2)/25))/(LN(2)/25)*Calculateur!BL123*Calculateur!BN123*VLOOKUP('Données projet'!$B$11,Paramètres!$A$1:$I$89,3,0)*0.475*44/12</f>
        <v>5.8485100540408697</v>
      </c>
      <c r="BR123" s="21">
        <f>EXP(-LN(2)/2)*BR122+(1-EXP(-LN(2)/2))/(LN(2)/2)*BL123*BO123*VLOOKUP('Données projet'!$B$11,Paramètres!$A$1:$I$89,3,0)*0.475*44/12</f>
        <v>3.8852381646631273E-8</v>
      </c>
      <c r="BS123" s="22">
        <f t="shared" si="63"/>
        <v>47.58319471633834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1.1368683772161603E-13</v>
      </c>
      <c r="BZ123" s="13">
        <f>BY123*VLOOKUP('Données projet'!$B$12,Paramètres!$A$1:$I$89,3,0)*VLOOKUP('Données projet'!$B$12,Paramètres!$A$1:$I$89,5,0)</f>
        <v>6.6506800067145386E-14</v>
      </c>
      <c r="CA123" s="13">
        <f t="shared" si="93"/>
        <v>1.0476989505385114E-12</v>
      </c>
      <c r="CB123" s="20">
        <f t="shared" si="64"/>
        <v>1.9405750156381857E-12</v>
      </c>
      <c r="CC123" s="59">
        <f t="shared" si="65"/>
        <v>282.10816074347855</v>
      </c>
      <c r="CD123" s="59">
        <f ca="1">AVERAGE(OFFSET($CC$3,0,0,'Données projet'!$E$12+1,1))-AVERAGE(OFFSET($H$3,0,0,'Données projet'!$E$12+1,1))</f>
        <v>184.11352167663844</v>
      </c>
      <c r="CE123" s="59">
        <f t="shared" si="94"/>
        <v>145.86653500981791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30.339641099236118</v>
      </c>
      <c r="CL123" s="21">
        <f>EXP(-LN(2)/25)*CL122+(1-EXP(-LN(2)/25))/(LN(2)/25)*Calculateur!CG123*Calculateur!CI123*VLOOKUP('Données projet'!$B$12,Paramètres!$A$1:$I$89,3,0)*0.475*44/12</f>
        <v>9.2794818684994844</v>
      </c>
      <c r="CM123" s="21">
        <f>EXP(-LN(2)/2)*CM122+(1-EXP(-LN(2)/2))/(LN(2)/2)*CG123*CJ123*VLOOKUP('Données projet'!$B$12,Paramètres!$A$1:$I$89,3,0)*0.475*44/12</f>
        <v>5.7648613728388779E-4</v>
      </c>
      <c r="CN123" s="22">
        <f t="shared" si="66"/>
        <v>39.61969945387289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4.3927272727272717</v>
      </c>
      <c r="CT123" s="12">
        <f>IF('Données projet'!$A$140&gt;35,CT122+CS123-DB122,IF(A123&lt;'Données projet'!$A$140,$CQ$205^A123,IF(A123='Données projet'!$A$140,'Données projet'!$B$140,CT122+CS123-DB122)))</f>
        <v>300.43363636363625</v>
      </c>
      <c r="CU123" s="17">
        <f>CT123*VLOOKUP('Données projet'!$B$13,Paramètres!$A$1:$I$89,3,0)*VLOOKUP('Données projet'!$B$13,Paramètres!$A$1:$I$89,5,0)</f>
        <v>144.50857909090905</v>
      </c>
      <c r="CV123" s="13">
        <f t="shared" si="95"/>
        <v>37.32794461047704</v>
      </c>
      <c r="CW123" s="20">
        <f t="shared" si="67"/>
        <v>316.69861211324741</v>
      </c>
      <c r="CX123" s="59">
        <f t="shared" si="68"/>
        <v>598.80677285672402</v>
      </c>
      <c r="CY123" s="59">
        <f ca="1">AVERAGE(OFFSET($CX$3,0,0,'Données projet'!$E$13+1,1))-AVERAGE(OFFSET($H$3,0,0,'Données projet'!$E$13+1,1))</f>
        <v>303.76035885073708</v>
      </c>
      <c r="CZ123" s="59">
        <f t="shared" si="96"/>
        <v>127.43112562890414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17.117803646859752</v>
      </c>
      <c r="DG123" s="21">
        <f>EXP(-LN(2)/25)*DG122+(1-EXP(-LN(2)/25))/(LN(2)/25)*Calculateur!DB123*Calculateur!DD123*VLOOKUP('Données projet'!$B$13,Paramètres!$A$1:$I$89,3,0)*0.475*44/12</f>
        <v>21.398451884319236</v>
      </c>
      <c r="DH123" s="21">
        <f>EXP(-LN(2)/2)*DH122+(1-EXP(-LN(2)/2))/(LN(2)/2)*DB123*DE123*VLOOKUP('Données projet'!$B$13,Paramètres!$A$1:$I$89,3,0)*0.475*44/12</f>
        <v>1.6314765614143361</v>
      </c>
      <c r="DI123" s="22">
        <f t="shared" si="69"/>
        <v>40.147732092593323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5.6843418860808015E-14</v>
      </c>
      <c r="DP123" s="17">
        <f>DO123*VLOOKUP('Données projet'!$B$14,Paramètres!$A$1:$I$89,3,0)*VLOOKUP('Données projet'!$B$14,Paramètres!$A$1:$I$89,5,0)</f>
        <v>3.2810021366458389E-14</v>
      </c>
      <c r="DQ123" s="13">
        <f t="shared" si="97"/>
        <v>5.6117125884464641E-13</v>
      </c>
      <c r="DR123" s="20">
        <f t="shared" si="70"/>
        <v>1.0345173963676741E-12</v>
      </c>
      <c r="DS123" s="59">
        <f t="shared" si="71"/>
        <v>282.10816074347764</v>
      </c>
      <c r="DT123" s="59">
        <f ca="1">AVERAGE(OFFSET($DS$3,0,0,'Données projet'!$E$14+1,1))-AVERAGE(OFFSET($H$3,0,0,'Données projet'!$E$14+1,1))</f>
        <v>243.65374431792841</v>
      </c>
      <c r="DU123" s="59">
        <f t="shared" si="98"/>
        <v>271.60754570002939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18.142772525929765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18.142772525929765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285</v>
      </c>
      <c r="EH123" s="12">
        <f>VLOOKUP(A123,'Données projet'!$A$191:$I$211,9,0)</f>
        <v>1.9</v>
      </c>
      <c r="EI123" s="12">
        <f t="array" ref="EI123">INDEX(EH:EH,MIN(IF(ISNUMBER(EH123:EH319),ROW(EH123:EH319),"")))</f>
        <v>1.9</v>
      </c>
      <c r="EJ123" s="12">
        <f>IF('Données projet'!$A$192&gt;35,EJ122+EI123-ER122,IF(A123&lt;'Données projet'!$A$192,$EG$205^A123,IF(A123='Données projet'!$A$192,'Données projet'!$B$192,EJ122+EI123-ER122)))</f>
        <v>284.99999999999955</v>
      </c>
      <c r="EK123" s="17">
        <f>EJ123*VLOOKUP('Données projet'!$B$15,Paramètres!$A$1:$I$89,3,0)*VLOOKUP('Données projet'!$B$15,Paramètres!$A$1:$I$89,5,0)</f>
        <v>191.17799999999968</v>
      </c>
      <c r="EL123" s="13">
        <f t="shared" si="99"/>
        <v>47.800298165013565</v>
      </c>
      <c r="EM123" s="20">
        <f t="shared" si="73"/>
        <v>416.22053597073136</v>
      </c>
      <c r="EN123" s="59">
        <f t="shared" si="74"/>
        <v>698.32869671420804</v>
      </c>
      <c r="EO123" s="59">
        <f ca="1">AVERAGE(OFFSET($EN$3,0,0,'Données projet'!$E$15+1,1))-AVERAGE(OFFSET($H$3,0,0,'Données projet'!$E$15+1,1))</f>
        <v>321.44781099085594</v>
      </c>
      <c r="EP123" s="59">
        <f t="shared" si="100"/>
        <v>201.22243186578183</v>
      </c>
      <c r="EQ123" s="15">
        <f>IF(ISNA(VLOOKUP(A123,'Données projet'!$A$191:$I$211,3,0)),0,VLOOKUP(A123,'Données projet'!$A$191:$I$211,3,0))</f>
        <v>18</v>
      </c>
      <c r="ER123" s="15">
        <f>IF(ISNA(VLOOKUP(A123,'Données projet'!$A$191:$I$211,4,0)),0,VLOOKUP(A123,'Données projet'!$A$191:$I$211,4,0))</f>
        <v>285</v>
      </c>
      <c r="ES123" s="16">
        <f>IF(ISNA(VLOOKUP(A123,'Données projet'!$A$191:$I$211,5,0)),0%,VLOOKUP(A123,'Données projet'!$A$191:$I$211,5,0)*VLOOKUP('Données projet'!$B$15,Paramètres!$A$1:$I$89,7,0))</f>
        <v>0.42400000000000004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113.66280641836526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113.66280641836526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2.8421709430404007E-14</v>
      </c>
      <c r="FF123" s="17">
        <f>FE123*VLOOKUP('Données projet'!$B$16,Paramètres!$A$1:$I$89,3,0)*VLOOKUP('Données projet'!$B$16,Paramètres!$A$1:$I$89,5,0)</f>
        <v>2.4829205358400945E-14</v>
      </c>
      <c r="FG123" s="13">
        <f t="shared" si="101"/>
        <v>4.3867331143352915E-13</v>
      </c>
      <c r="FH123" s="20">
        <f t="shared" si="76"/>
        <v>8.0726688341261168E-13</v>
      </c>
      <c r="FI123" s="59">
        <f t="shared" si="77"/>
        <v>282.10816074347741</v>
      </c>
      <c r="FJ123" s="59">
        <f ca="1">AVERAGE(OFFSET($FI$3,0,0,'Données projet'!$E$16+1,1))-AVERAGE(OFFSET($H$3,0,0,'Données projet'!$E$16+1,1))</f>
        <v>285.8437404763045</v>
      </c>
      <c r="FK123" s="59">
        <f t="shared" si="102"/>
        <v>276.01618888357268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35.937158484259854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35.937158484259854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-1.7053025658242404E-13</v>
      </c>
      <c r="GA123" s="17">
        <f>FZ123*VLOOKUP('Données projet'!$B$17,Paramètres!$A$1:$I$89,3,0)*VLOOKUP('Données projet'!$B$17,Paramètres!$A$1:$I$89,5,0)</f>
        <v>-1.3567387213697657E-13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323.01113210765487</v>
      </c>
      <c r="GF123" s="59">
        <f t="shared" si="104"/>
        <v>311.68541696405975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41.254199890731542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41.254199890731542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2.8421709430404007E-14</v>
      </c>
      <c r="GV123" s="17">
        <f>GU123*VLOOKUP('Données projet'!$B$18,Paramètres!$A$1:$I$89,3,0)*VLOOKUP('Données projet'!$B$18,Paramètres!$A$1:$I$89,5,0)</f>
        <v>2.4829205358400945E-14</v>
      </c>
      <c r="GW123" s="13">
        <f t="shared" si="105"/>
        <v>4.3867331143352915E-13</v>
      </c>
      <c r="GX123" s="20">
        <f t="shared" si="82"/>
        <v>8.0726688341261168E-13</v>
      </c>
      <c r="GY123" s="59">
        <f t="shared" si="83"/>
        <v>282.10816074347741</v>
      </c>
      <c r="GZ123" s="59">
        <f ca="1">AVERAGE(OFFSET($GY$3,0,0,'Données projet'!$E$18+1,1))-AVERAGE(OFFSET($H$3,0,0,'Données projet'!$E$18+1,1))</f>
        <v>285.8437404763045</v>
      </c>
      <c r="HA123" s="59">
        <f t="shared" si="106"/>
        <v>276.01618888357268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35.937158484259854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35.937158484259854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-1.0286385077051818E-13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315.34103933739129</v>
      </c>
      <c r="T124" s="59">
        <f t="shared" si="88"/>
        <v>165.80901858372513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99.321919004135069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99.321919004135069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-3.4106051316484809E-13</v>
      </c>
      <c r="AJ124" s="13">
        <f>AI124*VLOOKUP('Données projet'!$B$10,Paramètres!$A$1:$I$89,3,0)*VLOOKUP('Données projet'!$B$10,Paramètres!$A$1:$I$89,5,0)</f>
        <v>-2.0395418687257919E-13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317.328615425664</v>
      </c>
      <c r="AO124" s="59">
        <f t="shared" si="90"/>
        <v>324.95872842255744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52.445038257480903</v>
      </c>
      <c r="AV124" s="21">
        <f>EXP(-LN(2)/25)*AV123+(1-EXP(-LN(2)/25))/(LN(2)/25)*Calculateur!AQ124*Calculateur!AS124*VLOOKUP('Données projet'!$B$10,Paramètres!$A$1:$I$89,3,0)*0.475*44/12</f>
        <v>6.2360057977751202</v>
      </c>
      <c r="AW124" s="21">
        <f>EXP(-LN(2)/2)*AW123+(1-EXP(-LN(2)/2))/(LN(2)/2)*AQ124*AT124*VLOOKUP('Données projet'!$B$10,Paramètres!$A$1:$I$89,3,0)*0.475*44/12</f>
        <v>1.7713046042308028E-8</v>
      </c>
      <c r="AX124" s="21">
        <f t="shared" si="60"/>
        <v>58.681044072969073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-6.5483618527650828E-14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418.31716673276725</v>
      </c>
      <c r="BJ124" s="59">
        <f t="shared" si="92"/>
        <v>472.37891533957929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40.916292913623408</v>
      </c>
      <c r="BQ124" s="21">
        <f>EXP(-LN(2)/25)*BQ123+(1-EXP(-LN(2)/25))/(LN(2)/25)*Calculateur!BL124*Calculateur!BN124*VLOOKUP('Données projet'!$B$11,Paramètres!$A$1:$I$89,3,0)*0.475*44/12</f>
        <v>5.6885822390533454</v>
      </c>
      <c r="BR124" s="21">
        <f>EXP(-LN(2)/2)*BR123+(1-EXP(-LN(2)/2))/(LN(2)/2)*BL124*BO124*VLOOKUP('Données projet'!$B$11,Paramètres!$A$1:$I$89,3,0)*0.475*44/12</f>
        <v>2.7472782527580735E-8</v>
      </c>
      <c r="BS124" s="22">
        <f t="shared" si="63"/>
        <v>46.604875180149534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1.1368683772161603E-13</v>
      </c>
      <c r="BZ124" s="13">
        <f>BY124*VLOOKUP('Données projet'!$B$12,Paramètres!$A$1:$I$89,3,0)*VLOOKUP('Données projet'!$B$12,Paramètres!$A$1:$I$89,5,0)</f>
        <v>6.6506800067145386E-14</v>
      </c>
      <c r="CA124" s="13">
        <f t="shared" si="93"/>
        <v>1.0476989505385114E-12</v>
      </c>
      <c r="CB124" s="20">
        <f t="shared" si="64"/>
        <v>1.9405750156381857E-12</v>
      </c>
      <c r="CC124" s="59">
        <f t="shared" si="65"/>
        <v>282.30289239218632</v>
      </c>
      <c r="CD124" s="59">
        <f ca="1">AVERAGE(OFFSET($CC$3,0,0,'Données projet'!$E$12+1,1))-AVERAGE(OFFSET($H$3,0,0,'Données projet'!$E$12+1,1))</f>
        <v>184.11352167663844</v>
      </c>
      <c r="CE124" s="59">
        <f t="shared" si="94"/>
        <v>145.86653500981791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29.744699242633917</v>
      </c>
      <c r="CL124" s="21">
        <f>EXP(-LN(2)/25)*CL123+(1-EXP(-LN(2)/25))/(LN(2)/25)*Calculateur!CG124*Calculateur!CI124*VLOOKUP('Données projet'!$B$12,Paramètres!$A$1:$I$89,3,0)*0.475*44/12</f>
        <v>9.0257339488186226</v>
      </c>
      <c r="CM124" s="21">
        <f>EXP(-LN(2)/2)*CM123+(1-EXP(-LN(2)/2))/(LN(2)/2)*CG124*CJ124*VLOOKUP('Données projet'!$B$12,Paramètres!$A$1:$I$89,3,0)*0.475*44/12</f>
        <v>4.0763725693347604E-4</v>
      </c>
      <c r="CN124" s="22">
        <f t="shared" si="66"/>
        <v>38.770840828709474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4.3927272727272717</v>
      </c>
      <c r="CT124" s="12">
        <f>IF('Données projet'!$A$140&gt;35,CT123+CS124-DB123,IF(A124&lt;'Données projet'!$A$140,$CQ$205^A124,IF(A124='Données projet'!$A$140,'Données projet'!$B$140,CT123+CS124-DB123)))</f>
        <v>304.82636363636351</v>
      </c>
      <c r="CU124" s="17">
        <f>CT124*VLOOKUP('Données projet'!$B$13,Paramètres!$A$1:$I$89,3,0)*VLOOKUP('Données projet'!$B$13,Paramètres!$A$1:$I$89,5,0)</f>
        <v>146.62148090909085</v>
      </c>
      <c r="CV124" s="13">
        <f t="shared" si="95"/>
        <v>37.80979003926074</v>
      </c>
      <c r="CW124" s="20">
        <f t="shared" si="67"/>
        <v>321.21779690171235</v>
      </c>
      <c r="CX124" s="59">
        <f t="shared" si="68"/>
        <v>603.52068929389679</v>
      </c>
      <c r="CY124" s="59">
        <f ca="1">AVERAGE(OFFSET($CX$3,0,0,'Données projet'!$E$13+1,1))-AVERAGE(OFFSET($H$3,0,0,'Données projet'!$E$13+1,1))</f>
        <v>303.76035885073708</v>
      </c>
      <c r="CZ124" s="59">
        <f t="shared" si="96"/>
        <v>127.43112562890414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16.782133958174111</v>
      </c>
      <c r="DG124" s="21">
        <f>EXP(-LN(2)/25)*DG123+(1-EXP(-LN(2)/25))/(LN(2)/25)*Calculateur!DB124*Calculateur!DD124*VLOOKUP('Données projet'!$B$13,Paramètres!$A$1:$I$89,3,0)*0.475*44/12</f>
        <v>20.813310092246848</v>
      </c>
      <c r="DH124" s="21">
        <f>EXP(-LN(2)/2)*DH123+(1-EXP(-LN(2)/2))/(LN(2)/2)*DB124*DE124*VLOOKUP('Données projet'!$B$13,Paramètres!$A$1:$I$89,3,0)*0.475*44/12</f>
        <v>1.153628139922988</v>
      </c>
      <c r="DI124" s="22">
        <f t="shared" si="69"/>
        <v>38.749072190343945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5.6843418860808015E-14</v>
      </c>
      <c r="DP124" s="17">
        <f>DO124*VLOOKUP('Données projet'!$B$14,Paramètres!$A$1:$I$89,3,0)*VLOOKUP('Données projet'!$B$14,Paramètres!$A$1:$I$89,5,0)</f>
        <v>3.2810021366458389E-14</v>
      </c>
      <c r="DQ124" s="13">
        <f t="shared" si="97"/>
        <v>5.6117125884464641E-13</v>
      </c>
      <c r="DR124" s="20">
        <f t="shared" si="70"/>
        <v>1.0345173963676741E-12</v>
      </c>
      <c r="DS124" s="59">
        <f t="shared" si="71"/>
        <v>282.30289239218541</v>
      </c>
      <c r="DT124" s="59">
        <f ca="1">AVERAGE(OFFSET($DS$3,0,0,'Données projet'!$E$14+1,1))-AVERAGE(OFFSET($H$3,0,0,'Données projet'!$E$14+1,1))</f>
        <v>243.65374431792841</v>
      </c>
      <c r="DU124" s="59">
        <f t="shared" si="98"/>
        <v>271.60754570002939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17.787003822694846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17.787003822694846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-4.5474735088646412E-13</v>
      </c>
      <c r="EK124" s="17">
        <f>EJ124*VLOOKUP('Données projet'!$B$15,Paramètres!$A$1:$I$89,3,0)*VLOOKUP('Données projet'!$B$15,Paramètres!$A$1:$I$89,5,0)</f>
        <v>-3.0504452297464016E-13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321.44781099085594</v>
      </c>
      <c r="EP124" s="59">
        <f t="shared" si="100"/>
        <v>201.22243186578183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111.43394811196752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111.43394811196752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2.8421709430404007E-14</v>
      </c>
      <c r="FF124" s="17">
        <f>FE124*VLOOKUP('Données projet'!$B$16,Paramètres!$A$1:$I$89,3,0)*VLOOKUP('Données projet'!$B$16,Paramètres!$A$1:$I$89,5,0)</f>
        <v>2.4829205358400945E-14</v>
      </c>
      <c r="FG124" s="13">
        <f t="shared" si="101"/>
        <v>4.3867331143352915E-13</v>
      </c>
      <c r="FH124" s="20">
        <f t="shared" si="76"/>
        <v>8.0726688341261168E-13</v>
      </c>
      <c r="FI124" s="59">
        <f t="shared" si="77"/>
        <v>282.30289239218519</v>
      </c>
      <c r="FJ124" s="59">
        <f ca="1">AVERAGE(OFFSET($FI$3,0,0,'Données projet'!$E$16+1,1))-AVERAGE(OFFSET($H$3,0,0,'Données projet'!$E$16+1,1))</f>
        <v>285.8437404763045</v>
      </c>
      <c r="FK124" s="59">
        <f t="shared" si="102"/>
        <v>276.01618888357268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35.232452725885821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35.232452725885821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-1.7053025658242404E-13</v>
      </c>
      <c r="GA124" s="17">
        <f>FZ124*VLOOKUP('Données projet'!$B$17,Paramètres!$A$1:$I$89,3,0)*VLOOKUP('Données projet'!$B$17,Paramètres!$A$1:$I$89,5,0)</f>
        <v>-1.3567387213697657E-13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323.01113210765487</v>
      </c>
      <c r="GF124" s="59">
        <f t="shared" si="104"/>
        <v>311.68541696405975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40.445230193451629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40.445230193451629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2.8421709430404007E-14</v>
      </c>
      <c r="GV124" s="17">
        <f>GU124*VLOOKUP('Données projet'!$B$18,Paramètres!$A$1:$I$89,3,0)*VLOOKUP('Données projet'!$B$18,Paramètres!$A$1:$I$89,5,0)</f>
        <v>2.4829205358400945E-14</v>
      </c>
      <c r="GW124" s="13">
        <f t="shared" si="105"/>
        <v>4.3867331143352915E-13</v>
      </c>
      <c r="GX124" s="20">
        <f t="shared" si="82"/>
        <v>8.0726688341261168E-13</v>
      </c>
      <c r="GY124" s="59">
        <f t="shared" si="83"/>
        <v>282.30289239218519</v>
      </c>
      <c r="GZ124" s="59">
        <f ca="1">AVERAGE(OFFSET($GY$3,0,0,'Données projet'!$E$18+1,1))-AVERAGE(OFFSET($H$3,0,0,'Données projet'!$E$18+1,1))</f>
        <v>285.8437404763045</v>
      </c>
      <c r="HA124" s="59">
        <f t="shared" si="106"/>
        <v>276.01618888357268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35.232452725885821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35.232452725885821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-1.0286385077051818E-13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315.34103933739129</v>
      </c>
      <c r="T125" s="59">
        <f t="shared" si="88"/>
        <v>165.80901858372513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97.374276752852751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97.374276752852751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-3.4106051316484809E-13</v>
      </c>
      <c r="AJ125" s="13">
        <f>AI125*VLOOKUP('Données projet'!$B$10,Paramètres!$A$1:$I$89,3,0)*VLOOKUP('Données projet'!$B$10,Paramètres!$A$1:$I$89,5,0)</f>
        <v>-2.0395418687257919E-13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317.328615425664</v>
      </c>
      <c r="AO125" s="59">
        <f t="shared" si="90"/>
        <v>324.95872842255744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51.416623045566453</v>
      </c>
      <c r="AV125" s="21">
        <f>EXP(-LN(2)/25)*AV124+(1-EXP(-LN(2)/25))/(LN(2)/25)*Calculateur!AQ125*Calculateur!AS125*VLOOKUP('Données projet'!$B$10,Paramètres!$A$1:$I$89,3,0)*0.475*44/12</f>
        <v>6.0654818912976669</v>
      </c>
      <c r="AW125" s="21">
        <f>EXP(-LN(2)/2)*AW124+(1-EXP(-LN(2)/2))/(LN(2)/2)*AQ125*AT125*VLOOKUP('Données projet'!$B$10,Paramètres!$A$1:$I$89,3,0)*0.475*44/12</f>
        <v>1.2525014971985544E-8</v>
      </c>
      <c r="AX125" s="21">
        <f t="shared" si="60"/>
        <v>57.482104949389132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-6.5483618527650828E-14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418.31716673276725</v>
      </c>
      <c r="BJ125" s="59">
        <f t="shared" si="92"/>
        <v>472.37891533957929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40.113949366061682</v>
      </c>
      <c r="BQ125" s="21">
        <f>EXP(-LN(2)/25)*BQ124+(1-EXP(-LN(2)/25))/(LN(2)/25)*Calculateur!BL125*Calculateur!BN125*VLOOKUP('Données projet'!$B$11,Paramètres!$A$1:$I$89,3,0)*0.475*44/12</f>
        <v>5.5330276585768932</v>
      </c>
      <c r="BR125" s="21">
        <f>EXP(-LN(2)/2)*BR124+(1-EXP(-LN(2)/2))/(LN(2)/2)*BL125*BO125*VLOOKUP('Données projet'!$B$11,Paramètres!$A$1:$I$89,3,0)*0.475*44/12</f>
        <v>1.9426190823315637E-8</v>
      </c>
      <c r="BS125" s="22">
        <f t="shared" si="63"/>
        <v>45.646977044064762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1.1368683772161603E-13</v>
      </c>
      <c r="BZ125" s="13">
        <f>BY125*VLOOKUP('Données projet'!$B$12,Paramètres!$A$1:$I$89,3,0)*VLOOKUP('Données projet'!$B$12,Paramètres!$A$1:$I$89,5,0)</f>
        <v>6.6506800067145386E-14</v>
      </c>
      <c r="CA125" s="13">
        <f t="shared" si="93"/>
        <v>1.0476989505385114E-12</v>
      </c>
      <c r="CB125" s="20">
        <f t="shared" si="64"/>
        <v>1.9405750156381857E-12</v>
      </c>
      <c r="CC125" s="59">
        <f t="shared" si="65"/>
        <v>282.49424588214373</v>
      </c>
      <c r="CD125" s="59">
        <f ca="1">AVERAGE(OFFSET($CC$3,0,0,'Données projet'!$E$12+1,1))-AVERAGE(OFFSET($H$3,0,0,'Données projet'!$E$12+1,1))</f>
        <v>184.11352167663844</v>
      </c>
      <c r="CE125" s="59">
        <f t="shared" si="94"/>
        <v>145.86653500981791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29.161423832960985</v>
      </c>
      <c r="CL125" s="21">
        <f>EXP(-LN(2)/25)*CL124+(1-EXP(-LN(2)/25))/(LN(2)/25)*Calculateur!CG125*Calculateur!CI125*VLOOKUP('Données projet'!$B$12,Paramètres!$A$1:$I$89,3,0)*0.475*44/12</f>
        <v>8.7789247793454575</v>
      </c>
      <c r="CM125" s="21">
        <f>EXP(-LN(2)/2)*CM124+(1-EXP(-LN(2)/2))/(LN(2)/2)*CG125*CJ125*VLOOKUP('Données projet'!$B$12,Paramètres!$A$1:$I$89,3,0)*0.475*44/12</f>
        <v>2.8824306864194389E-4</v>
      </c>
      <c r="CN125" s="22">
        <f t="shared" si="66"/>
        <v>37.940636855375082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4.3927272727272717</v>
      </c>
      <c r="CT125" s="12">
        <f>IF('Données projet'!$A$140&gt;35,CT124+CS125-DB124,IF(A125&lt;'Données projet'!$A$140,$CQ$205^A125,IF(A125='Données projet'!$A$140,'Données projet'!$B$140,CT124+CS125-DB124)))</f>
        <v>309.21909090909077</v>
      </c>
      <c r="CU125" s="17">
        <f>CT125*VLOOKUP('Données projet'!$B$13,Paramètres!$A$1:$I$89,3,0)*VLOOKUP('Données projet'!$B$13,Paramètres!$A$1:$I$89,5,0)</f>
        <v>148.73438272727265</v>
      </c>
      <c r="CV125" s="13">
        <f t="shared" si="95"/>
        <v>38.290827872075823</v>
      </c>
      <c r="CW125" s="20">
        <f t="shared" si="67"/>
        <v>325.73557512719862</v>
      </c>
      <c r="CX125" s="59">
        <f t="shared" si="68"/>
        <v>608.22982100934041</v>
      </c>
      <c r="CY125" s="59">
        <f ca="1">AVERAGE(OFFSET($CX$3,0,0,'Données projet'!$E$13+1,1))-AVERAGE(OFFSET($H$3,0,0,'Données projet'!$E$13+1,1))</f>
        <v>303.76035885073708</v>
      </c>
      <c r="CZ125" s="59">
        <f t="shared" si="96"/>
        <v>127.43112562890414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16.453046547345302</v>
      </c>
      <c r="DG125" s="21">
        <f>EXP(-LN(2)/25)*DG124+(1-EXP(-LN(2)/25))/(LN(2)/25)*Calculateur!DB125*Calculateur!DD125*VLOOKUP('Données projet'!$B$13,Paramètres!$A$1:$I$89,3,0)*0.475*44/12</f>
        <v>20.24416903324995</v>
      </c>
      <c r="DH125" s="21">
        <f>EXP(-LN(2)/2)*DH124+(1-EXP(-LN(2)/2))/(LN(2)/2)*DB125*DE125*VLOOKUP('Données projet'!$B$13,Paramètres!$A$1:$I$89,3,0)*0.475*44/12</f>
        <v>0.81573828070716814</v>
      </c>
      <c r="DI125" s="22">
        <f t="shared" si="69"/>
        <v>37.512953861302421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5.6843418860808015E-14</v>
      </c>
      <c r="DP125" s="17">
        <f>DO125*VLOOKUP('Données projet'!$B$14,Paramètres!$A$1:$I$89,3,0)*VLOOKUP('Données projet'!$B$14,Paramètres!$A$1:$I$89,5,0)</f>
        <v>3.2810021366458389E-14</v>
      </c>
      <c r="DQ125" s="13">
        <f t="shared" si="97"/>
        <v>5.6117125884464641E-13</v>
      </c>
      <c r="DR125" s="20">
        <f t="shared" si="70"/>
        <v>1.0345173963676741E-12</v>
      </c>
      <c r="DS125" s="59">
        <f t="shared" si="71"/>
        <v>282.49424588214282</v>
      </c>
      <c r="DT125" s="59">
        <f ca="1">AVERAGE(OFFSET($DS$3,0,0,'Données projet'!$E$14+1,1))-AVERAGE(OFFSET($H$3,0,0,'Données projet'!$E$14+1,1))</f>
        <v>243.65374431792841</v>
      </c>
      <c r="DU125" s="59">
        <f t="shared" si="98"/>
        <v>271.60754570002939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17.438211526732882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17.438211526732882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-4.5474735088646412E-13</v>
      </c>
      <c r="EK125" s="17">
        <f>EJ125*VLOOKUP('Données projet'!$B$15,Paramètres!$A$1:$I$89,3,0)*VLOOKUP('Données projet'!$B$15,Paramètres!$A$1:$I$89,5,0)</f>
        <v>-3.0504452297464016E-13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321.44781099085594</v>
      </c>
      <c r="EP125" s="59">
        <f t="shared" si="100"/>
        <v>201.22243186578183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109.24879635748891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109.24879635748891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2.8421709430404007E-14</v>
      </c>
      <c r="FF125" s="17">
        <f>FE125*VLOOKUP('Données projet'!$B$16,Paramètres!$A$1:$I$89,3,0)*VLOOKUP('Données projet'!$B$16,Paramètres!$A$1:$I$89,5,0)</f>
        <v>2.4829205358400945E-14</v>
      </c>
      <c r="FG125" s="13">
        <f t="shared" si="101"/>
        <v>4.3867331143352915E-13</v>
      </c>
      <c r="FH125" s="20">
        <f t="shared" si="76"/>
        <v>8.0726688341261168E-13</v>
      </c>
      <c r="FI125" s="59">
        <f t="shared" si="77"/>
        <v>282.49424588214259</v>
      </c>
      <c r="FJ125" s="59">
        <f ca="1">AVERAGE(OFFSET($FI$3,0,0,'Données projet'!$E$16+1,1))-AVERAGE(OFFSET($H$3,0,0,'Données projet'!$E$16+1,1))</f>
        <v>285.8437404763045</v>
      </c>
      <c r="FK125" s="59">
        <f t="shared" si="102"/>
        <v>276.01618888357268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34.541565817605431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34.541565817605431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-1.7053025658242404E-13</v>
      </c>
      <c r="GA125" s="17">
        <f>FZ125*VLOOKUP('Données projet'!$B$17,Paramètres!$A$1:$I$89,3,0)*VLOOKUP('Données projet'!$B$17,Paramètres!$A$1:$I$89,5,0)</f>
        <v>-1.3567387213697657E-13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323.01113210765487</v>
      </c>
      <c r="GF125" s="59">
        <f t="shared" si="104"/>
        <v>311.68541696405975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39.652123898512585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39.652123898512585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2.8421709430404007E-14</v>
      </c>
      <c r="GV125" s="17">
        <f>GU125*VLOOKUP('Données projet'!$B$18,Paramètres!$A$1:$I$89,3,0)*VLOOKUP('Données projet'!$B$18,Paramètres!$A$1:$I$89,5,0)</f>
        <v>2.4829205358400945E-14</v>
      </c>
      <c r="GW125" s="13">
        <f t="shared" si="105"/>
        <v>4.3867331143352915E-13</v>
      </c>
      <c r="GX125" s="20">
        <f t="shared" si="82"/>
        <v>8.0726688341261168E-13</v>
      </c>
      <c r="GY125" s="59">
        <f t="shared" si="83"/>
        <v>282.49424588214259</v>
      </c>
      <c r="GZ125" s="59">
        <f ca="1">AVERAGE(OFFSET($GY$3,0,0,'Données projet'!$E$18+1,1))-AVERAGE(OFFSET($H$3,0,0,'Données projet'!$E$18+1,1))</f>
        <v>285.8437404763045</v>
      </c>
      <c r="HA125" s="59">
        <f t="shared" si="106"/>
        <v>276.01618888357268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34.541565817605431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34.541565817605431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-1.0286385077051818E-13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315.34103933739129</v>
      </c>
      <c r="T126" s="59">
        <f t="shared" si="88"/>
        <v>165.80901858372513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95.464826578173614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95.464826578173614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-3.4106051316484809E-13</v>
      </c>
      <c r="AJ126" s="13">
        <f>AI126*VLOOKUP('Données projet'!$B$10,Paramètres!$A$1:$I$89,3,0)*VLOOKUP('Données projet'!$B$10,Paramètres!$A$1:$I$89,5,0)</f>
        <v>-2.0395418687257919E-13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317.328615425664</v>
      </c>
      <c r="AO126" s="59">
        <f t="shared" si="90"/>
        <v>324.95872842255744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50.408374428686308</v>
      </c>
      <c r="AV126" s="21">
        <f>EXP(-LN(2)/25)*AV125+(1-EXP(-LN(2)/25))/(LN(2)/25)*Calculateur!AQ126*Calculateur!AS126*VLOOKUP('Données projet'!$B$10,Paramètres!$A$1:$I$89,3,0)*0.475*44/12</f>
        <v>5.8996209700103019</v>
      </c>
      <c r="AW126" s="21">
        <f>EXP(-LN(2)/2)*AW125+(1-EXP(-LN(2)/2))/(LN(2)/2)*AQ126*AT126*VLOOKUP('Données projet'!$B$10,Paramètres!$A$1:$I$89,3,0)*0.475*44/12</f>
        <v>8.8565230211540139E-9</v>
      </c>
      <c r="AX126" s="21">
        <f t="shared" si="60"/>
        <v>56.307995407553136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-6.5483618527650828E-14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418.31716673276725</v>
      </c>
      <c r="BJ126" s="59">
        <f t="shared" si="92"/>
        <v>472.37891533957929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39.327339286086399</v>
      </c>
      <c r="BQ126" s="21">
        <f>EXP(-LN(2)/25)*BQ125+(1-EXP(-LN(2)/25))/(LN(2)/25)*Calculateur!BL126*Calculateur!BN126*VLOOKUP('Données projet'!$B$11,Paramètres!$A$1:$I$89,3,0)*0.475*44/12</f>
        <v>5.3817267262838291</v>
      </c>
      <c r="BR126" s="21">
        <f>EXP(-LN(2)/2)*BR125+(1-EXP(-LN(2)/2))/(LN(2)/2)*BL126*BO126*VLOOKUP('Données projet'!$B$11,Paramètres!$A$1:$I$89,3,0)*0.475*44/12</f>
        <v>1.3736391263790368E-8</v>
      </c>
      <c r="BS126" s="22">
        <f t="shared" si="63"/>
        <v>44.709066026106619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1.1368683772161603E-13</v>
      </c>
      <c r="BZ126" s="13">
        <f>BY126*VLOOKUP('Données projet'!$B$12,Paramètres!$A$1:$I$89,3,0)*VLOOKUP('Données projet'!$B$12,Paramètres!$A$1:$I$89,5,0)</f>
        <v>6.6506800067145386E-14</v>
      </c>
      <c r="CA126" s="13">
        <f t="shared" si="93"/>
        <v>1.0476989505385114E-12</v>
      </c>
      <c r="CB126" s="20">
        <f t="shared" si="64"/>
        <v>1.9405750156381857E-12</v>
      </c>
      <c r="CC126" s="59">
        <f t="shared" si="65"/>
        <v>282.6822798168526</v>
      </c>
      <c r="CD126" s="59">
        <f ca="1">AVERAGE(OFFSET($CC$3,0,0,'Données projet'!$E$12+1,1))-AVERAGE(OFFSET($H$3,0,0,'Données projet'!$E$12+1,1))</f>
        <v>184.11352167663844</v>
      </c>
      <c r="CE126" s="59">
        <f t="shared" si="94"/>
        <v>145.86653500981791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28.589586098308867</v>
      </c>
      <c r="CL126" s="21">
        <f>EXP(-LN(2)/25)*CL125+(1-EXP(-LN(2)/25))/(LN(2)/25)*Calculateur!CG126*Calculateur!CI126*VLOOKUP('Données projet'!$B$12,Paramètres!$A$1:$I$89,3,0)*0.475*44/12</f>
        <v>8.538864619590667</v>
      </c>
      <c r="CM126" s="21">
        <f>EXP(-LN(2)/2)*CM125+(1-EXP(-LN(2)/2))/(LN(2)/2)*CG126*CJ126*VLOOKUP('Données projet'!$B$12,Paramètres!$A$1:$I$89,3,0)*0.475*44/12</f>
        <v>2.0381862846673802E-4</v>
      </c>
      <c r="CN126" s="22">
        <f t="shared" si="66"/>
        <v>37.128654536527996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4.3927272727272717</v>
      </c>
      <c r="CT126" s="12">
        <f>IF('Données projet'!$A$140&gt;35,CT125+CS126-DB125,IF(A126&lt;'Données projet'!$A$140,$CQ$205^A126,IF(A126='Données projet'!$A$140,'Données projet'!$B$140,CT125+CS126-DB125)))</f>
        <v>313.61181818181802</v>
      </c>
      <c r="CU126" s="17">
        <f>CT126*VLOOKUP('Données projet'!$B$13,Paramètres!$A$1:$I$89,3,0)*VLOOKUP('Données projet'!$B$13,Paramètres!$A$1:$I$89,5,0)</f>
        <v>150.84728454545447</v>
      </c>
      <c r="CV126" s="13">
        <f t="shared" si="95"/>
        <v>38.771070907222622</v>
      </c>
      <c r="CW126" s="20">
        <f t="shared" si="67"/>
        <v>330.25196908007928</v>
      </c>
      <c r="CX126" s="59">
        <f t="shared" si="68"/>
        <v>612.93424889692994</v>
      </c>
      <c r="CY126" s="59">
        <f ca="1">AVERAGE(OFFSET($CX$3,0,0,'Données projet'!$E$13+1,1))-AVERAGE(OFFSET($H$3,0,0,'Données projet'!$E$13+1,1))</f>
        <v>303.76035885073708</v>
      </c>
      <c r="CZ126" s="59">
        <f t="shared" si="96"/>
        <v>127.43112562890414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16.130412339919346</v>
      </c>
      <c r="DG126" s="21">
        <f>EXP(-LN(2)/25)*DG125+(1-EXP(-LN(2)/25))/(LN(2)/25)*Calculateur!DB126*Calculateur!DD126*VLOOKUP('Données projet'!$B$13,Paramètres!$A$1:$I$89,3,0)*0.475*44/12</f>
        <v>19.690591166441148</v>
      </c>
      <c r="DH126" s="21">
        <f>EXP(-LN(2)/2)*DH125+(1-EXP(-LN(2)/2))/(LN(2)/2)*DB126*DE126*VLOOKUP('Données projet'!$B$13,Paramètres!$A$1:$I$89,3,0)*0.475*44/12</f>
        <v>0.57681406996149409</v>
      </c>
      <c r="DI126" s="22">
        <f t="shared" si="69"/>
        <v>36.397817576321991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5.6843418860808015E-14</v>
      </c>
      <c r="DP126" s="17">
        <f>DO126*VLOOKUP('Données projet'!$B$14,Paramètres!$A$1:$I$89,3,0)*VLOOKUP('Données projet'!$B$14,Paramètres!$A$1:$I$89,5,0)</f>
        <v>3.2810021366458389E-14</v>
      </c>
      <c r="DQ126" s="13">
        <f t="shared" si="97"/>
        <v>5.6117125884464641E-13</v>
      </c>
      <c r="DR126" s="20">
        <f t="shared" si="70"/>
        <v>1.0345173963676741E-12</v>
      </c>
      <c r="DS126" s="59">
        <f t="shared" si="71"/>
        <v>282.68227981685169</v>
      </c>
      <c r="DT126" s="59">
        <f ca="1">AVERAGE(OFFSET($DS$3,0,0,'Données projet'!$E$14+1,1))-AVERAGE(OFFSET($H$3,0,0,'Données projet'!$E$14+1,1))</f>
        <v>243.65374431792841</v>
      </c>
      <c r="DU126" s="59">
        <f t="shared" si="98"/>
        <v>271.60754570002939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17.096258834952437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17.096258834952437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-4.5474735088646412E-13</v>
      </c>
      <c r="EK126" s="17">
        <f>EJ126*VLOOKUP('Données projet'!$B$15,Paramètres!$A$1:$I$89,3,0)*VLOOKUP('Données projet'!$B$15,Paramètres!$A$1:$I$89,5,0)</f>
        <v>-3.0504452297464016E-13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321.44781099085594</v>
      </c>
      <c r="EP126" s="59">
        <f t="shared" si="100"/>
        <v>201.22243186578183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107.10649409610465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107.10649409610465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2.8421709430404007E-14</v>
      </c>
      <c r="FF126" s="17">
        <f>FE126*VLOOKUP('Données projet'!$B$16,Paramètres!$A$1:$I$89,3,0)*VLOOKUP('Données projet'!$B$16,Paramètres!$A$1:$I$89,5,0)</f>
        <v>2.4829205358400945E-14</v>
      </c>
      <c r="FG126" s="13">
        <f t="shared" si="101"/>
        <v>4.3867331143352915E-13</v>
      </c>
      <c r="FH126" s="20">
        <f t="shared" si="76"/>
        <v>8.0726688341261168E-13</v>
      </c>
      <c r="FI126" s="59">
        <f t="shared" si="77"/>
        <v>282.68227981685146</v>
      </c>
      <c r="FJ126" s="59">
        <f ca="1">AVERAGE(OFFSET($FI$3,0,0,'Données projet'!$E$16+1,1))-AVERAGE(OFFSET($H$3,0,0,'Données projet'!$E$16+1,1))</f>
        <v>285.8437404763045</v>
      </c>
      <c r="FK126" s="59">
        <f t="shared" si="102"/>
        <v>276.01618888357268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33.864226780197015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33.864226780197015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-1.7053025658242404E-13</v>
      </c>
      <c r="GA126" s="17">
        <f>FZ126*VLOOKUP('Données projet'!$B$17,Paramètres!$A$1:$I$89,3,0)*VLOOKUP('Données projet'!$B$17,Paramètres!$A$1:$I$89,5,0)</f>
        <v>-1.3567387213697657E-13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323.01113210765487</v>
      </c>
      <c r="GF126" s="59">
        <f t="shared" si="104"/>
        <v>311.68541696405975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38.87456993427022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38.87456993427022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2.8421709430404007E-14</v>
      </c>
      <c r="GV126" s="17">
        <f>GU126*VLOOKUP('Données projet'!$B$18,Paramètres!$A$1:$I$89,3,0)*VLOOKUP('Données projet'!$B$18,Paramètres!$A$1:$I$89,5,0)</f>
        <v>2.4829205358400945E-14</v>
      </c>
      <c r="GW126" s="13">
        <f t="shared" si="105"/>
        <v>4.3867331143352915E-13</v>
      </c>
      <c r="GX126" s="20">
        <f t="shared" si="82"/>
        <v>8.0726688341261168E-13</v>
      </c>
      <c r="GY126" s="59">
        <f t="shared" si="83"/>
        <v>282.68227981685146</v>
      </c>
      <c r="GZ126" s="59">
        <f ca="1">AVERAGE(OFFSET($GY$3,0,0,'Données projet'!$E$18+1,1))-AVERAGE(OFFSET($H$3,0,0,'Données projet'!$E$18+1,1))</f>
        <v>285.8437404763045</v>
      </c>
      <c r="HA126" s="59">
        <f t="shared" si="106"/>
        <v>276.01618888357268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33.864226780197015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33.864226780197015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-1.0286385077051818E-13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315.34103933739129</v>
      </c>
      <c r="T127" s="59">
        <f t="shared" si="88"/>
        <v>165.80901858372513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93.592819556770323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93.592819556770323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-3.4106051316484809E-13</v>
      </c>
      <c r="AJ127" s="13">
        <f>AI127*VLOOKUP('Données projet'!$B$10,Paramètres!$A$1:$I$89,3,0)*VLOOKUP('Données projet'!$B$10,Paramètres!$A$1:$I$89,5,0)</f>
        <v>-2.0395418687257919E-13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317.328615425664</v>
      </c>
      <c r="AO127" s="59">
        <f t="shared" si="90"/>
        <v>324.95872842255744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49.419896952212248</v>
      </c>
      <c r="AV127" s="21">
        <f>EXP(-LN(2)/25)*AV126+(1-EXP(-LN(2)/25))/(LN(2)/25)*Calculateur!AQ127*Calculateur!AS127*VLOOKUP('Données projet'!$B$10,Paramètres!$A$1:$I$89,3,0)*0.475*44/12</f>
        <v>5.7382955243377873</v>
      </c>
      <c r="AW127" s="21">
        <f>EXP(-LN(2)/2)*AW126+(1-EXP(-LN(2)/2))/(LN(2)/2)*AQ127*AT127*VLOOKUP('Données projet'!$B$10,Paramètres!$A$1:$I$89,3,0)*0.475*44/12</f>
        <v>6.2625074859927722E-9</v>
      </c>
      <c r="AX127" s="21">
        <f t="shared" si="60"/>
        <v>55.158192482812545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-6.5483618527650828E-14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418.31716673276725</v>
      </c>
      <c r="BJ127" s="59">
        <f t="shared" si="92"/>
        <v>472.37891533957929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38.556154149994661</v>
      </c>
      <c r="BQ127" s="21">
        <f>EXP(-LN(2)/25)*BQ126+(1-EXP(-LN(2)/25))/(LN(2)/25)*Calculateur!BL127*Calculateur!BN127*VLOOKUP('Données projet'!$B$11,Paramètres!$A$1:$I$89,3,0)*0.475*44/12</f>
        <v>5.2345631259408893</v>
      </c>
      <c r="BR127" s="21">
        <f>EXP(-LN(2)/2)*BR126+(1-EXP(-LN(2)/2))/(LN(2)/2)*BL127*BO127*VLOOKUP('Données projet'!$B$11,Paramètres!$A$1:$I$89,3,0)*0.475*44/12</f>
        <v>9.7130954116578183E-9</v>
      </c>
      <c r="BS127" s="22">
        <f t="shared" si="63"/>
        <v>43.790717285648647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1.1368683772161603E-13</v>
      </c>
      <c r="BZ127" s="13">
        <f>BY127*VLOOKUP('Données projet'!$B$12,Paramètres!$A$1:$I$89,3,0)*VLOOKUP('Données projet'!$B$12,Paramètres!$A$1:$I$89,5,0)</f>
        <v>6.6506800067145386E-14</v>
      </c>
      <c r="CA127" s="13">
        <f t="shared" si="93"/>
        <v>1.0476989505385114E-12</v>
      </c>
      <c r="CB127" s="20">
        <f t="shared" si="64"/>
        <v>1.9405750156381857E-12</v>
      </c>
      <c r="CC127" s="59">
        <f t="shared" si="65"/>
        <v>282.86705178317527</v>
      </c>
      <c r="CD127" s="59">
        <f ca="1">AVERAGE(OFFSET($CC$3,0,0,'Données projet'!$E$12+1,1))-AVERAGE(OFFSET($H$3,0,0,'Données projet'!$E$12+1,1))</f>
        <v>184.11352167663844</v>
      </c>
      <c r="CE127" s="59">
        <f t="shared" si="94"/>
        <v>145.86653500981791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28.028961752846698</v>
      </c>
      <c r="CL127" s="21">
        <f>EXP(-LN(2)/25)*CL126+(1-EXP(-LN(2)/25))/(LN(2)/25)*Calculateur!CG127*Calculateur!CI127*VLOOKUP('Données projet'!$B$12,Paramètres!$A$1:$I$89,3,0)*0.475*44/12</f>
        <v>8.3053689175285861</v>
      </c>
      <c r="CM127" s="21">
        <f>EXP(-LN(2)/2)*CM126+(1-EXP(-LN(2)/2))/(LN(2)/2)*CG127*CJ127*VLOOKUP('Données projet'!$B$12,Paramètres!$A$1:$I$89,3,0)*0.475*44/12</f>
        <v>1.4412153432097195E-4</v>
      </c>
      <c r="CN127" s="22">
        <f t="shared" si="66"/>
        <v>36.334474791909599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4.3927272727272717</v>
      </c>
      <c r="CT127" s="12">
        <f>IF('Données projet'!$A$140&gt;35,CT126+CS127-DB126,IF(A127&lt;'Données projet'!$A$140,$CQ$205^A127,IF(A127='Données projet'!$A$140,'Données projet'!$B$140,CT126+CS127-DB126)))</f>
        <v>318.00454545454528</v>
      </c>
      <c r="CU127" s="17">
        <f>CT127*VLOOKUP('Données projet'!$B$13,Paramètres!$A$1:$I$89,3,0)*VLOOKUP('Données projet'!$B$13,Paramètres!$A$1:$I$89,5,0)</f>
        <v>152.96018636363627</v>
      </c>
      <c r="CV127" s="13">
        <f t="shared" si="95"/>
        <v>39.250531563878411</v>
      </c>
      <c r="CW127" s="20">
        <f t="shared" si="67"/>
        <v>334.7670003904214</v>
      </c>
      <c r="CX127" s="59">
        <f t="shared" si="68"/>
        <v>617.63405217359468</v>
      </c>
      <c r="CY127" s="59">
        <f ca="1">AVERAGE(OFFSET($CX$3,0,0,'Données projet'!$E$13+1,1))-AVERAGE(OFFSET($H$3,0,0,'Données projet'!$E$13+1,1))</f>
        <v>303.76035885073708</v>
      </c>
      <c r="CZ127" s="59">
        <f t="shared" si="96"/>
        <v>127.43112562890414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15.814104792513575</v>
      </c>
      <c r="DG127" s="21">
        <f>EXP(-LN(2)/25)*DG126+(1-EXP(-LN(2)/25))/(LN(2)/25)*Calculateur!DB127*Calculateur!DD127*VLOOKUP('Données projet'!$B$13,Paramètres!$A$1:$I$89,3,0)*0.475*44/12</f>
        <v>19.15215091551163</v>
      </c>
      <c r="DH127" s="21">
        <f>EXP(-LN(2)/2)*DH126+(1-EXP(-LN(2)/2))/(LN(2)/2)*DB127*DE127*VLOOKUP('Données projet'!$B$13,Paramètres!$A$1:$I$89,3,0)*0.475*44/12</f>
        <v>0.40786914035358413</v>
      </c>
      <c r="DI127" s="22">
        <f t="shared" si="69"/>
        <v>35.374124848378784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5.6843418860808015E-14</v>
      </c>
      <c r="DP127" s="17">
        <f>DO127*VLOOKUP('Données projet'!$B$14,Paramètres!$A$1:$I$89,3,0)*VLOOKUP('Données projet'!$B$14,Paramètres!$A$1:$I$89,5,0)</f>
        <v>3.2810021366458389E-14</v>
      </c>
      <c r="DQ127" s="13">
        <f t="shared" si="97"/>
        <v>5.6117125884464641E-13</v>
      </c>
      <c r="DR127" s="20">
        <f t="shared" si="70"/>
        <v>1.0345173963676741E-12</v>
      </c>
      <c r="DS127" s="59">
        <f t="shared" si="71"/>
        <v>282.86705178317436</v>
      </c>
      <c r="DT127" s="59">
        <f ca="1">AVERAGE(OFFSET($DS$3,0,0,'Données projet'!$E$14+1,1))-AVERAGE(OFFSET($H$3,0,0,'Données projet'!$E$14+1,1))</f>
        <v>243.65374431792841</v>
      </c>
      <c r="DU127" s="59">
        <f t="shared" si="98"/>
        <v>271.60754570002939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16.76101162688726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16.76101162688726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-4.5474735088646412E-13</v>
      </c>
      <c r="EK127" s="17">
        <f>EJ127*VLOOKUP('Données projet'!$B$15,Paramètres!$A$1:$I$89,3,0)*VLOOKUP('Données projet'!$B$15,Paramètres!$A$1:$I$89,5,0)</f>
        <v>-3.0504452297464016E-13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321.44781099085594</v>
      </c>
      <c r="EP127" s="59">
        <f t="shared" si="100"/>
        <v>201.22243186578183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105.00620107539079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105.00620107539079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2.8421709430404007E-14</v>
      </c>
      <c r="FF127" s="17">
        <f>FE127*VLOOKUP('Données projet'!$B$16,Paramètres!$A$1:$I$89,3,0)*VLOOKUP('Données projet'!$B$16,Paramètres!$A$1:$I$89,5,0)</f>
        <v>2.4829205358400945E-14</v>
      </c>
      <c r="FG127" s="13">
        <f t="shared" si="101"/>
        <v>4.3867331143352915E-13</v>
      </c>
      <c r="FH127" s="20">
        <f t="shared" si="76"/>
        <v>8.0726688341261168E-13</v>
      </c>
      <c r="FI127" s="59">
        <f t="shared" si="77"/>
        <v>282.86705178317413</v>
      </c>
      <c r="FJ127" s="59">
        <f ca="1">AVERAGE(OFFSET($FI$3,0,0,'Données projet'!$E$16+1,1))-AVERAGE(OFFSET($H$3,0,0,'Données projet'!$E$16+1,1))</f>
        <v>285.8437404763045</v>
      </c>
      <c r="FK127" s="59">
        <f t="shared" si="102"/>
        <v>276.01618888357268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33.200169948176161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33.200169948176161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-1.7053025658242404E-13</v>
      </c>
      <c r="GA127" s="17">
        <f>FZ127*VLOOKUP('Données projet'!$B$17,Paramètres!$A$1:$I$89,3,0)*VLOOKUP('Données projet'!$B$17,Paramètres!$A$1:$I$89,5,0)</f>
        <v>-1.3567387213697657E-13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323.01113210765487</v>
      </c>
      <c r="GF127" s="59">
        <f t="shared" si="104"/>
        <v>311.68541696405975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38.112263329005557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38.112263329005557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2.8421709430404007E-14</v>
      </c>
      <c r="GV127" s="17">
        <f>GU127*VLOOKUP('Données projet'!$B$18,Paramètres!$A$1:$I$89,3,0)*VLOOKUP('Données projet'!$B$18,Paramètres!$A$1:$I$89,5,0)</f>
        <v>2.4829205358400945E-14</v>
      </c>
      <c r="GW127" s="13">
        <f t="shared" si="105"/>
        <v>4.3867331143352915E-13</v>
      </c>
      <c r="GX127" s="20">
        <f t="shared" si="82"/>
        <v>8.0726688341261168E-13</v>
      </c>
      <c r="GY127" s="59">
        <f t="shared" si="83"/>
        <v>282.86705178317413</v>
      </c>
      <c r="GZ127" s="59">
        <f ca="1">AVERAGE(OFFSET($GY$3,0,0,'Données projet'!$E$18+1,1))-AVERAGE(OFFSET($H$3,0,0,'Données projet'!$E$18+1,1))</f>
        <v>285.8437404763045</v>
      </c>
      <c r="HA127" s="59">
        <f t="shared" si="106"/>
        <v>276.01618888357268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33.200169948176161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33.200169948176161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-1.0286385077051818E-13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315.34103933739129</v>
      </c>
      <c r="T128" s="59">
        <f t="shared" si="88"/>
        <v>165.80901858372513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91.757521451245211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91.757521451245211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-3.4106051316484809E-13</v>
      </c>
      <c r="AJ128" s="13">
        <f>AI128*VLOOKUP('Données projet'!$B$10,Paramètres!$A$1:$I$89,3,0)*VLOOKUP('Données projet'!$B$10,Paramètres!$A$1:$I$89,5,0)</f>
        <v>-2.0395418687257919E-13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317.328615425664</v>
      </c>
      <c r="AO128" s="59">
        <f t="shared" si="90"/>
        <v>324.95872842255744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48.45080291614012</v>
      </c>
      <c r="AV128" s="21">
        <f>EXP(-LN(2)/25)*AV127+(1-EXP(-LN(2)/25))/(LN(2)/25)*Calculateur!AQ128*Calculateur!AS128*VLOOKUP('Données projet'!$B$10,Paramètres!$A$1:$I$89,3,0)*0.475*44/12</f>
        <v>5.5813815314609236</v>
      </c>
      <c r="AW128" s="21">
        <f>EXP(-LN(2)/2)*AW127+(1-EXP(-LN(2)/2))/(LN(2)/2)*AQ128*AT128*VLOOKUP('Données projet'!$B$10,Paramètres!$A$1:$I$89,3,0)*0.475*44/12</f>
        <v>4.4282615105770069E-9</v>
      </c>
      <c r="AX128" s="21">
        <f t="shared" si="60"/>
        <v>54.032184452029298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-6.5483618527650828E-14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418.31716673276725</v>
      </c>
      <c r="BJ128" s="59">
        <f t="shared" si="92"/>
        <v>472.37891533957929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37.800091484045197</v>
      </c>
      <c r="BQ128" s="21">
        <f>EXP(-LN(2)/25)*BQ127+(1-EXP(-LN(2)/25))/(LN(2)/25)*Calculateur!BL128*Calculateur!BN128*VLOOKUP('Données projet'!$B$11,Paramètres!$A$1:$I$89,3,0)*0.475*44/12</f>
        <v>5.0914237219883249</v>
      </c>
      <c r="BR128" s="21">
        <f>EXP(-LN(2)/2)*BR127+(1-EXP(-LN(2)/2))/(LN(2)/2)*BL128*BO128*VLOOKUP('Données projet'!$B$11,Paramètres!$A$1:$I$89,3,0)*0.475*44/12</f>
        <v>6.8681956318951838E-9</v>
      </c>
      <c r="BS128" s="22">
        <f t="shared" si="63"/>
        <v>42.891515212901723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1.1368683772161603E-13</v>
      </c>
      <c r="BZ128" s="13">
        <f>BY128*VLOOKUP('Données projet'!$B$12,Paramètres!$A$1:$I$89,3,0)*VLOOKUP('Données projet'!$B$12,Paramètres!$A$1:$I$89,5,0)</f>
        <v>6.6506800067145386E-14</v>
      </c>
      <c r="CA128" s="13">
        <f t="shared" si="93"/>
        <v>1.0476989505385114E-12</v>
      </c>
      <c r="CB128" s="20">
        <f t="shared" si="64"/>
        <v>1.9405750156381857E-12</v>
      </c>
      <c r="CC128" s="59">
        <f t="shared" si="65"/>
        <v>283.04861836897044</v>
      </c>
      <c r="CD128" s="59">
        <f ca="1">AVERAGE(OFFSET($CC$3,0,0,'Données projet'!$E$12+1,1))-AVERAGE(OFFSET($H$3,0,0,'Données projet'!$E$12+1,1))</f>
        <v>184.11352167663844</v>
      </c>
      <c r="CE128" s="59">
        <f t="shared" si="94"/>
        <v>145.86653500981791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27.479330908851956</v>
      </c>
      <c r="CL128" s="21">
        <f>EXP(-LN(2)/25)*CL127+(1-EXP(-LN(2)/25))/(LN(2)/25)*Calculateur!CG128*Calculateur!CI128*VLOOKUP('Données projet'!$B$12,Paramètres!$A$1:$I$89,3,0)*0.475*44/12</f>
        <v>8.0782581677183973</v>
      </c>
      <c r="CM128" s="21">
        <f>EXP(-LN(2)/2)*CM127+(1-EXP(-LN(2)/2))/(LN(2)/2)*CG128*CJ128*VLOOKUP('Données projet'!$B$12,Paramètres!$A$1:$I$89,3,0)*0.475*44/12</f>
        <v>1.0190931423336901E-4</v>
      </c>
      <c r="CN128" s="22">
        <f t="shared" si="66"/>
        <v>35.557690985884584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4.3927272727272717</v>
      </c>
      <c r="CT128" s="12">
        <f>IF('Données projet'!$A$140&gt;35,CT127+CS128-DB127,IF(A128&lt;'Données projet'!$A$140,$CQ$205^A128,IF(A128='Données projet'!$A$140,'Données projet'!$B$140,CT127+CS128-DB127)))</f>
        <v>322.39727272727254</v>
      </c>
      <c r="CU128" s="17">
        <f>CT128*VLOOKUP('Données projet'!$B$13,Paramètres!$A$1:$I$89,3,0)*VLOOKUP('Données projet'!$B$13,Paramètres!$A$1:$I$89,5,0)</f>
        <v>155.07308818181809</v>
      </c>
      <c r="CV128" s="13">
        <f t="shared" si="95"/>
        <v>39.729221898406756</v>
      </c>
      <c r="CW128" s="20">
        <f t="shared" si="67"/>
        <v>339.28069005639162</v>
      </c>
      <c r="CX128" s="59">
        <f t="shared" si="68"/>
        <v>622.32930842536007</v>
      </c>
      <c r="CY128" s="59">
        <f ca="1">AVERAGE(OFFSET($CX$3,0,0,'Données projet'!$E$13+1,1))-AVERAGE(OFFSET($H$3,0,0,'Données projet'!$E$13+1,1))</f>
        <v>303.76035885073708</v>
      </c>
      <c r="CZ128" s="59">
        <f t="shared" si="96"/>
        <v>127.43112562890414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15.503999843183879</v>
      </c>
      <c r="DG128" s="21">
        <f>EXP(-LN(2)/25)*DG127+(1-EXP(-LN(2)/25))/(LN(2)/25)*Calculateur!DB128*Calculateur!DD128*VLOOKUP('Données projet'!$B$13,Paramètres!$A$1:$I$89,3,0)*0.475*44/12</f>
        <v>18.628434341559121</v>
      </c>
      <c r="DH128" s="21">
        <f>EXP(-LN(2)/2)*DH127+(1-EXP(-LN(2)/2))/(LN(2)/2)*DB128*DE128*VLOOKUP('Données projet'!$B$13,Paramètres!$A$1:$I$89,3,0)*0.475*44/12</f>
        <v>0.28840703498074705</v>
      </c>
      <c r="DI128" s="22">
        <f t="shared" si="69"/>
        <v>34.420841219723748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5.6843418860808015E-14</v>
      </c>
      <c r="DP128" s="17">
        <f>DO128*VLOOKUP('Données projet'!$B$14,Paramètres!$A$1:$I$89,3,0)*VLOOKUP('Données projet'!$B$14,Paramètres!$A$1:$I$89,5,0)</f>
        <v>3.2810021366458389E-14</v>
      </c>
      <c r="DQ128" s="13">
        <f t="shared" si="97"/>
        <v>5.6117125884464641E-13</v>
      </c>
      <c r="DR128" s="20">
        <f t="shared" si="70"/>
        <v>1.0345173963676741E-12</v>
      </c>
      <c r="DS128" s="59">
        <f t="shared" si="71"/>
        <v>283.04861836896953</v>
      </c>
      <c r="DT128" s="59">
        <f ca="1">AVERAGE(OFFSET($DS$3,0,0,'Données projet'!$E$14+1,1))-AVERAGE(OFFSET($H$3,0,0,'Données projet'!$E$14+1,1))</f>
        <v>243.65374431792841</v>
      </c>
      <c r="DU128" s="59">
        <f t="shared" si="98"/>
        <v>271.60754570002939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16.432338412091635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16.432338412091635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-4.5474735088646412E-13</v>
      </c>
      <c r="EK128" s="17">
        <f>EJ128*VLOOKUP('Données projet'!$B$15,Paramètres!$A$1:$I$89,3,0)*VLOOKUP('Données projet'!$B$15,Paramètres!$A$1:$I$89,5,0)</f>
        <v>-3.0504452297464016E-13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321.44781099085594</v>
      </c>
      <c r="EP128" s="59">
        <f t="shared" si="100"/>
        <v>201.22243186578183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102.94709351976087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102.94709351976087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2.8421709430404007E-14</v>
      </c>
      <c r="FF128" s="17">
        <f>FE128*VLOOKUP('Données projet'!$B$16,Paramètres!$A$1:$I$89,3,0)*VLOOKUP('Données projet'!$B$16,Paramètres!$A$1:$I$89,5,0)</f>
        <v>2.4829205358400945E-14</v>
      </c>
      <c r="FG128" s="13">
        <f t="shared" si="101"/>
        <v>4.3867331143352915E-13</v>
      </c>
      <c r="FH128" s="20">
        <f t="shared" si="76"/>
        <v>8.0726688341261168E-13</v>
      </c>
      <c r="FI128" s="59">
        <f t="shared" si="77"/>
        <v>283.0486183689693</v>
      </c>
      <c r="FJ128" s="59">
        <f ca="1">AVERAGE(OFFSET($FI$3,0,0,'Données projet'!$E$16+1,1))-AVERAGE(OFFSET($H$3,0,0,'Données projet'!$E$16+1,1))</f>
        <v>285.8437404763045</v>
      </c>
      <c r="FK128" s="59">
        <f t="shared" si="102"/>
        <v>276.01618888357268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32.549134865596564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32.549134865596564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-1.7053025658242404E-13</v>
      </c>
      <c r="GA128" s="17">
        <f>FZ128*VLOOKUP('Données projet'!$B$17,Paramètres!$A$1:$I$89,3,0)*VLOOKUP('Données projet'!$B$17,Paramètres!$A$1:$I$89,5,0)</f>
        <v>-1.3567387213697657E-13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323.01113210765487</v>
      </c>
      <c r="GF128" s="59">
        <f t="shared" si="104"/>
        <v>311.68541696405975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37.364905091309019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37.364905091309019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2.8421709430404007E-14</v>
      </c>
      <c r="GV128" s="17">
        <f>GU128*VLOOKUP('Données projet'!$B$18,Paramètres!$A$1:$I$89,3,0)*VLOOKUP('Données projet'!$B$18,Paramètres!$A$1:$I$89,5,0)</f>
        <v>2.4829205358400945E-14</v>
      </c>
      <c r="GW128" s="13">
        <f t="shared" si="105"/>
        <v>4.3867331143352915E-13</v>
      </c>
      <c r="GX128" s="20">
        <f t="shared" si="82"/>
        <v>8.0726688341261168E-13</v>
      </c>
      <c r="GY128" s="59">
        <f t="shared" si="83"/>
        <v>283.0486183689693</v>
      </c>
      <c r="GZ128" s="59">
        <f ca="1">AVERAGE(OFFSET($GY$3,0,0,'Données projet'!$E$18+1,1))-AVERAGE(OFFSET($H$3,0,0,'Données projet'!$E$18+1,1))</f>
        <v>285.8437404763045</v>
      </c>
      <c r="HA128" s="59">
        <f t="shared" si="106"/>
        <v>276.01618888357268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32.549134865596564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32.549134865596564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-1.0286385077051818E-13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315.34103933739129</v>
      </c>
      <c r="T129" s="59">
        <f t="shared" si="88"/>
        <v>165.80901858372513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89.958212422148137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89.958212422148137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-3.4106051316484809E-13</v>
      </c>
      <c r="AJ129" s="13">
        <f>AI129*VLOOKUP('Données projet'!$B$10,Paramètres!$A$1:$I$89,3,0)*VLOOKUP('Données projet'!$B$10,Paramètres!$A$1:$I$89,5,0)</f>
        <v>-2.0395418687257919E-13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317.328615425664</v>
      </c>
      <c r="AO129" s="59">
        <f t="shared" si="90"/>
        <v>324.95872842255744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47.500712223026369</v>
      </c>
      <c r="AV129" s="21">
        <f>EXP(-LN(2)/25)*AV128+(1-EXP(-LN(2)/25))/(LN(2)/25)*Calculateur!AQ129*Calculateur!AS129*VLOOKUP('Données projet'!$B$10,Paramètres!$A$1:$I$89,3,0)*0.475*44/12</f>
        <v>5.4287583599710265</v>
      </c>
      <c r="AW129" s="21">
        <f>EXP(-LN(2)/2)*AW128+(1-EXP(-LN(2)/2))/(LN(2)/2)*AQ129*AT129*VLOOKUP('Données projet'!$B$10,Paramètres!$A$1:$I$89,3,0)*0.475*44/12</f>
        <v>3.1312537429963861E-9</v>
      </c>
      <c r="AX129" s="21">
        <f t="shared" si="60"/>
        <v>52.929470586128652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-6.5483618527650828E-14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418.31716673276725</v>
      </c>
      <c r="BJ129" s="59">
        <f t="shared" si="92"/>
        <v>472.37891533957929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37.058854745822309</v>
      </c>
      <c r="BQ129" s="21">
        <f>EXP(-LN(2)/25)*BQ128+(1-EXP(-LN(2)/25))/(LN(2)/25)*Calculateur!BL129*Calculateur!BN129*VLOOKUP('Données projet'!$B$11,Paramètres!$A$1:$I$89,3,0)*0.475*44/12</f>
        <v>4.9521984725642172</v>
      </c>
      <c r="BR129" s="21">
        <f>EXP(-LN(2)/2)*BR128+(1-EXP(-LN(2)/2))/(LN(2)/2)*BL129*BO129*VLOOKUP('Données projet'!$B$11,Paramètres!$A$1:$I$89,3,0)*0.475*44/12</f>
        <v>4.8565477058289092E-9</v>
      </c>
      <c r="BS129" s="22">
        <f t="shared" si="63"/>
        <v>42.011053223243074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1.1368683772161603E-13</v>
      </c>
      <c r="BZ129" s="13">
        <f>BY129*VLOOKUP('Données projet'!$B$12,Paramètres!$A$1:$I$89,3,0)*VLOOKUP('Données projet'!$B$12,Paramètres!$A$1:$I$89,5,0)</f>
        <v>6.6506800067145386E-14</v>
      </c>
      <c r="CA129" s="13">
        <f t="shared" si="93"/>
        <v>1.0476989505385114E-12</v>
      </c>
      <c r="CB129" s="20">
        <f t="shared" si="64"/>
        <v>1.9405750156381857E-12</v>
      </c>
      <c r="CC129" s="59">
        <f t="shared" si="65"/>
        <v>283.22703518042414</v>
      </c>
      <c r="CD129" s="59">
        <f ca="1">AVERAGE(OFFSET($CC$3,0,0,'Données projet'!$E$12+1,1))-AVERAGE(OFFSET($H$3,0,0,'Données projet'!$E$12+1,1))</f>
        <v>184.11352167663844</v>
      </c>
      <c r="CE129" s="59">
        <f t="shared" si="94"/>
        <v>145.86653500981791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26.940477990466238</v>
      </c>
      <c r="CL129" s="21">
        <f>EXP(-LN(2)/25)*CL128+(1-EXP(-LN(2)/25))/(LN(2)/25)*Calculateur!CG129*Calculateur!CI129*VLOOKUP('Données projet'!$B$12,Paramètres!$A$1:$I$89,3,0)*0.475*44/12</f>
        <v>7.8573577733050035</v>
      </c>
      <c r="CM129" s="21">
        <f>EXP(-LN(2)/2)*CM128+(1-EXP(-LN(2)/2))/(LN(2)/2)*CG129*CJ129*VLOOKUP('Données projet'!$B$12,Paramètres!$A$1:$I$89,3,0)*0.475*44/12</f>
        <v>7.2060767160485973E-5</v>
      </c>
      <c r="CN129" s="22">
        <f t="shared" si="66"/>
        <v>34.797907824538399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>
        <f>VLOOKUP(A129,'Données projet'!$A$139:$I$159,2,0)</f>
        <v>326.79000000000002</v>
      </c>
      <c r="CR129" s="12">
        <f>VLOOKUP(A129,'Données projet'!$A$139:$I$159,9,0)</f>
        <v>4.3927272727272717</v>
      </c>
      <c r="CS129" s="12">
        <f t="array" ref="CS129">INDEX(CR:CR,MIN(IF(ISNUMBER(CR129:CR325),ROW(CR129:CR325),"")))</f>
        <v>4.3927272727272717</v>
      </c>
      <c r="CT129" s="12">
        <f>IF('Données projet'!$A$140&gt;35,CT128+CS129-DB128,IF(A129&lt;'Données projet'!$A$140,$CQ$205^A129,IF(A129='Données projet'!$A$140,'Données projet'!$B$140,CT128+CS129-DB128)))</f>
        <v>326.78999999999979</v>
      </c>
      <c r="CU129" s="17">
        <f>CT129*VLOOKUP('Données projet'!$B$13,Paramètres!$A$1:$I$89,3,0)*VLOOKUP('Données projet'!$B$13,Paramètres!$A$1:$I$89,5,0)</f>
        <v>157.18598999999989</v>
      </c>
      <c r="CV129" s="13">
        <f t="shared" si="95"/>
        <v>40.207153619753079</v>
      </c>
      <c r="CW129" s="20">
        <f t="shared" si="67"/>
        <v>343.7930584710698</v>
      </c>
      <c r="CX129" s="59">
        <f t="shared" si="68"/>
        <v>627.02009365149206</v>
      </c>
      <c r="CY129" s="59">
        <f ca="1">AVERAGE(OFFSET($CX$3,0,0,'Données projet'!$E$13+1,1))-AVERAGE(OFFSET($H$3,0,0,'Données projet'!$E$13+1,1))</f>
        <v>303.76035885073708</v>
      </c>
      <c r="CZ129" s="59">
        <f t="shared" si="96"/>
        <v>127.43112562890414</v>
      </c>
      <c r="DA129" s="15">
        <f>IF(ISNA(VLOOKUP(A129,'Données projet'!$A$139:$I$159,3,0)),0,VLOOKUP(A129,'Données projet'!$A$139:$I$159,3,0))</f>
        <v>13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0.22000000000000003</v>
      </c>
      <c r="DD129" s="16">
        <f>IF(ISNA(VLOOKUP(A129,'Données projet'!$A$139:$I$159,6,0)),0%,VLOOKUP(A129,'Données projet'!$A$139:$I$159,6,0)*VLOOKUP('Données projet'!$B$13,Paramètres!$A$1:$I$89,7,0))</f>
        <v>0.18700000000000003</v>
      </c>
      <c r="DE129" s="16">
        <f>IF(ISNA(VLOOKUP(A129,'Données projet'!$A$139:$I$159,7,0)),0%,VLOOKUP(A129,'Données projet'!$A$139:$I$159,7,0))</f>
        <v>0.26</v>
      </c>
      <c r="DF129" s="21">
        <f>EXP(-LN(2)/35)*DF128+(1-EXP(-LN(2)/35))/(LN(2)/35)*DB129*DC129*VLOOKUP('Données projet'!$B$13,Paramètres!$A$1:$I$89,3,0)*0.475*44/12</f>
        <v>15.199975862765195</v>
      </c>
      <c r="DG129" s="21">
        <f>EXP(-LN(2)/25)*DG128+(1-EXP(-LN(2)/25))/(LN(2)/25)*Calculateur!DB129*Calculateur!DD129*VLOOKUP('Données projet'!$B$13,Paramètres!$A$1:$I$89,3,0)*0.475*44/12</f>
        <v>18.1190388248624</v>
      </c>
      <c r="DH129" s="21">
        <f>EXP(-LN(2)/2)*DH128+(1-EXP(-LN(2)/2))/(LN(2)/2)*DB129*DE129*VLOOKUP('Données projet'!$B$13,Paramètres!$A$1:$I$89,3,0)*0.475*44/12</f>
        <v>0.20393457017679206</v>
      </c>
      <c r="DI129" s="22">
        <f t="shared" si="69"/>
        <v>33.522949257804385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5.6843418860808015E-14</v>
      </c>
      <c r="DP129" s="17">
        <f>DO129*VLOOKUP('Données projet'!$B$14,Paramètres!$A$1:$I$89,3,0)*VLOOKUP('Données projet'!$B$14,Paramètres!$A$1:$I$89,5,0)</f>
        <v>3.2810021366458389E-14</v>
      </c>
      <c r="DQ129" s="13">
        <f t="shared" si="97"/>
        <v>5.6117125884464641E-13</v>
      </c>
      <c r="DR129" s="20">
        <f t="shared" si="70"/>
        <v>1.0345173963676741E-12</v>
      </c>
      <c r="DS129" s="59">
        <f t="shared" si="71"/>
        <v>283.22703518042323</v>
      </c>
      <c r="DT129" s="59">
        <f ca="1">AVERAGE(OFFSET($DS$3,0,0,'Données projet'!$E$14+1,1))-AVERAGE(OFFSET($H$3,0,0,'Données projet'!$E$14+1,1))</f>
        <v>243.65374431792841</v>
      </c>
      <c r="DU129" s="59">
        <f t="shared" si="98"/>
        <v>271.60754570002939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16.110110278567287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16.110110278567287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-4.5474735088646412E-13</v>
      </c>
      <c r="EK129" s="17">
        <f>EJ129*VLOOKUP('Données projet'!$B$15,Paramètres!$A$1:$I$89,3,0)*VLOOKUP('Données projet'!$B$15,Paramètres!$A$1:$I$89,5,0)</f>
        <v>-3.0504452297464016E-13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321.44781099085594</v>
      </c>
      <c r="EP129" s="59">
        <f t="shared" si="100"/>
        <v>201.22243186578183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100.92836380736526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100.92836380736526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2.8421709430404007E-14</v>
      </c>
      <c r="FF129" s="17">
        <f>FE129*VLOOKUP('Données projet'!$B$16,Paramètres!$A$1:$I$89,3,0)*VLOOKUP('Données projet'!$B$16,Paramètres!$A$1:$I$89,5,0)</f>
        <v>2.4829205358400945E-14</v>
      </c>
      <c r="FG129" s="13">
        <f t="shared" si="101"/>
        <v>4.3867331143352915E-13</v>
      </c>
      <c r="FH129" s="20">
        <f t="shared" si="76"/>
        <v>8.0726688341261168E-13</v>
      </c>
      <c r="FI129" s="59">
        <f t="shared" si="77"/>
        <v>283.227035180423</v>
      </c>
      <c r="FJ129" s="59">
        <f ca="1">AVERAGE(OFFSET($FI$3,0,0,'Données projet'!$E$16+1,1))-AVERAGE(OFFSET($H$3,0,0,'Données projet'!$E$16+1,1))</f>
        <v>285.8437404763045</v>
      </c>
      <c r="FK129" s="59">
        <f t="shared" si="102"/>
        <v>276.01618888357268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31.910866183894161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31.910866183894161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-1.7053025658242404E-13</v>
      </c>
      <c r="GA129" s="17">
        <f>FZ129*VLOOKUP('Données projet'!$B$17,Paramètres!$A$1:$I$89,3,0)*VLOOKUP('Données projet'!$B$17,Paramètres!$A$1:$I$89,5,0)</f>
        <v>-1.3567387213697657E-13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323.01113210765487</v>
      </c>
      <c r="GF129" s="59">
        <f t="shared" si="104"/>
        <v>311.68541696405975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36.632202092810196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36.632202092810196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2.8421709430404007E-14</v>
      </c>
      <c r="GV129" s="17">
        <f>GU129*VLOOKUP('Données projet'!$B$18,Paramètres!$A$1:$I$89,3,0)*VLOOKUP('Données projet'!$B$18,Paramètres!$A$1:$I$89,5,0)</f>
        <v>2.4829205358400945E-14</v>
      </c>
      <c r="GW129" s="13">
        <f t="shared" si="105"/>
        <v>4.3867331143352915E-13</v>
      </c>
      <c r="GX129" s="20">
        <f t="shared" si="82"/>
        <v>8.0726688341261168E-13</v>
      </c>
      <c r="GY129" s="59">
        <f t="shared" si="83"/>
        <v>283.227035180423</v>
      </c>
      <c r="GZ129" s="59">
        <f ca="1">AVERAGE(OFFSET($GY$3,0,0,'Données projet'!$E$18+1,1))-AVERAGE(OFFSET($H$3,0,0,'Données projet'!$E$18+1,1))</f>
        <v>285.8437404763045</v>
      </c>
      <c r="HA129" s="59">
        <f t="shared" si="106"/>
        <v>276.01618888357268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31.910866183894161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31.910866183894161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-1.0286385077051818E-13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315.34103933739129</v>
      </c>
      <c r="T130" s="59">
        <f t="shared" si="88"/>
        <v>165.80901858372513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88.194186745641517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88.194186745641517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-3.4106051316484809E-13</v>
      </c>
      <c r="AJ130" s="13">
        <f>AI130*VLOOKUP('Données projet'!$B$10,Paramètres!$A$1:$I$89,3,0)*VLOOKUP('Données projet'!$B$10,Paramètres!$A$1:$I$89,5,0)</f>
        <v>-2.0395418687257919E-13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317.328615425664</v>
      </c>
      <c r="AO130" s="59">
        <f t="shared" si="90"/>
        <v>324.95872842255744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46.569252228906471</v>
      </c>
      <c r="AV130" s="21">
        <f>EXP(-LN(2)/25)*AV129+(1-EXP(-LN(2)/25))/(LN(2)/25)*Calculateur!AQ130*Calculateur!AS130*VLOOKUP('Données projet'!$B$10,Paramètres!$A$1:$I$89,3,0)*0.475*44/12</f>
        <v>5.2803086771316243</v>
      </c>
      <c r="AW130" s="21">
        <f>EXP(-LN(2)/2)*AW129+(1-EXP(-LN(2)/2))/(LN(2)/2)*AQ130*AT130*VLOOKUP('Données projet'!$B$10,Paramètres!$A$1:$I$89,3,0)*0.475*44/12</f>
        <v>2.2141307552885035E-9</v>
      </c>
      <c r="AX130" s="21">
        <f t="shared" si="60"/>
        <v>51.849560908252222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-6.5483618527650828E-14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418.31716673276725</v>
      </c>
      <c r="BJ130" s="59">
        <f t="shared" si="92"/>
        <v>472.37891533957929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36.332153207926204</v>
      </c>
      <c r="BQ130" s="21">
        <f>EXP(-LN(2)/25)*BQ129+(1-EXP(-LN(2)/25))/(LN(2)/25)*Calculateur!BL130*Calculateur!BN130*VLOOKUP('Données projet'!$B$11,Paramètres!$A$1:$I$89,3,0)*0.475*44/12</f>
        <v>4.8167803449071496</v>
      </c>
      <c r="BR130" s="21">
        <f>EXP(-LN(2)/2)*BR129+(1-EXP(-LN(2)/2))/(LN(2)/2)*BL130*BO130*VLOOKUP('Données projet'!$B$11,Paramètres!$A$1:$I$89,3,0)*0.475*44/12</f>
        <v>3.4340978159475919E-9</v>
      </c>
      <c r="BS130" s="22">
        <f t="shared" si="63"/>
        <v>41.148933556267451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1.1368683772161603E-13</v>
      </c>
      <c r="BZ130" s="13">
        <f>BY130*VLOOKUP('Données projet'!$B$12,Paramètres!$A$1:$I$89,3,0)*VLOOKUP('Données projet'!$B$12,Paramètres!$A$1:$I$89,5,0)</f>
        <v>6.6506800067145386E-14</v>
      </c>
      <c r="CA130" s="13">
        <f t="shared" si="93"/>
        <v>1.0476989505385114E-12</v>
      </c>
      <c r="CB130" s="20">
        <f t="shared" si="64"/>
        <v>1.9405750156381857E-12</v>
      </c>
      <c r="CC130" s="59">
        <f t="shared" si="65"/>
        <v>283.40235685907936</v>
      </c>
      <c r="CD130" s="59">
        <f ca="1">AVERAGE(OFFSET($CC$3,0,0,'Données projet'!$E$12+1,1))-AVERAGE(OFFSET($H$3,0,0,'Données projet'!$E$12+1,1))</f>
        <v>184.11352167663844</v>
      </c>
      <c r="CE130" s="59">
        <f t="shared" si="94"/>
        <v>145.86653500981791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26.412191649142237</v>
      </c>
      <c r="CL130" s="21">
        <f>EXP(-LN(2)/25)*CL129+(1-EXP(-LN(2)/25))/(LN(2)/25)*Calculateur!CG130*Calculateur!CI130*VLOOKUP('Données projet'!$B$12,Paramètres!$A$1:$I$89,3,0)*0.475*44/12</f>
        <v>7.642497911793491</v>
      </c>
      <c r="CM130" s="21">
        <f>EXP(-LN(2)/2)*CM129+(1-EXP(-LN(2)/2))/(LN(2)/2)*CG130*CJ130*VLOOKUP('Données projet'!$B$12,Paramètres!$A$1:$I$89,3,0)*0.475*44/12</f>
        <v>5.0954657116684505E-5</v>
      </c>
      <c r="CN130" s="22">
        <f t="shared" si="66"/>
        <v>34.054740515592847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4.2599999999999971</v>
      </c>
      <c r="CT130" s="12">
        <f>IF('Données projet'!$A$140&gt;35,CT129+CS130-DB129,IF(A130&lt;'Données projet'!$A$140,$CQ$205^A130,IF(A130='Données projet'!$A$140,'Données projet'!$B$140,CT129+CS130-DB129)))</f>
        <v>331.04999999999978</v>
      </c>
      <c r="CU130" s="17">
        <f>CT130*VLOOKUP('Données projet'!$B$13,Paramètres!$A$1:$I$89,3,0)*VLOOKUP('Données projet'!$B$13,Paramètres!$A$1:$I$89,5,0)</f>
        <v>159.23504999999989</v>
      </c>
      <c r="CV130" s="13">
        <f t="shared" si="95"/>
        <v>40.669930704926422</v>
      </c>
      <c r="CW130" s="20">
        <f t="shared" si="67"/>
        <v>348.1678413944133</v>
      </c>
      <c r="CX130" s="59">
        <f t="shared" si="68"/>
        <v>631.57019825349073</v>
      </c>
      <c r="CY130" s="59">
        <f ca="1">AVERAGE(OFFSET($CX$3,0,0,'Données projet'!$E$13+1,1))-AVERAGE(OFFSET($H$3,0,0,'Données projet'!$E$13+1,1))</f>
        <v>303.76035885073708</v>
      </c>
      <c r="CZ130" s="59">
        <f t="shared" si="96"/>
        <v>127.43112562890414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14.901913607166204</v>
      </c>
      <c r="DG130" s="21">
        <f>EXP(-LN(2)/25)*DG129+(1-EXP(-LN(2)/25))/(LN(2)/25)*Calculateur!DB130*Calculateur!DD130*VLOOKUP('Données projet'!$B$13,Paramètres!$A$1:$I$89,3,0)*0.475*44/12</f>
        <v>17.623572755357699</v>
      </c>
      <c r="DH130" s="21">
        <f>EXP(-LN(2)/2)*DH129+(1-EXP(-LN(2)/2))/(LN(2)/2)*DB130*DE130*VLOOKUP('Données projet'!$B$13,Paramètres!$A$1:$I$89,3,0)*0.475*44/12</f>
        <v>0.14420351749037352</v>
      </c>
      <c r="DI130" s="22">
        <f t="shared" si="69"/>
        <v>32.669689880014282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5.6843418860808015E-14</v>
      </c>
      <c r="DP130" s="17">
        <f>DO130*VLOOKUP('Données projet'!$B$14,Paramètres!$A$1:$I$89,3,0)*VLOOKUP('Données projet'!$B$14,Paramètres!$A$1:$I$89,5,0)</f>
        <v>3.2810021366458389E-14</v>
      </c>
      <c r="DQ130" s="13">
        <f t="shared" si="97"/>
        <v>5.6117125884464641E-13</v>
      </c>
      <c r="DR130" s="20">
        <f t="shared" si="70"/>
        <v>1.0345173963676741E-12</v>
      </c>
      <c r="DS130" s="59">
        <f t="shared" si="71"/>
        <v>283.40235685907845</v>
      </c>
      <c r="DT130" s="59">
        <f ca="1">AVERAGE(OFFSET($DS$3,0,0,'Données projet'!$E$14+1,1))-AVERAGE(OFFSET($H$3,0,0,'Données projet'!$E$14+1,1))</f>
        <v>243.65374431792841</v>
      </c>
      <c r="DU130" s="59">
        <f t="shared" si="98"/>
        <v>271.60754570002939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15.794200842201596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15.794200842201596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-4.5474735088646412E-13</v>
      </c>
      <c r="EK130" s="17">
        <f>EJ130*VLOOKUP('Données projet'!$B$15,Paramètres!$A$1:$I$89,3,0)*VLOOKUP('Données projet'!$B$15,Paramètres!$A$1:$I$89,5,0)</f>
        <v>-3.0504452297464016E-13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321.44781099085594</v>
      </c>
      <c r="EP130" s="59">
        <f t="shared" si="100"/>
        <v>201.22243186578183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98.949220153326181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98.949220153326181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2.8421709430404007E-14</v>
      </c>
      <c r="FF130" s="17">
        <f>FE130*VLOOKUP('Données projet'!$B$16,Paramètres!$A$1:$I$89,3,0)*VLOOKUP('Données projet'!$B$16,Paramètres!$A$1:$I$89,5,0)</f>
        <v>2.4829205358400945E-14</v>
      </c>
      <c r="FG130" s="13">
        <f t="shared" si="101"/>
        <v>4.3867331143352915E-13</v>
      </c>
      <c r="FH130" s="20">
        <f t="shared" si="76"/>
        <v>8.0726688341261168E-13</v>
      </c>
      <c r="FI130" s="59">
        <f t="shared" si="77"/>
        <v>283.40235685907822</v>
      </c>
      <c r="FJ130" s="59">
        <f ca="1">AVERAGE(OFFSET($FI$3,0,0,'Données projet'!$E$16+1,1))-AVERAGE(OFFSET($H$3,0,0,'Données projet'!$E$16+1,1))</f>
        <v>285.8437404763045</v>
      </c>
      <c r="FK130" s="59">
        <f t="shared" si="102"/>
        <v>276.01618888357268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31.285113561734487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31.285113561734487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-1.7053025658242404E-13</v>
      </c>
      <c r="GA130" s="17">
        <f>FZ130*VLOOKUP('Données projet'!$B$17,Paramètres!$A$1:$I$89,3,0)*VLOOKUP('Données projet'!$B$17,Paramètres!$A$1:$I$89,5,0)</f>
        <v>-1.3567387213697657E-13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323.01113210765487</v>
      </c>
      <c r="GF130" s="59">
        <f t="shared" si="104"/>
        <v>311.68541696405975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35.913866953207233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35.913866953207233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2.8421709430404007E-14</v>
      </c>
      <c r="GV130" s="17">
        <f>GU130*VLOOKUP('Données projet'!$B$18,Paramètres!$A$1:$I$89,3,0)*VLOOKUP('Données projet'!$B$18,Paramètres!$A$1:$I$89,5,0)</f>
        <v>2.4829205358400945E-14</v>
      </c>
      <c r="GW130" s="13">
        <f t="shared" si="105"/>
        <v>4.3867331143352915E-13</v>
      </c>
      <c r="GX130" s="20">
        <f t="shared" si="82"/>
        <v>8.0726688341261168E-13</v>
      </c>
      <c r="GY130" s="59">
        <f t="shared" si="83"/>
        <v>283.40235685907822</v>
      </c>
      <c r="GZ130" s="59">
        <f ca="1">AVERAGE(OFFSET($GY$3,0,0,'Données projet'!$E$18+1,1))-AVERAGE(OFFSET($H$3,0,0,'Données projet'!$E$18+1,1))</f>
        <v>285.8437404763045</v>
      </c>
      <c r="HA130" s="59">
        <f t="shared" si="106"/>
        <v>276.01618888357268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31.285113561734487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31.285113561734487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-1.0286385077051818E-13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315.34103933739129</v>
      </c>
      <c r="T131" s="59">
        <f t="shared" si="88"/>
        <v>165.80901858372513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86.464752536701766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86.464752536701766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-3.4106051316484809E-13</v>
      </c>
      <c r="AJ131" s="13">
        <f>AI131*VLOOKUP('Données projet'!$B$10,Paramètres!$A$1:$I$89,3,0)*VLOOKUP('Données projet'!$B$10,Paramètres!$A$1:$I$89,5,0)</f>
        <v>-2.0395418687257919E-13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317.328615425664</v>
      </c>
      <c r="AO131" s="59">
        <f t="shared" si="90"/>
        <v>324.95872842255744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45.656057597136773</v>
      </c>
      <c r="AV131" s="21">
        <f>EXP(-LN(2)/25)*AV130+(1-EXP(-LN(2)/25))/(LN(2)/25)*Calculateur!AQ131*Calculateur!AS131*VLOOKUP('Données projet'!$B$10,Paramètres!$A$1:$I$89,3,0)*0.475*44/12</f>
        <v>5.1359183586760953</v>
      </c>
      <c r="AW131" s="21">
        <f>EXP(-LN(2)/2)*AW130+(1-EXP(-LN(2)/2))/(LN(2)/2)*AQ131*AT131*VLOOKUP('Données projet'!$B$10,Paramètres!$A$1:$I$89,3,0)*0.475*44/12</f>
        <v>1.5656268714981931E-9</v>
      </c>
      <c r="AX131" s="21">
        <f t="shared" si="60"/>
        <v>50.79197595737849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-6.5483618527650828E-14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418.31716673276725</v>
      </c>
      <c r="BJ131" s="59">
        <f t="shared" si="92"/>
        <v>472.37891533957929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35.619701843944071</v>
      </c>
      <c r="BQ131" s="21">
        <f>EXP(-LN(2)/25)*BQ130+(1-EXP(-LN(2)/25))/(LN(2)/25)*Calculateur!BL131*Calculateur!BN131*VLOOKUP('Données projet'!$B$11,Paramètres!$A$1:$I$89,3,0)*0.475*44/12</f>
        <v>4.6850652330721942</v>
      </c>
      <c r="BR131" s="21">
        <f>EXP(-LN(2)/2)*BR130+(1-EXP(-LN(2)/2))/(LN(2)/2)*BL131*BO131*VLOOKUP('Données projet'!$B$11,Paramètres!$A$1:$I$89,3,0)*0.475*44/12</f>
        <v>2.4282738529144546E-9</v>
      </c>
      <c r="BS131" s="22">
        <f t="shared" si="63"/>
        <v>40.304767079444538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1.1368683772161603E-13</v>
      </c>
      <c r="BZ131" s="13">
        <f>BY131*VLOOKUP('Données projet'!$B$12,Paramètres!$A$1:$I$89,3,0)*VLOOKUP('Données projet'!$B$12,Paramètres!$A$1:$I$89,5,0)</f>
        <v>6.6506800067145386E-14</v>
      </c>
      <c r="CA131" s="13">
        <f t="shared" si="93"/>
        <v>1.0476989505385114E-12</v>
      </c>
      <c r="CB131" s="20">
        <f t="shared" si="64"/>
        <v>1.9405750156381857E-12</v>
      </c>
      <c r="CC131" s="59">
        <f t="shared" si="65"/>
        <v>283.57463709857046</v>
      </c>
      <c r="CD131" s="59">
        <f ca="1">AVERAGE(OFFSET($CC$3,0,0,'Données projet'!$E$12+1,1))-AVERAGE(OFFSET($H$3,0,0,'Données projet'!$E$12+1,1))</f>
        <v>184.11352167663844</v>
      </c>
      <c r="CE131" s="59">
        <f t="shared" si="94"/>
        <v>145.86653500981791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25.894264680748748</v>
      </c>
      <c r="CL131" s="21">
        <f>EXP(-LN(2)/25)*CL130+(1-EXP(-LN(2)/25))/(LN(2)/25)*Calculateur!CG131*Calculateur!CI131*VLOOKUP('Données projet'!$B$12,Paramètres!$A$1:$I$89,3,0)*0.475*44/12</f>
        <v>7.4335134044939997</v>
      </c>
      <c r="CM131" s="21">
        <f>EXP(-LN(2)/2)*CM130+(1-EXP(-LN(2)/2))/(LN(2)/2)*CG131*CJ131*VLOOKUP('Données projet'!$B$12,Paramètres!$A$1:$I$89,3,0)*0.475*44/12</f>
        <v>3.6030383580242987E-5</v>
      </c>
      <c r="CN131" s="22">
        <f t="shared" si="66"/>
        <v>33.327814115626332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4.2599999999999971</v>
      </c>
      <c r="CT131" s="12">
        <f>IF('Données projet'!$A$140&gt;35,CT130+CS131-DB130,IF(A131&lt;'Données projet'!$A$140,$CQ$205^A131,IF(A131='Données projet'!$A$140,'Données projet'!$B$140,CT130+CS131-DB130)))</f>
        <v>335.30999999999977</v>
      </c>
      <c r="CU131" s="17">
        <f>CT131*VLOOKUP('Données projet'!$B$13,Paramètres!$A$1:$I$89,3,0)*VLOOKUP('Données projet'!$B$13,Paramètres!$A$1:$I$89,5,0)</f>
        <v>161.28410999999988</v>
      </c>
      <c r="CV131" s="13">
        <f t="shared" si="95"/>
        <v>41.132015117044368</v>
      </c>
      <c r="CW131" s="20">
        <f t="shared" si="67"/>
        <v>352.54141791218541</v>
      </c>
      <c r="CX131" s="59">
        <f t="shared" si="68"/>
        <v>636.11605501075394</v>
      </c>
      <c r="CY131" s="59">
        <f ca="1">AVERAGE(OFFSET($CX$3,0,0,'Données projet'!$E$13+1,1))-AVERAGE(OFFSET($H$3,0,0,'Données projet'!$E$13+1,1))</f>
        <v>303.76035885073708</v>
      </c>
      <c r="CZ131" s="59">
        <f t="shared" si="96"/>
        <v>127.43112562890414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14.609696170599484</v>
      </c>
      <c r="DG131" s="21">
        <f>EXP(-LN(2)/25)*DG130+(1-EXP(-LN(2)/25))/(LN(2)/25)*Calculateur!DB131*Calculateur!DD131*VLOOKUP('Données projet'!$B$13,Paramètres!$A$1:$I$89,3,0)*0.475*44/12</f>
        <v>17.14165523157903</v>
      </c>
      <c r="DH131" s="21">
        <f>EXP(-LN(2)/2)*DH130+(1-EXP(-LN(2)/2))/(LN(2)/2)*DB131*DE131*VLOOKUP('Données projet'!$B$13,Paramètres!$A$1:$I$89,3,0)*0.475*44/12</f>
        <v>0.10196728508839603</v>
      </c>
      <c r="DI131" s="22">
        <f t="shared" si="69"/>
        <v>31.85331868726691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5.6843418860808015E-14</v>
      </c>
      <c r="DP131" s="17">
        <f>DO131*VLOOKUP('Données projet'!$B$14,Paramètres!$A$1:$I$89,3,0)*VLOOKUP('Données projet'!$B$14,Paramètres!$A$1:$I$89,5,0)</f>
        <v>3.2810021366458389E-14</v>
      </c>
      <c r="DQ131" s="13">
        <f t="shared" si="97"/>
        <v>5.6117125884464641E-13</v>
      </c>
      <c r="DR131" s="20">
        <f t="shared" si="70"/>
        <v>1.0345173963676741E-12</v>
      </c>
      <c r="DS131" s="59">
        <f t="shared" si="71"/>
        <v>283.57463709856955</v>
      </c>
      <c r="DT131" s="59">
        <f ca="1">AVERAGE(OFFSET($DS$3,0,0,'Données projet'!$E$14+1,1))-AVERAGE(OFFSET($H$3,0,0,'Données projet'!$E$14+1,1))</f>
        <v>243.65374431792841</v>
      </c>
      <c r="DU131" s="59">
        <f t="shared" si="98"/>
        <v>271.60754570002939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15.484486197197306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15.484486197197306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-4.5474735088646412E-13</v>
      </c>
      <c r="EK131" s="17">
        <f>EJ131*VLOOKUP('Données projet'!$B$15,Paramètres!$A$1:$I$89,3,0)*VLOOKUP('Données projet'!$B$15,Paramètres!$A$1:$I$89,5,0)</f>
        <v>-3.0504452297464016E-13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321.44781099085594</v>
      </c>
      <c r="EP131" s="59">
        <f t="shared" si="100"/>
        <v>201.22243186578183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97.008886299184383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97.008886299184383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2.8421709430404007E-14</v>
      </c>
      <c r="FF131" s="17">
        <f>FE131*VLOOKUP('Données projet'!$B$16,Paramètres!$A$1:$I$89,3,0)*VLOOKUP('Données projet'!$B$16,Paramètres!$A$1:$I$89,5,0)</f>
        <v>2.4829205358400945E-14</v>
      </c>
      <c r="FG131" s="13">
        <f t="shared" si="101"/>
        <v>4.3867331143352915E-13</v>
      </c>
      <c r="FH131" s="20">
        <f t="shared" si="76"/>
        <v>8.0726688341261168E-13</v>
      </c>
      <c r="FI131" s="59">
        <f t="shared" si="77"/>
        <v>283.57463709856933</v>
      </c>
      <c r="FJ131" s="59">
        <f ca="1">AVERAGE(OFFSET($FI$3,0,0,'Données projet'!$E$16+1,1))-AVERAGE(OFFSET($H$3,0,0,'Données projet'!$E$16+1,1))</f>
        <v>285.8437404763045</v>
      </c>
      <c r="FK131" s="59">
        <f t="shared" si="102"/>
        <v>276.01618888357268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30.671631566823951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30.671631566823951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-1.7053025658242404E-13</v>
      </c>
      <c r="GA131" s="17">
        <f>FZ131*VLOOKUP('Données projet'!$B$17,Paramètres!$A$1:$I$89,3,0)*VLOOKUP('Données projet'!$B$17,Paramètres!$A$1:$I$89,5,0)</f>
        <v>-1.3567387213697657E-13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323.01113210765487</v>
      </c>
      <c r="GF131" s="59">
        <f t="shared" si="104"/>
        <v>311.68541696405975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35.20961792755071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35.20961792755071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2.8421709430404007E-14</v>
      </c>
      <c r="GV131" s="17">
        <f>GU131*VLOOKUP('Données projet'!$B$18,Paramètres!$A$1:$I$89,3,0)*VLOOKUP('Données projet'!$B$18,Paramètres!$A$1:$I$89,5,0)</f>
        <v>2.4829205358400945E-14</v>
      </c>
      <c r="GW131" s="13">
        <f t="shared" si="105"/>
        <v>4.3867331143352915E-13</v>
      </c>
      <c r="GX131" s="20">
        <f t="shared" si="82"/>
        <v>8.0726688341261168E-13</v>
      </c>
      <c r="GY131" s="59">
        <f t="shared" si="83"/>
        <v>283.57463709856933</v>
      </c>
      <c r="GZ131" s="59">
        <f ca="1">AVERAGE(OFFSET($GY$3,0,0,'Données projet'!$E$18+1,1))-AVERAGE(OFFSET($H$3,0,0,'Données projet'!$E$18+1,1))</f>
        <v>285.8437404763045</v>
      </c>
      <c r="HA131" s="59">
        <f t="shared" si="106"/>
        <v>276.01618888357268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30.671631566823951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30.671631566823951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-1.0286385077051818E-13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315.34103933739129</v>
      </c>
      <c r="T132" s="59">
        <f t="shared" si="88"/>
        <v>165.80901858372513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84.769231477748619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84.769231477748619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-3.4106051316484809E-13</v>
      </c>
      <c r="AJ132" s="13">
        <f>AI132*VLOOKUP('Données projet'!$B$10,Paramètres!$A$1:$I$89,3,0)*VLOOKUP('Données projet'!$B$10,Paramètres!$A$1:$I$89,5,0)</f>
        <v>-2.0395418687257919E-13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317.328615425664</v>
      </c>
      <c r="AO132" s="59">
        <f t="shared" si="90"/>
        <v>324.95872842255744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44.76077015510235</v>
      </c>
      <c r="AV132" s="21">
        <f>EXP(-LN(2)/25)*AV131+(1-EXP(-LN(2)/25))/(LN(2)/25)*Calculateur!AQ132*Calculateur!AS132*VLOOKUP('Données projet'!$B$10,Paramètres!$A$1:$I$89,3,0)*0.475*44/12</f>
        <v>4.9954764010718895</v>
      </c>
      <c r="AW132" s="21">
        <f>EXP(-LN(2)/2)*AW131+(1-EXP(-LN(2)/2))/(LN(2)/2)*AQ132*AT132*VLOOKUP('Données projet'!$B$10,Paramètres!$A$1:$I$89,3,0)*0.475*44/12</f>
        <v>1.1070653776442517E-9</v>
      </c>
      <c r="AX132" s="21">
        <f t="shared" ref="AX132:AX153" si="114">SUM(AU132:AW132)</f>
        <v>49.756246557281308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-6.5483618527650828E-14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418.31716673276725</v>
      </c>
      <c r="BJ132" s="59">
        <f t="shared" si="92"/>
        <v>472.37891533957929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34.921221216657202</v>
      </c>
      <c r="BQ132" s="21">
        <f>EXP(-LN(2)/25)*BQ131+(1-EXP(-LN(2)/25))/(LN(2)/25)*Calculateur!BL132*Calculateur!BN132*VLOOKUP('Données projet'!$B$11,Paramètres!$A$1:$I$89,3,0)*0.475*44/12</f>
        <v>4.556951877896962</v>
      </c>
      <c r="BR132" s="21">
        <f>EXP(-LN(2)/2)*BR131+(1-EXP(-LN(2)/2))/(LN(2)/2)*BL132*BO132*VLOOKUP('Données projet'!$B$11,Paramètres!$A$1:$I$89,3,0)*0.475*44/12</f>
        <v>1.7170489079737959E-9</v>
      </c>
      <c r="BS132" s="22">
        <f t="shared" ref="BS132:BS153" si="117">SUM(BP132:BR132)</f>
        <v>39.478173096271213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1.1368683772161603E-13</v>
      </c>
      <c r="BZ132" s="13">
        <f>BY132*VLOOKUP('Données projet'!$B$12,Paramètres!$A$1:$I$89,3,0)*VLOOKUP('Données projet'!$B$12,Paramètres!$A$1:$I$89,5,0)</f>
        <v>6.6506800067145386E-14</v>
      </c>
      <c r="CA132" s="13">
        <f t="shared" si="93"/>
        <v>1.0476989505385114E-12</v>
      </c>
      <c r="CB132" s="20">
        <f t="shared" ref="CB132:CB153" si="118">(BZ132+CA132)*0.475*44/12</f>
        <v>1.9405750156381857E-12</v>
      </c>
      <c r="CC132" s="59">
        <f t="shared" ref="CC132:CC195" si="119">CB132+(BT132+BU132)*44/12</f>
        <v>283.74392866106729</v>
      </c>
      <c r="CD132" s="59">
        <f ca="1">AVERAGE(OFFSET($CC$3,0,0,'Données projet'!$E$12+1,1))-AVERAGE(OFFSET($H$3,0,0,'Données projet'!$E$12+1,1))</f>
        <v>184.11352167663844</v>
      </c>
      <c r="CE132" s="59">
        <f t="shared" si="94"/>
        <v>145.86653500981791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25.386493944301197</v>
      </c>
      <c r="CL132" s="21">
        <f>EXP(-LN(2)/25)*CL131+(1-EXP(-LN(2)/25))/(LN(2)/25)*Calculateur!CG132*Calculateur!CI132*VLOOKUP('Données projet'!$B$12,Paramètres!$A$1:$I$89,3,0)*0.475*44/12</f>
        <v>7.2302435895366308</v>
      </c>
      <c r="CM132" s="21">
        <f>EXP(-LN(2)/2)*CM131+(1-EXP(-LN(2)/2))/(LN(2)/2)*CG132*CJ132*VLOOKUP('Données projet'!$B$12,Paramètres!$A$1:$I$89,3,0)*0.475*44/12</f>
        <v>2.5477328558342253E-5</v>
      </c>
      <c r="CN132" s="22">
        <f t="shared" ref="CN132:CN153" si="120">SUM(CK132:CM132)</f>
        <v>32.616763011166384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4.2599999999999971</v>
      </c>
      <c r="CT132" s="12">
        <f>IF('Données projet'!$A$140&gt;35,CT131+CS132-DB131,IF(A132&lt;'Données projet'!$A$140,$CQ$205^A132,IF(A132='Données projet'!$A$140,'Données projet'!$B$140,CT131+CS132-DB131)))</f>
        <v>339.56999999999977</v>
      </c>
      <c r="CU132" s="17">
        <f>CT132*VLOOKUP('Données projet'!$B$13,Paramètres!$A$1:$I$89,3,0)*VLOOKUP('Données projet'!$B$13,Paramètres!$A$1:$I$89,5,0)</f>
        <v>163.33316999999991</v>
      </c>
      <c r="CV132" s="13">
        <f t="shared" si="95"/>
        <v>41.593416673894545</v>
      </c>
      <c r="CW132" s="20">
        <f t="shared" ref="CW132:CW153" si="121">(CU132+CV132)*0.475*44/12</f>
        <v>356.91380512369943</v>
      </c>
      <c r="CX132" s="59">
        <f t="shared" ref="CX132:CX195" si="122">CW132+(CO132+CP132)*44/12</f>
        <v>640.65773378476479</v>
      </c>
      <c r="CY132" s="59">
        <f ca="1">AVERAGE(OFFSET($CX$3,0,0,'Données projet'!$E$13+1,1))-AVERAGE(OFFSET($H$3,0,0,'Données projet'!$E$13+1,1))</f>
        <v>303.76035885073708</v>
      </c>
      <c r="CZ132" s="59">
        <f t="shared" si="96"/>
        <v>127.43112562890414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14.323208939728801</v>
      </c>
      <c r="DG132" s="21">
        <f>EXP(-LN(2)/25)*DG131+(1-EXP(-LN(2)/25))/(LN(2)/25)*Calculateur!DB132*Calculateur!DD132*VLOOKUP('Données projet'!$B$13,Paramètres!$A$1:$I$89,3,0)*0.475*44/12</f>
        <v>16.672915767831029</v>
      </c>
      <c r="DH132" s="21">
        <f>EXP(-LN(2)/2)*DH131+(1-EXP(-LN(2)/2))/(LN(2)/2)*DB132*DE132*VLOOKUP('Données projet'!$B$13,Paramètres!$A$1:$I$89,3,0)*0.475*44/12</f>
        <v>7.2101758745186761E-2</v>
      </c>
      <c r="DI132" s="22">
        <f t="shared" ref="DI132:DI153" si="123">SUM(DF132:DH132)</f>
        <v>31.068226466305017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5.6843418860808015E-14</v>
      </c>
      <c r="DP132" s="17">
        <f>DO132*VLOOKUP('Données projet'!$B$14,Paramètres!$A$1:$I$89,3,0)*VLOOKUP('Données projet'!$B$14,Paramètres!$A$1:$I$89,5,0)</f>
        <v>3.2810021366458389E-14</v>
      </c>
      <c r="DQ132" s="13">
        <f t="shared" si="97"/>
        <v>5.6117125884464641E-13</v>
      </c>
      <c r="DR132" s="20">
        <f t="shared" ref="DR132:DR153" si="124">(DP132+DQ132)*0.475*44/12</f>
        <v>1.0345173963676741E-12</v>
      </c>
      <c r="DS132" s="59">
        <f t="shared" ref="DS132:DS195" si="125">DR132+(DJ132+DK132)*44/12</f>
        <v>283.74392866106638</v>
      </c>
      <c r="DT132" s="59">
        <f ca="1">AVERAGE(OFFSET($DS$3,0,0,'Données projet'!$E$14+1,1))-AVERAGE(OFFSET($H$3,0,0,'Données projet'!$E$14+1,1))</f>
        <v>243.65374431792841</v>
      </c>
      <c r="DU132" s="59">
        <f t="shared" si="98"/>
        <v>271.60754570002939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15.180844867474271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15.180844867474271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-4.5474735088646412E-13</v>
      </c>
      <c r="EK132" s="17">
        <f>EJ132*VLOOKUP('Données projet'!$B$15,Paramètres!$A$1:$I$89,3,0)*VLOOKUP('Données projet'!$B$15,Paramètres!$A$1:$I$89,5,0)</f>
        <v>-3.0504452297464016E-13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321.44781099085594</v>
      </c>
      <c r="EP132" s="59">
        <f t="shared" si="100"/>
        <v>201.22243186578183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95.106601208435507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95.106601208435507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2.8421709430404007E-14</v>
      </c>
      <c r="FF132" s="17">
        <f>FE132*VLOOKUP('Données projet'!$B$16,Paramètres!$A$1:$I$89,3,0)*VLOOKUP('Données projet'!$B$16,Paramètres!$A$1:$I$89,5,0)</f>
        <v>2.4829205358400945E-14</v>
      </c>
      <c r="FG132" s="13">
        <f t="shared" si="101"/>
        <v>4.3867331143352915E-13</v>
      </c>
      <c r="FH132" s="20">
        <f t="shared" ref="FH132:FH153" si="130">(FF132+FG132)*0.475*44/12</f>
        <v>8.0726688341261168E-13</v>
      </c>
      <c r="FI132" s="59">
        <f t="shared" ref="FI132:FI195" si="131">FH132+(EZ132+FA132)*44/12</f>
        <v>283.74392866106615</v>
      </c>
      <c r="FJ132" s="59">
        <f ca="1">AVERAGE(OFFSET($FI$3,0,0,'Données projet'!$E$16+1,1))-AVERAGE(OFFSET($H$3,0,0,'Données projet'!$E$16+1,1))</f>
        <v>285.8437404763045</v>
      </c>
      <c r="FK132" s="59">
        <f t="shared" si="102"/>
        <v>276.01618888357268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30.070179579646542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30.070179579646542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-1.7053025658242404E-13</v>
      </c>
      <c r="GA132" s="17">
        <f>FZ132*VLOOKUP('Données projet'!$B$17,Paramètres!$A$1:$I$89,3,0)*VLOOKUP('Données projet'!$B$17,Paramètres!$A$1:$I$89,5,0)</f>
        <v>-1.3567387213697657E-13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323.01113210765487</v>
      </c>
      <c r="GF132" s="59">
        <f t="shared" si="104"/>
        <v>311.68541696405975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34.519178795737822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34.519178795737822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2.8421709430404007E-14</v>
      </c>
      <c r="GV132" s="17">
        <f>GU132*VLOOKUP('Données projet'!$B$18,Paramètres!$A$1:$I$89,3,0)*VLOOKUP('Données projet'!$B$18,Paramètres!$A$1:$I$89,5,0)</f>
        <v>2.4829205358400945E-14</v>
      </c>
      <c r="GW132" s="13">
        <f t="shared" si="105"/>
        <v>4.3867331143352915E-13</v>
      </c>
      <c r="GX132" s="20">
        <f t="shared" ref="GX132:GX153" si="136">(GV132+GW132)*0.475*44/12</f>
        <v>8.0726688341261168E-13</v>
      </c>
      <c r="GY132" s="59">
        <f t="shared" ref="GY132:GY195" si="137">GX132+(GP132+GQ132)*44/12</f>
        <v>283.74392866106615</v>
      </c>
      <c r="GZ132" s="59">
        <f ca="1">AVERAGE(OFFSET($GY$3,0,0,'Données projet'!$E$18+1,1))-AVERAGE(OFFSET($H$3,0,0,'Données projet'!$E$18+1,1))</f>
        <v>285.8437404763045</v>
      </c>
      <c r="HA132" s="59">
        <f t="shared" si="106"/>
        <v>276.01618888357268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30.070179579646542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30.070179579646542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-1.0286385077051818E-13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315.34103933739129</v>
      </c>
      <c r="T133" s="59">
        <f t="shared" ref="T133:T196" si="142">$T$3</f>
        <v>165.80901858372513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83.106958552595813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83.106958552595813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-3.4106051316484809E-13</v>
      </c>
      <c r="AJ133" s="13">
        <f>AI133*VLOOKUP('Données projet'!$B$10,Paramètres!$A$1:$I$89,3,0)*VLOOKUP('Données projet'!$B$10,Paramètres!$A$1:$I$89,5,0)</f>
        <v>-2.0395418687257919E-13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317.328615425664</v>
      </c>
      <c r="AO133" s="59">
        <f t="shared" ref="AO133:AO196" si="144">$AO$3</f>
        <v>324.95872842255744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43.883038753734802</v>
      </c>
      <c r="AV133" s="21">
        <f>EXP(-LN(2)/25)*AV132+(1-EXP(-LN(2)/25))/(LN(2)/25)*Calculateur!AQ133*Calculateur!AS133*VLOOKUP('Données projet'!$B$10,Paramètres!$A$1:$I$89,3,0)*0.475*44/12</f>
        <v>4.858874836183892</v>
      </c>
      <c r="AW133" s="21">
        <f>EXP(-LN(2)/2)*AW132+(1-EXP(-LN(2)/2))/(LN(2)/2)*AQ133*AT133*VLOOKUP('Données projet'!$B$10,Paramètres!$A$1:$I$89,3,0)*0.475*44/12</f>
        <v>7.8281343574909653E-10</v>
      </c>
      <c r="AX133" s="21">
        <f t="shared" si="114"/>
        <v>48.741913590701508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-6.5483618527650828E-14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418.31716673276725</v>
      </c>
      <c r="BJ133" s="59">
        <f t="shared" ref="BJ133:BJ196" si="146">$BJ$3</f>
        <v>472.37891533957929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34.236437368440313</v>
      </c>
      <c r="BQ133" s="21">
        <f>EXP(-LN(2)/25)*BQ132+(1-EXP(-LN(2)/25))/(LN(2)/25)*Calculateur!BL133*Calculateur!BN133*VLOOKUP('Données projet'!$B$11,Paramètres!$A$1:$I$89,3,0)*0.475*44/12</f>
        <v>4.4323417891561849</v>
      </c>
      <c r="BR133" s="21">
        <f>EXP(-LN(2)/2)*BR132+(1-EXP(-LN(2)/2))/(LN(2)/2)*BL133*BO133*VLOOKUP('Données projet'!$B$11,Paramètres!$A$1:$I$89,3,0)*0.475*44/12</f>
        <v>1.2141369264572273E-9</v>
      </c>
      <c r="BS133" s="22">
        <f t="shared" si="117"/>
        <v>38.668779158810636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1.1368683772161603E-13</v>
      </c>
      <c r="BZ133" s="13">
        <f>BY133*VLOOKUP('Données projet'!$B$12,Paramètres!$A$1:$I$89,3,0)*VLOOKUP('Données projet'!$B$12,Paramètres!$A$1:$I$89,5,0)</f>
        <v>6.6506800067145386E-14</v>
      </c>
      <c r="CA133" s="13">
        <f t="shared" ref="CA133:CA153" si="147">EXP(-1.0587+0.8836*LN(BZ133)+0.284)</f>
        <v>1.0476989505385114E-12</v>
      </c>
      <c r="CB133" s="20">
        <f t="shared" si="118"/>
        <v>1.9405750156381857E-12</v>
      </c>
      <c r="CC133" s="59">
        <f t="shared" si="119"/>
        <v>283.91028339343404</v>
      </c>
      <c r="CD133" s="59">
        <f ca="1">AVERAGE(OFFSET($CC$3,0,0,'Données projet'!$E$12+1,1))-AVERAGE(OFFSET($H$3,0,0,'Données projet'!$E$12+1,1))</f>
        <v>184.11352167663844</v>
      </c>
      <c r="CE133" s="59">
        <f t="shared" ref="CE133:CE196" si="148">$CE$3</f>
        <v>145.86653500981791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24.888680282285815</v>
      </c>
      <c r="CL133" s="21">
        <f>EXP(-LN(2)/25)*CL132+(1-EXP(-LN(2)/25))/(LN(2)/25)*Calculateur!CG133*Calculateur!CI133*VLOOKUP('Données projet'!$B$12,Paramètres!$A$1:$I$89,3,0)*0.475*44/12</f>
        <v>7.0325321983587665</v>
      </c>
      <c r="CM133" s="21">
        <f>EXP(-LN(2)/2)*CM132+(1-EXP(-LN(2)/2))/(LN(2)/2)*CG133*CJ133*VLOOKUP('Données projet'!$B$12,Paramètres!$A$1:$I$89,3,0)*0.475*44/12</f>
        <v>1.8015191790121493E-5</v>
      </c>
      <c r="CN133" s="22">
        <f t="shared" si="120"/>
        <v>31.921230495836372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4.2599999999999971</v>
      </c>
      <c r="CT133" s="12">
        <f>IF('Données projet'!$A$140&gt;35,CT132+CS133-DB132,IF(A133&lt;'Données projet'!$A$140,$CQ$205^A133,IF(A133='Données projet'!$A$140,'Données projet'!$B$140,CT132+CS133-DB132)))</f>
        <v>343.82999999999976</v>
      </c>
      <c r="CU133" s="17">
        <f>CT133*VLOOKUP('Données projet'!$B$13,Paramètres!$A$1:$I$89,3,0)*VLOOKUP('Données projet'!$B$13,Paramètres!$A$1:$I$89,5,0)</f>
        <v>165.38222999999988</v>
      </c>
      <c r="CV133" s="13">
        <f t="shared" ref="CV133:CV153" si="149">EXP(-1.0587+0.8836*LN(CU133)+0.284)</f>
        <v>42.05414493276411</v>
      </c>
      <c r="CW133" s="20">
        <f t="shared" si="121"/>
        <v>361.2850196745639</v>
      </c>
      <c r="CX133" s="59">
        <f t="shared" si="122"/>
        <v>645.19530306799606</v>
      </c>
      <c r="CY133" s="59">
        <f ca="1">AVERAGE(OFFSET($CX$3,0,0,'Données projet'!$E$13+1,1))-AVERAGE(OFFSET($H$3,0,0,'Données projet'!$E$13+1,1))</f>
        <v>303.76035885073708</v>
      </c>
      <c r="CZ133" s="59">
        <f t="shared" ref="CZ133:CZ196" si="150">$CZ$3</f>
        <v>127.43112562890414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14.042339548715535</v>
      </c>
      <c r="DG133" s="21">
        <f>EXP(-LN(2)/25)*DG132+(1-EXP(-LN(2)/25))/(LN(2)/25)*Calculateur!DB133*Calculateur!DD133*VLOOKUP('Données projet'!$B$13,Paramètres!$A$1:$I$89,3,0)*0.475*44/12</f>
        <v>16.216994009369156</v>
      </c>
      <c r="DH133" s="21">
        <f>EXP(-LN(2)/2)*DH132+(1-EXP(-LN(2)/2))/(LN(2)/2)*DB133*DE133*VLOOKUP('Données projet'!$B$13,Paramètres!$A$1:$I$89,3,0)*0.475*44/12</f>
        <v>5.0983642544198016E-2</v>
      </c>
      <c r="DI133" s="22">
        <f t="shared" si="123"/>
        <v>30.310317200628891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5.6843418860808015E-14</v>
      </c>
      <c r="DP133" s="17">
        <f>DO133*VLOOKUP('Données projet'!$B$14,Paramètres!$A$1:$I$89,3,0)*VLOOKUP('Données projet'!$B$14,Paramètres!$A$1:$I$89,5,0)</f>
        <v>3.2810021366458389E-14</v>
      </c>
      <c r="DQ133" s="13">
        <f t="shared" ref="DQ133:DQ153" si="151">EXP(-1.0587+0.8836*LN(DP133)+0.284)</f>
        <v>5.6117125884464641E-13</v>
      </c>
      <c r="DR133" s="20">
        <f t="shared" si="124"/>
        <v>1.0345173963676741E-12</v>
      </c>
      <c r="DS133" s="59">
        <f t="shared" si="125"/>
        <v>283.91028339343313</v>
      </c>
      <c r="DT133" s="59">
        <f ca="1">AVERAGE(OFFSET($DS$3,0,0,'Données projet'!$E$14+1,1))-AVERAGE(OFFSET($H$3,0,0,'Données projet'!$E$14+1,1))</f>
        <v>243.65374431792841</v>
      </c>
      <c r="DU133" s="59">
        <f t="shared" ref="DU133:DU196" si="152">$DU$3</f>
        <v>271.60754570002939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14.883157759024179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14.883157759024179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-4.5474735088646412E-13</v>
      </c>
      <c r="EK133" s="17">
        <f>EJ133*VLOOKUP('Données projet'!$B$15,Paramètres!$A$1:$I$89,3,0)*VLOOKUP('Données projet'!$B$15,Paramètres!$A$1:$I$89,5,0)</f>
        <v>-3.0504452297464016E-13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321.44781099085594</v>
      </c>
      <c r="EP133" s="59">
        <f t="shared" ref="EP133:EP196" si="154">$EP$3</f>
        <v>201.22243186578183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93.241618768036886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93.241618768036886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2.8421709430404007E-14</v>
      </c>
      <c r="FF133" s="17">
        <f>FE133*VLOOKUP('Données projet'!$B$16,Paramètres!$A$1:$I$89,3,0)*VLOOKUP('Données projet'!$B$16,Paramètres!$A$1:$I$89,5,0)</f>
        <v>2.4829205358400945E-14</v>
      </c>
      <c r="FG133" s="13">
        <f t="shared" ref="FG133:FG153" si="155">EXP(-1.0587+0.8836*LN(FF133)+0.284)</f>
        <v>4.3867331143352915E-13</v>
      </c>
      <c r="FH133" s="20">
        <f t="shared" si="130"/>
        <v>8.0726688341261168E-13</v>
      </c>
      <c r="FI133" s="59">
        <f t="shared" si="131"/>
        <v>283.91028339343291</v>
      </c>
      <c r="FJ133" s="59">
        <f ca="1">AVERAGE(OFFSET($FI$3,0,0,'Données projet'!$E$16+1,1))-AVERAGE(OFFSET($H$3,0,0,'Données projet'!$E$16+1,1))</f>
        <v>285.8437404763045</v>
      </c>
      <c r="FK133" s="59">
        <f t="shared" ref="FK133:FK196" si="156">$FK$3</f>
        <v>276.01618888357268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29.480521699088193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29.480521699088193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-1.7053025658242404E-13</v>
      </c>
      <c r="GA133" s="17">
        <f>FZ133*VLOOKUP('Données projet'!$B$17,Paramètres!$A$1:$I$89,3,0)*VLOOKUP('Données projet'!$B$17,Paramètres!$A$1:$I$89,5,0)</f>
        <v>-1.3567387213697657E-13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323.01113210765487</v>
      </c>
      <c r="GF133" s="59">
        <f t="shared" ref="GF133:GF196" si="158">$GF$3</f>
        <v>311.68541696405975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33.842278754173499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33.842278754173499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2.8421709430404007E-14</v>
      </c>
      <c r="GV133" s="17">
        <f>GU133*VLOOKUP('Données projet'!$B$18,Paramètres!$A$1:$I$89,3,0)*VLOOKUP('Données projet'!$B$18,Paramètres!$A$1:$I$89,5,0)</f>
        <v>2.4829205358400945E-14</v>
      </c>
      <c r="GW133" s="13">
        <f t="shared" ref="GW133:GW153" si="159">EXP(-1.0587+0.8836*LN(GV133)+0.284)</f>
        <v>4.3867331143352915E-13</v>
      </c>
      <c r="GX133" s="20">
        <f t="shared" si="136"/>
        <v>8.0726688341261168E-13</v>
      </c>
      <c r="GY133" s="59">
        <f t="shared" si="137"/>
        <v>283.91028339343291</v>
      </c>
      <c r="GZ133" s="59">
        <f ca="1">AVERAGE(OFFSET($GY$3,0,0,'Données projet'!$E$18+1,1))-AVERAGE(OFFSET($H$3,0,0,'Données projet'!$E$18+1,1))</f>
        <v>285.8437404763045</v>
      </c>
      <c r="HA133" s="59">
        <f t="shared" ref="HA133:HA196" si="160">$HA$3</f>
        <v>276.01618888357268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29.480521699088193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29.480521699088193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-1.0286385077051818E-13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315.34103933739129</v>
      </c>
      <c r="T134" s="59">
        <f t="shared" si="142"/>
        <v>165.80901858372513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81.477281785618885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81.477281785618885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-3.4106051316484809E-13</v>
      </c>
      <c r="AJ134" s="13">
        <f>AI134*VLOOKUP('Données projet'!$B$10,Paramètres!$A$1:$I$89,3,0)*VLOOKUP('Données projet'!$B$10,Paramètres!$A$1:$I$89,5,0)</f>
        <v>-2.0395418687257919E-13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317.328615425664</v>
      </c>
      <c r="AO134" s="59">
        <f t="shared" si="144"/>
        <v>324.95872842255744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43.022519129784776</v>
      </c>
      <c r="AV134" s="21">
        <f>EXP(-LN(2)/25)*AV133+(1-EXP(-LN(2)/25))/(LN(2)/25)*Calculateur!AQ134*Calculateur!AS134*VLOOKUP('Données projet'!$B$10,Paramètres!$A$1:$I$89,3,0)*0.475*44/12</f>
        <v>4.7260086482713213</v>
      </c>
      <c r="AW134" s="21">
        <f>EXP(-LN(2)/2)*AW133+(1-EXP(-LN(2)/2))/(LN(2)/2)*AQ134*AT134*VLOOKUP('Données projet'!$B$10,Paramètres!$A$1:$I$89,3,0)*0.475*44/12</f>
        <v>5.5353268882212587E-10</v>
      </c>
      <c r="AX134" s="21">
        <f t="shared" si="114"/>
        <v>47.748527778609635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-6.5483618527650828E-14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418.31716673276725</v>
      </c>
      <c r="BJ134" s="59">
        <f t="shared" si="146"/>
        <v>472.37891533957929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33.565081713810052</v>
      </c>
      <c r="BQ134" s="21">
        <f>EXP(-LN(2)/25)*BQ133+(1-EXP(-LN(2)/25))/(LN(2)/25)*Calculateur!BL134*Calculateur!BN134*VLOOKUP('Données projet'!$B$11,Paramètres!$A$1:$I$89,3,0)*0.475*44/12</f>
        <v>4.311139169844985</v>
      </c>
      <c r="BR134" s="21">
        <f>EXP(-LN(2)/2)*BR133+(1-EXP(-LN(2)/2))/(LN(2)/2)*BL134*BO134*VLOOKUP('Données projet'!$B$11,Paramètres!$A$1:$I$89,3,0)*0.475*44/12</f>
        <v>8.5852445398689797E-10</v>
      </c>
      <c r="BS134" s="22">
        <f t="shared" si="117"/>
        <v>37.876220884513565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1.1368683772161603E-13</v>
      </c>
      <c r="BZ134" s="13">
        <f>BY134*VLOOKUP('Données projet'!$B$12,Paramètres!$A$1:$I$89,3,0)*VLOOKUP('Données projet'!$B$12,Paramètres!$A$1:$I$89,5,0)</f>
        <v>6.6506800067145386E-14</v>
      </c>
      <c r="CA134" s="13">
        <f t="shared" si="147"/>
        <v>1.0476989505385114E-12</v>
      </c>
      <c r="CB134" s="20">
        <f t="shared" si="118"/>
        <v>1.9405750156381857E-12</v>
      </c>
      <c r="CC134" s="59">
        <f t="shared" si="119"/>
        <v>284.07375224310766</v>
      </c>
      <c r="CD134" s="59">
        <f ca="1">AVERAGE(OFFSET($CC$3,0,0,'Données projet'!$E$12+1,1))-AVERAGE(OFFSET($H$3,0,0,'Données projet'!$E$12+1,1))</f>
        <v>184.11352167663844</v>
      </c>
      <c r="CE134" s="59">
        <f t="shared" si="148"/>
        <v>145.86653500981791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24.400628442546203</v>
      </c>
      <c r="CL134" s="21">
        <f>EXP(-LN(2)/25)*CL133+(1-EXP(-LN(2)/25))/(LN(2)/25)*Calculateur!CG134*Calculateur!CI134*VLOOKUP('Données projet'!$B$12,Paramètres!$A$1:$I$89,3,0)*0.475*44/12</f>
        <v>6.8402272355698512</v>
      </c>
      <c r="CM134" s="21">
        <f>EXP(-LN(2)/2)*CM133+(1-EXP(-LN(2)/2))/(LN(2)/2)*CG134*CJ134*VLOOKUP('Données projet'!$B$12,Paramètres!$A$1:$I$89,3,0)*0.475*44/12</f>
        <v>1.2738664279171126E-5</v>
      </c>
      <c r="CN134" s="22">
        <f t="shared" si="120"/>
        <v>31.240868416780334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4.2599999999999971</v>
      </c>
      <c r="CT134" s="12">
        <f>IF('Données projet'!$A$140&gt;35,CT133+CS134-DB133,IF(A134&lt;'Données projet'!$A$140,$CQ$205^A134,IF(A134='Données projet'!$A$140,'Données projet'!$B$140,CT133+CS134-DB133)))</f>
        <v>348.08999999999975</v>
      </c>
      <c r="CU134" s="17">
        <f>CT134*VLOOKUP('Données projet'!$B$13,Paramètres!$A$1:$I$89,3,0)*VLOOKUP('Données projet'!$B$13,Paramètres!$A$1:$I$89,5,0)</f>
        <v>167.43128999999988</v>
      </c>
      <c r="CV134" s="13">
        <f t="shared" si="149"/>
        <v>42.514209200491784</v>
      </c>
      <c r="CW134" s="20">
        <f t="shared" si="121"/>
        <v>365.65507777418969</v>
      </c>
      <c r="CX134" s="59">
        <f t="shared" si="122"/>
        <v>649.72883001729542</v>
      </c>
      <c r="CY134" s="59">
        <f ca="1">AVERAGE(OFFSET($CX$3,0,0,'Données projet'!$E$13+1,1))-AVERAGE(OFFSET($H$3,0,0,'Données projet'!$E$13+1,1))</f>
        <v>303.76035885073708</v>
      </c>
      <c r="CZ134" s="59">
        <f t="shared" si="150"/>
        <v>127.43112562890414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13.766977835146626</v>
      </c>
      <c r="DG134" s="21">
        <f>EXP(-LN(2)/25)*DG133+(1-EXP(-LN(2)/25))/(LN(2)/25)*Calculateur!DB134*Calculateur!DD134*VLOOKUP('Données projet'!$B$13,Paramètres!$A$1:$I$89,3,0)*0.475*44/12</f>
        <v>15.773539455368306</v>
      </c>
      <c r="DH134" s="21">
        <f>EXP(-LN(2)/2)*DH133+(1-EXP(-LN(2)/2))/(LN(2)/2)*DB134*DE134*VLOOKUP('Données projet'!$B$13,Paramètres!$A$1:$I$89,3,0)*0.475*44/12</f>
        <v>3.6050879372593381E-2</v>
      </c>
      <c r="DI134" s="22">
        <f t="shared" si="123"/>
        <v>29.576568169887526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5.6843418860808015E-14</v>
      </c>
      <c r="DP134" s="17">
        <f>DO134*VLOOKUP('Données projet'!$B$14,Paramètres!$A$1:$I$89,3,0)*VLOOKUP('Données projet'!$B$14,Paramètres!$A$1:$I$89,5,0)</f>
        <v>3.2810021366458389E-14</v>
      </c>
      <c r="DQ134" s="13">
        <f t="shared" si="151"/>
        <v>5.6117125884464641E-13</v>
      </c>
      <c r="DR134" s="20">
        <f t="shared" si="124"/>
        <v>1.0345173963676741E-12</v>
      </c>
      <c r="DS134" s="59">
        <f t="shared" si="125"/>
        <v>284.07375224310675</v>
      </c>
      <c r="DT134" s="59">
        <f ca="1">AVERAGE(OFFSET($DS$3,0,0,'Données projet'!$E$14+1,1))-AVERAGE(OFFSET($H$3,0,0,'Données projet'!$E$14+1,1))</f>
        <v>243.65374431792841</v>
      </c>
      <c r="DU134" s="59">
        <f t="shared" si="152"/>
        <v>271.60754570002939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14.591308113199586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14.591308113199586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-4.5474735088646412E-13</v>
      </c>
      <c r="EK134" s="17">
        <f>EJ134*VLOOKUP('Données projet'!$B$15,Paramètres!$A$1:$I$89,3,0)*VLOOKUP('Données projet'!$B$15,Paramètres!$A$1:$I$89,5,0)</f>
        <v>-3.0504452297464016E-13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321.44781099085594</v>
      </c>
      <c r="EP134" s="59">
        <f t="shared" si="154"/>
        <v>201.22243186578183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91.413207495767509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91.413207495767509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2.8421709430404007E-14</v>
      </c>
      <c r="FF134" s="17">
        <f>FE134*VLOOKUP('Données projet'!$B$16,Paramètres!$A$1:$I$89,3,0)*VLOOKUP('Données projet'!$B$16,Paramètres!$A$1:$I$89,5,0)</f>
        <v>2.4829205358400945E-14</v>
      </c>
      <c r="FG134" s="13">
        <f t="shared" si="155"/>
        <v>4.3867331143352915E-13</v>
      </c>
      <c r="FH134" s="20">
        <f t="shared" si="130"/>
        <v>8.0726688341261168E-13</v>
      </c>
      <c r="FI134" s="59">
        <f t="shared" si="131"/>
        <v>284.07375224310653</v>
      </c>
      <c r="FJ134" s="59">
        <f ca="1">AVERAGE(OFFSET($FI$3,0,0,'Données projet'!$E$16+1,1))-AVERAGE(OFFSET($H$3,0,0,'Données projet'!$E$16+1,1))</f>
        <v>285.8437404763045</v>
      </c>
      <c r="FK134" s="59">
        <f t="shared" si="156"/>
        <v>276.01618888357268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28.902426649911799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28.902426649911799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-1.7053025658242404E-13</v>
      </c>
      <c r="GA134" s="17">
        <f>FZ134*VLOOKUP('Données projet'!$B$17,Paramètres!$A$1:$I$89,3,0)*VLOOKUP('Données projet'!$B$17,Paramètres!$A$1:$I$89,5,0)</f>
        <v>-1.3567387213697657E-13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323.01113210765487</v>
      </c>
      <c r="GF134" s="59">
        <f t="shared" si="158"/>
        <v>311.68541696405975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33.178652309555993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33.178652309555993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2.8421709430404007E-14</v>
      </c>
      <c r="GV134" s="17">
        <f>GU134*VLOOKUP('Données projet'!$B$18,Paramètres!$A$1:$I$89,3,0)*VLOOKUP('Données projet'!$B$18,Paramètres!$A$1:$I$89,5,0)</f>
        <v>2.4829205358400945E-14</v>
      </c>
      <c r="GW134" s="13">
        <f t="shared" si="159"/>
        <v>4.3867331143352915E-13</v>
      </c>
      <c r="GX134" s="20">
        <f t="shared" si="136"/>
        <v>8.0726688341261168E-13</v>
      </c>
      <c r="GY134" s="59">
        <f t="shared" si="137"/>
        <v>284.07375224310653</v>
      </c>
      <c r="GZ134" s="59">
        <f ca="1">AVERAGE(OFFSET($GY$3,0,0,'Données projet'!$E$18+1,1))-AVERAGE(OFFSET($H$3,0,0,'Données projet'!$E$18+1,1))</f>
        <v>285.8437404763045</v>
      </c>
      <c r="HA134" s="59">
        <f t="shared" si="160"/>
        <v>276.01618888357268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28.902426649911799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28.902426649911799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-1.0286385077051818E-13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315.34103933739129</v>
      </c>
      <c r="T135" s="59">
        <f t="shared" si="142"/>
        <v>165.80901858372513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79.879561986037686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79.879561986037686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-3.4106051316484809E-13</v>
      </c>
      <c r="AJ135" s="13">
        <f>AI135*VLOOKUP('Données projet'!$B$10,Paramètres!$A$1:$I$89,3,0)*VLOOKUP('Données projet'!$B$10,Paramètres!$A$1:$I$89,5,0)</f>
        <v>-2.0395418687257919E-13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317.328615425664</v>
      </c>
      <c r="AO135" s="59">
        <f t="shared" si="144"/>
        <v>324.95872842255744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42.178873770795271</v>
      </c>
      <c r="AV135" s="21">
        <f>EXP(-LN(2)/25)*AV134+(1-EXP(-LN(2)/25))/(LN(2)/25)*Calculateur!AQ135*Calculateur!AS135*VLOOKUP('Données projet'!$B$10,Paramètres!$A$1:$I$89,3,0)*0.475*44/12</f>
        <v>4.5967756932543482</v>
      </c>
      <c r="AW135" s="21">
        <f>EXP(-LN(2)/2)*AW134+(1-EXP(-LN(2)/2))/(LN(2)/2)*AQ135*AT135*VLOOKUP('Données projet'!$B$10,Paramètres!$A$1:$I$89,3,0)*0.475*44/12</f>
        <v>3.9140671787454826E-10</v>
      </c>
      <c r="AX135" s="21">
        <f t="shared" si="114"/>
        <v>46.775649464441031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-6.5483618527650828E-14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418.31716673276725</v>
      </c>
      <c r="BJ135" s="59">
        <f t="shared" si="146"/>
        <v>472.37891533957929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32.906890934080572</v>
      </c>
      <c r="BQ135" s="21">
        <f>EXP(-LN(2)/25)*BQ134+(1-EXP(-LN(2)/25))/(LN(2)/25)*Calculateur!BL135*Calculateur!BN135*VLOOKUP('Données projet'!$B$11,Paramètres!$A$1:$I$89,3,0)*0.475*44/12</f>
        <v>4.1932508425326178</v>
      </c>
      <c r="BR135" s="21">
        <f>EXP(-LN(2)/2)*BR134+(1-EXP(-LN(2)/2))/(LN(2)/2)*BL135*BO135*VLOOKUP('Données projet'!$B$11,Paramètres!$A$1:$I$89,3,0)*0.475*44/12</f>
        <v>6.0706846322861365E-10</v>
      </c>
      <c r="BS135" s="22">
        <f t="shared" si="117"/>
        <v>37.100141777220259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1.1368683772161603E-13</v>
      </c>
      <c r="BZ135" s="13">
        <f>BY135*VLOOKUP('Données projet'!$B$12,Paramètres!$A$1:$I$89,3,0)*VLOOKUP('Données projet'!$B$12,Paramètres!$A$1:$I$89,5,0)</f>
        <v>6.6506800067145386E-14</v>
      </c>
      <c r="CA135" s="13">
        <f t="shared" si="147"/>
        <v>1.0476989505385114E-12</v>
      </c>
      <c r="CB135" s="20">
        <f t="shared" si="118"/>
        <v>1.9405750156381857E-12</v>
      </c>
      <c r="CC135" s="59">
        <f t="shared" si="119"/>
        <v>284.23438527370109</v>
      </c>
      <c r="CD135" s="59">
        <f ca="1">AVERAGE(OFFSET($CC$3,0,0,'Données projet'!$E$12+1,1))-AVERAGE(OFFSET($H$3,0,0,'Données projet'!$E$12+1,1))</f>
        <v>184.11352167663844</v>
      </c>
      <c r="CE135" s="59">
        <f t="shared" si="148"/>
        <v>145.86653500981791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23.922147001701656</v>
      </c>
      <c r="CL135" s="21">
        <f>EXP(-LN(2)/25)*CL134+(1-EXP(-LN(2)/25))/(LN(2)/25)*Calculateur!CG135*Calculateur!CI135*VLOOKUP('Données projet'!$B$12,Paramètres!$A$1:$I$89,3,0)*0.475*44/12</f>
        <v>6.6531808621012765</v>
      </c>
      <c r="CM135" s="21">
        <f>EXP(-LN(2)/2)*CM134+(1-EXP(-LN(2)/2))/(LN(2)/2)*CG135*CJ135*VLOOKUP('Données projet'!$B$12,Paramètres!$A$1:$I$89,3,0)*0.475*44/12</f>
        <v>9.0075958950607467E-6</v>
      </c>
      <c r="CN135" s="22">
        <f t="shared" si="120"/>
        <v>30.575336871398829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4.2599999999999971</v>
      </c>
      <c r="CT135" s="12">
        <f>IF('Données projet'!$A$140&gt;35,CT134+CS135-DB134,IF(A135&lt;'Données projet'!$A$140,$CQ$205^A135,IF(A135='Données projet'!$A$140,'Données projet'!$B$140,CT134+CS135-DB134)))</f>
        <v>352.34999999999974</v>
      </c>
      <c r="CU135" s="17">
        <f>CT135*VLOOKUP('Données projet'!$B$13,Paramètres!$A$1:$I$89,3,0)*VLOOKUP('Données projet'!$B$13,Paramètres!$A$1:$I$89,5,0)</f>
        <v>169.48034999999987</v>
      </c>
      <c r="CV135" s="13">
        <f t="shared" si="149"/>
        <v>42.973618543014148</v>
      </c>
      <c r="CW135" s="20">
        <f t="shared" si="121"/>
        <v>370.02399521241608</v>
      </c>
      <c r="CX135" s="59">
        <f t="shared" si="122"/>
        <v>654.25838048611524</v>
      </c>
      <c r="CY135" s="59">
        <f ca="1">AVERAGE(OFFSET($CX$3,0,0,'Données projet'!$E$13+1,1))-AVERAGE(OFFSET($H$3,0,0,'Données projet'!$E$13+1,1))</f>
        <v>303.76035885073708</v>
      </c>
      <c r="CZ135" s="59">
        <f t="shared" si="150"/>
        <v>127.43112562890414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13.497015796826743</v>
      </c>
      <c r="DG135" s="21">
        <f>EXP(-LN(2)/25)*DG134+(1-EXP(-LN(2)/25))/(LN(2)/25)*Calculateur!DB135*Calculateur!DD135*VLOOKUP('Données projet'!$B$13,Paramètres!$A$1:$I$89,3,0)*0.475*44/12</f>
        <v>15.342211189466871</v>
      </c>
      <c r="DH135" s="21">
        <f>EXP(-LN(2)/2)*DH134+(1-EXP(-LN(2)/2))/(LN(2)/2)*DB135*DE135*VLOOKUP('Données projet'!$B$13,Paramètres!$A$1:$I$89,3,0)*0.475*44/12</f>
        <v>2.5491821272099008E-2</v>
      </c>
      <c r="DI135" s="22">
        <f t="shared" si="123"/>
        <v>28.864718807565712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5.6843418860808015E-14</v>
      </c>
      <c r="DP135" s="17">
        <f>DO135*VLOOKUP('Données projet'!$B$14,Paramètres!$A$1:$I$89,3,0)*VLOOKUP('Données projet'!$B$14,Paramètres!$A$1:$I$89,5,0)</f>
        <v>3.2810021366458389E-14</v>
      </c>
      <c r="DQ135" s="13">
        <f t="shared" si="151"/>
        <v>5.6117125884464641E-13</v>
      </c>
      <c r="DR135" s="20">
        <f t="shared" si="124"/>
        <v>1.0345173963676741E-12</v>
      </c>
      <c r="DS135" s="59">
        <f t="shared" si="125"/>
        <v>284.23438527370018</v>
      </c>
      <c r="DT135" s="59">
        <f ca="1">AVERAGE(OFFSET($DS$3,0,0,'Données projet'!$E$14+1,1))-AVERAGE(OFFSET($H$3,0,0,'Données projet'!$E$14+1,1))</f>
        <v>243.65374431792841</v>
      </c>
      <c r="DU135" s="59">
        <f t="shared" si="152"/>
        <v>271.60754570002939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14.305181460918908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14.305181460918908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-4.5474735088646412E-13</v>
      </c>
      <c r="EK135" s="17">
        <f>EJ135*VLOOKUP('Données projet'!$B$15,Paramètres!$A$1:$I$89,3,0)*VLOOKUP('Données projet'!$B$15,Paramètres!$A$1:$I$89,5,0)</f>
        <v>-3.0504452297464016E-13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321.44781099085594</v>
      </c>
      <c r="EP135" s="59">
        <f t="shared" si="154"/>
        <v>201.22243186578183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89.620650253326573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89.620650253326573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2.8421709430404007E-14</v>
      </c>
      <c r="FF135" s="17">
        <f>FE135*VLOOKUP('Données projet'!$B$16,Paramètres!$A$1:$I$89,3,0)*VLOOKUP('Données projet'!$B$16,Paramètres!$A$1:$I$89,5,0)</f>
        <v>2.4829205358400945E-14</v>
      </c>
      <c r="FG135" s="13">
        <f t="shared" si="155"/>
        <v>4.3867331143352915E-13</v>
      </c>
      <c r="FH135" s="20">
        <f t="shared" si="130"/>
        <v>8.0726688341261168E-13</v>
      </c>
      <c r="FI135" s="59">
        <f t="shared" si="131"/>
        <v>284.23438527369996</v>
      </c>
      <c r="FJ135" s="59">
        <f ca="1">AVERAGE(OFFSET($FI$3,0,0,'Données projet'!$E$16+1,1))-AVERAGE(OFFSET($H$3,0,0,'Données projet'!$E$16+1,1))</f>
        <v>285.8437404763045</v>
      </c>
      <c r="FK135" s="59">
        <f t="shared" si="156"/>
        <v>276.01618888357268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28.335667692046592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28.335667692046592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-1.7053025658242404E-13</v>
      </c>
      <c r="GA135" s="17">
        <f>FZ135*VLOOKUP('Données projet'!$B$17,Paramètres!$A$1:$I$89,3,0)*VLOOKUP('Données projet'!$B$17,Paramètres!$A$1:$I$89,5,0)</f>
        <v>-1.3567387213697657E-13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323.01113210765487</v>
      </c>
      <c r="GF135" s="59">
        <f t="shared" si="158"/>
        <v>311.68541696405975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32.528039174745274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32.528039174745274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2.8421709430404007E-14</v>
      </c>
      <c r="GV135" s="17">
        <f>GU135*VLOOKUP('Données projet'!$B$18,Paramètres!$A$1:$I$89,3,0)*VLOOKUP('Données projet'!$B$18,Paramètres!$A$1:$I$89,5,0)</f>
        <v>2.4829205358400945E-14</v>
      </c>
      <c r="GW135" s="13">
        <f t="shared" si="159"/>
        <v>4.3867331143352915E-13</v>
      </c>
      <c r="GX135" s="20">
        <f t="shared" si="136"/>
        <v>8.0726688341261168E-13</v>
      </c>
      <c r="GY135" s="59">
        <f t="shared" si="137"/>
        <v>284.23438527369996</v>
      </c>
      <c r="GZ135" s="59">
        <f ca="1">AVERAGE(OFFSET($GY$3,0,0,'Données projet'!$E$18+1,1))-AVERAGE(OFFSET($H$3,0,0,'Données projet'!$E$18+1,1))</f>
        <v>285.8437404763045</v>
      </c>
      <c r="HA135" s="59">
        <f t="shared" si="160"/>
        <v>276.01618888357268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28.335667692046592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28.335667692046592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-1.0286385077051818E-13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315.34103933739129</v>
      </c>
      <c r="T136" s="59">
        <f t="shared" si="142"/>
        <v>165.80901858372513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78.313172497213429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78.313172497213429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-3.4106051316484809E-13</v>
      </c>
      <c r="AJ136" s="13">
        <f>AI136*VLOOKUP('Données projet'!$B$10,Paramètres!$A$1:$I$89,3,0)*VLOOKUP('Données projet'!$B$10,Paramètres!$A$1:$I$89,5,0)</f>
        <v>-2.0395418687257919E-13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317.328615425664</v>
      </c>
      <c r="AO136" s="59">
        <f t="shared" si="144"/>
        <v>324.95872842255744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41.351771782722686</v>
      </c>
      <c r="AV136" s="21">
        <f>EXP(-LN(2)/25)*AV135+(1-EXP(-LN(2)/25))/(LN(2)/25)*Calculateur!AQ136*Calculateur!AS136*VLOOKUP('Données projet'!$B$10,Paramètres!$A$1:$I$89,3,0)*0.475*44/12</f>
        <v>4.4710766201883807</v>
      </c>
      <c r="AW136" s="21">
        <f>EXP(-LN(2)/2)*AW135+(1-EXP(-LN(2)/2))/(LN(2)/2)*AQ136*AT136*VLOOKUP('Données projet'!$B$10,Paramètres!$A$1:$I$89,3,0)*0.475*44/12</f>
        <v>2.7676634441106293E-10</v>
      </c>
      <c r="AX136" s="21">
        <f t="shared" si="114"/>
        <v>45.822848403187827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-6.5483618527650828E-14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418.31716673276725</v>
      </c>
      <c r="BJ136" s="59">
        <f t="shared" si="146"/>
        <v>472.37891533957929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32.261606874084855</v>
      </c>
      <c r="BQ136" s="21">
        <f>EXP(-LN(2)/25)*BQ135+(1-EXP(-LN(2)/25))/(LN(2)/25)*Calculateur!BL136*Calculateur!BN136*VLOOKUP('Données projet'!$B$11,Paramètres!$A$1:$I$89,3,0)*0.475*44/12</f>
        <v>4.0785861777300854</v>
      </c>
      <c r="BR136" s="21">
        <f>EXP(-LN(2)/2)*BR135+(1-EXP(-LN(2)/2))/(LN(2)/2)*BL136*BO136*VLOOKUP('Données projet'!$B$11,Paramètres!$A$1:$I$89,3,0)*0.475*44/12</f>
        <v>4.2926222699344899E-10</v>
      </c>
      <c r="BS136" s="22">
        <f t="shared" si="117"/>
        <v>36.340193052244203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1.1368683772161603E-13</v>
      </c>
      <c r="BZ136" s="13">
        <f>BY136*VLOOKUP('Données projet'!$B$12,Paramètres!$A$1:$I$89,3,0)*VLOOKUP('Données projet'!$B$12,Paramètres!$A$1:$I$89,5,0)</f>
        <v>6.6506800067145386E-14</v>
      </c>
      <c r="CA136" s="13">
        <f t="shared" si="147"/>
        <v>1.0476989505385114E-12</v>
      </c>
      <c r="CB136" s="20">
        <f t="shared" si="118"/>
        <v>1.9405750156381857E-12</v>
      </c>
      <c r="CC136" s="59">
        <f t="shared" si="119"/>
        <v>284.39223168033533</v>
      </c>
      <c r="CD136" s="59">
        <f ca="1">AVERAGE(OFFSET($CC$3,0,0,'Données projet'!$E$12+1,1))-AVERAGE(OFFSET($H$3,0,0,'Données projet'!$E$12+1,1))</f>
        <v>184.11352167663844</v>
      </c>
      <c r="CE136" s="59">
        <f t="shared" si="148"/>
        <v>145.86653500981791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23.453048290067208</v>
      </c>
      <c r="CL136" s="21">
        <f>EXP(-LN(2)/25)*CL135+(1-EXP(-LN(2)/25))/(LN(2)/25)*Calculateur!CG136*Calculateur!CI136*VLOOKUP('Données projet'!$B$12,Paramètres!$A$1:$I$89,3,0)*0.475*44/12</f>
        <v>6.4712492815515414</v>
      </c>
      <c r="CM136" s="21">
        <f>EXP(-LN(2)/2)*CM135+(1-EXP(-LN(2)/2))/(LN(2)/2)*CG136*CJ136*VLOOKUP('Données projet'!$B$12,Paramètres!$A$1:$I$89,3,0)*0.475*44/12</f>
        <v>6.3693321395855631E-6</v>
      </c>
      <c r="CN136" s="22">
        <f t="shared" si="120"/>
        <v>29.924303940950892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4.2599999999999971</v>
      </c>
      <c r="CT136" s="12">
        <f>IF('Données projet'!$A$140&gt;35,CT135+CS136-DB135,IF(A136&lt;'Données projet'!$A$140,$CQ$205^A136,IF(A136='Données projet'!$A$140,'Données projet'!$B$140,CT135+CS136-DB135)))</f>
        <v>356.60999999999973</v>
      </c>
      <c r="CU136" s="17">
        <f>CT136*VLOOKUP('Données projet'!$B$13,Paramètres!$A$1:$I$89,3,0)*VLOOKUP('Données projet'!$B$13,Paramètres!$A$1:$I$89,5,0)</f>
        <v>171.52940999999987</v>
      </c>
      <c r="CV136" s="13">
        <f t="shared" si="149"/>
        <v>43.432381794436523</v>
      </c>
      <c r="CW136" s="20">
        <f t="shared" si="121"/>
        <v>374.39178737531006</v>
      </c>
      <c r="CX136" s="59">
        <f t="shared" si="122"/>
        <v>658.78401905564351</v>
      </c>
      <c r="CY136" s="59">
        <f ca="1">AVERAGE(OFFSET($CX$3,0,0,'Données projet'!$E$13+1,1))-AVERAGE(OFFSET($H$3,0,0,'Données projet'!$E$13+1,1))</f>
        <v>303.76035885073708</v>
      </c>
      <c r="CZ136" s="59">
        <f t="shared" si="150"/>
        <v>127.43112562890414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13.232347549417728</v>
      </c>
      <c r="DG136" s="21">
        <f>EXP(-LN(2)/25)*DG135+(1-EXP(-LN(2)/25))/(LN(2)/25)*Calculateur!DB136*Calculateur!DD136*VLOOKUP('Données projet'!$B$13,Paramètres!$A$1:$I$89,3,0)*0.475*44/12</f>
        <v>14.922677617679078</v>
      </c>
      <c r="DH136" s="21">
        <f>EXP(-LN(2)/2)*DH135+(1-EXP(-LN(2)/2))/(LN(2)/2)*DB136*DE136*VLOOKUP('Données projet'!$B$13,Paramètres!$A$1:$I$89,3,0)*0.475*44/12</f>
        <v>1.802543968629669E-2</v>
      </c>
      <c r="DI136" s="22">
        <f t="shared" si="123"/>
        <v>28.173050606783104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5.6843418860808015E-14</v>
      </c>
      <c r="DP136" s="17">
        <f>DO136*VLOOKUP('Données projet'!$B$14,Paramètres!$A$1:$I$89,3,0)*VLOOKUP('Données projet'!$B$14,Paramètres!$A$1:$I$89,5,0)</f>
        <v>3.2810021366458389E-14</v>
      </c>
      <c r="DQ136" s="13">
        <f t="shared" si="151"/>
        <v>5.6117125884464641E-13</v>
      </c>
      <c r="DR136" s="20">
        <f t="shared" si="124"/>
        <v>1.0345173963676741E-12</v>
      </c>
      <c r="DS136" s="59">
        <f t="shared" si="125"/>
        <v>284.39223168033442</v>
      </c>
      <c r="DT136" s="59">
        <f ca="1">AVERAGE(OFFSET($DS$3,0,0,'Données projet'!$E$14+1,1))-AVERAGE(OFFSET($H$3,0,0,'Données projet'!$E$14+1,1))</f>
        <v>243.65374431792841</v>
      </c>
      <c r="DU136" s="59">
        <f t="shared" si="152"/>
        <v>271.60754570002939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14.024665577769428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14.024665577769428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-4.5474735088646412E-13</v>
      </c>
      <c r="EK136" s="17">
        <f>EJ136*VLOOKUP('Données projet'!$B$15,Paramètres!$A$1:$I$89,3,0)*VLOOKUP('Données projet'!$B$15,Paramètres!$A$1:$I$89,5,0)</f>
        <v>-3.0504452297464016E-13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321.44781099085594</v>
      </c>
      <c r="EP136" s="59">
        <f t="shared" si="154"/>
        <v>201.22243186578183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87.863243965057947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87.863243965057947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2.8421709430404007E-14</v>
      </c>
      <c r="FF136" s="17">
        <f>FE136*VLOOKUP('Données projet'!$B$16,Paramètres!$A$1:$I$89,3,0)*VLOOKUP('Données projet'!$B$16,Paramètres!$A$1:$I$89,5,0)</f>
        <v>2.4829205358400945E-14</v>
      </c>
      <c r="FG136" s="13">
        <f t="shared" si="155"/>
        <v>4.3867331143352915E-13</v>
      </c>
      <c r="FH136" s="20">
        <f t="shared" si="130"/>
        <v>8.0726688341261168E-13</v>
      </c>
      <c r="FI136" s="59">
        <f t="shared" si="131"/>
        <v>284.39223168033419</v>
      </c>
      <c r="FJ136" s="59">
        <f ca="1">AVERAGE(OFFSET($FI$3,0,0,'Données projet'!$E$16+1,1))-AVERAGE(OFFSET($H$3,0,0,'Données projet'!$E$16+1,1))</f>
        <v>285.8437404763045</v>
      </c>
      <c r="FK136" s="59">
        <f t="shared" si="156"/>
        <v>276.01618888357268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27.780022531656289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27.780022531656289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-1.7053025658242404E-13</v>
      </c>
      <c r="GA136" s="17">
        <f>FZ136*VLOOKUP('Données projet'!$B$17,Paramètres!$A$1:$I$89,3,0)*VLOOKUP('Données projet'!$B$17,Paramètres!$A$1:$I$89,5,0)</f>
        <v>-1.3567387213697657E-13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323.01113210765487</v>
      </c>
      <c r="GF136" s="59">
        <f t="shared" si="158"/>
        <v>311.68541696405975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31.890184166673365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31.890184166673365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2.8421709430404007E-14</v>
      </c>
      <c r="GV136" s="17">
        <f>GU136*VLOOKUP('Données projet'!$B$18,Paramètres!$A$1:$I$89,3,0)*VLOOKUP('Données projet'!$B$18,Paramètres!$A$1:$I$89,5,0)</f>
        <v>2.4829205358400945E-14</v>
      </c>
      <c r="GW136" s="13">
        <f t="shared" si="159"/>
        <v>4.3867331143352915E-13</v>
      </c>
      <c r="GX136" s="20">
        <f t="shared" si="136"/>
        <v>8.0726688341261168E-13</v>
      </c>
      <c r="GY136" s="59">
        <f t="shared" si="137"/>
        <v>284.39223168033419</v>
      </c>
      <c r="GZ136" s="59">
        <f ca="1">AVERAGE(OFFSET($GY$3,0,0,'Données projet'!$E$18+1,1))-AVERAGE(OFFSET($H$3,0,0,'Données projet'!$E$18+1,1))</f>
        <v>285.8437404763045</v>
      </c>
      <c r="HA136" s="59">
        <f t="shared" si="160"/>
        <v>276.01618888357268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27.780022531656289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27.780022531656289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-1.0286385077051818E-13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315.34103933739129</v>
      </c>
      <c r="T137" s="59">
        <f t="shared" si="142"/>
        <v>165.80901858372513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76.777498950861769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76.777498950861769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-3.4106051316484809E-13</v>
      </c>
      <c r="AJ137" s="13">
        <f>AI137*VLOOKUP('Données projet'!$B$10,Paramètres!$A$1:$I$89,3,0)*VLOOKUP('Données projet'!$B$10,Paramètres!$A$1:$I$89,5,0)</f>
        <v>-2.0395418687257919E-13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317.328615425664</v>
      </c>
      <c r="AO137" s="59">
        <f t="shared" si="144"/>
        <v>324.95872842255744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40.540888760153805</v>
      </c>
      <c r="AV137" s="21">
        <f>EXP(-LN(2)/25)*AV136+(1-EXP(-LN(2)/25))/(LN(2)/25)*Calculateur!AQ137*Calculateur!AS137*VLOOKUP('Données projet'!$B$10,Paramètres!$A$1:$I$89,3,0)*0.475*44/12</f>
        <v>4.3488147948856284</v>
      </c>
      <c r="AW137" s="21">
        <f>EXP(-LN(2)/2)*AW136+(1-EXP(-LN(2)/2))/(LN(2)/2)*AQ137*AT137*VLOOKUP('Données projet'!$B$10,Paramètres!$A$1:$I$89,3,0)*0.475*44/12</f>
        <v>1.9570335893727413E-10</v>
      </c>
      <c r="AX137" s="21">
        <f t="shared" si="114"/>
        <v>44.889703555235137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-6.5483618527650828E-14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418.31716673276725</v>
      </c>
      <c r="BJ137" s="59">
        <f t="shared" si="146"/>
        <v>472.37891533957929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31.628976440921239</v>
      </c>
      <c r="BQ137" s="21">
        <f>EXP(-LN(2)/25)*BQ136+(1-EXP(-LN(2)/25))/(LN(2)/25)*Calculateur!BL137*Calculateur!BN137*VLOOKUP('Données projet'!$B$11,Paramètres!$A$1:$I$89,3,0)*0.475*44/12</f>
        <v>3.9670570242165306</v>
      </c>
      <c r="BR137" s="21">
        <f>EXP(-LN(2)/2)*BR136+(1-EXP(-LN(2)/2))/(LN(2)/2)*BL137*BO137*VLOOKUP('Données projet'!$B$11,Paramètres!$A$1:$I$89,3,0)*0.475*44/12</f>
        <v>3.0353423161430682E-10</v>
      </c>
      <c r="BS137" s="22">
        <f t="shared" si="117"/>
        <v>35.596033465441309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1.1368683772161603E-13</v>
      </c>
      <c r="BZ137" s="13">
        <f>BY137*VLOOKUP('Données projet'!$B$12,Paramètres!$A$1:$I$89,3,0)*VLOOKUP('Données projet'!$B$12,Paramètres!$A$1:$I$89,5,0)</f>
        <v>6.6506800067145386E-14</v>
      </c>
      <c r="CA137" s="13">
        <f t="shared" si="147"/>
        <v>1.0476989505385114E-12</v>
      </c>
      <c r="CB137" s="20">
        <f t="shared" si="118"/>
        <v>1.9405750156381857E-12</v>
      </c>
      <c r="CC137" s="59">
        <f t="shared" si="119"/>
        <v>284.54733980470621</v>
      </c>
      <c r="CD137" s="59">
        <f ca="1">AVERAGE(OFFSET($CC$3,0,0,'Données projet'!$E$12+1,1))-AVERAGE(OFFSET($H$3,0,0,'Données projet'!$E$12+1,1))</f>
        <v>184.11352167663844</v>
      </c>
      <c r="CE137" s="59">
        <f t="shared" si="148"/>
        <v>145.86653500981791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22.99314831804595</v>
      </c>
      <c r="CL137" s="21">
        <f>EXP(-LN(2)/25)*CL136+(1-EXP(-LN(2)/25))/(LN(2)/25)*Calculateur!CG137*Calculateur!CI137*VLOOKUP('Données projet'!$B$12,Paramètres!$A$1:$I$89,3,0)*0.475*44/12</f>
        <v>6.2942926296393047</v>
      </c>
      <c r="CM137" s="21">
        <f>EXP(-LN(2)/2)*CM136+(1-EXP(-LN(2)/2))/(LN(2)/2)*CG137*CJ137*VLOOKUP('Données projet'!$B$12,Paramètres!$A$1:$I$89,3,0)*0.475*44/12</f>
        <v>4.5037979475303733E-6</v>
      </c>
      <c r="CN137" s="22">
        <f t="shared" si="120"/>
        <v>29.287445451483201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4.2599999999999971</v>
      </c>
      <c r="CT137" s="12">
        <f>IF('Données projet'!$A$140&gt;35,CT136+CS137-DB136,IF(A137&lt;'Données projet'!$A$140,$CQ$205^A137,IF(A137='Données projet'!$A$140,'Données projet'!$B$140,CT136+CS137-DB136)))</f>
        <v>360.86999999999972</v>
      </c>
      <c r="CU137" s="17">
        <f>CT137*VLOOKUP('Données projet'!$B$13,Paramètres!$A$1:$I$89,3,0)*VLOOKUP('Données projet'!$B$13,Paramètres!$A$1:$I$89,5,0)</f>
        <v>173.57846999999987</v>
      </c>
      <c r="CV137" s="13">
        <f t="shared" si="149"/>
        <v>43.890507565658602</v>
      </c>
      <c r="CW137" s="20">
        <f t="shared" si="121"/>
        <v>378.75846926018841</v>
      </c>
      <c r="CX137" s="59">
        <f t="shared" si="122"/>
        <v>663.30580906489263</v>
      </c>
      <c r="CY137" s="59">
        <f ca="1">AVERAGE(OFFSET($CX$3,0,0,'Données projet'!$E$13+1,1))-AVERAGE(OFFSET($H$3,0,0,'Données projet'!$E$13+1,1))</f>
        <v>303.76035885073708</v>
      </c>
      <c r="CZ137" s="59">
        <f t="shared" si="150"/>
        <v>127.43112562890414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12.972869284908713</v>
      </c>
      <c r="DG137" s="21">
        <f>EXP(-LN(2)/25)*DG136+(1-EXP(-LN(2)/25))/(LN(2)/25)*Calculateur!DB137*Calculateur!DD137*VLOOKUP('Données projet'!$B$13,Paramètres!$A$1:$I$89,3,0)*0.475*44/12</f>
        <v>14.514616213474135</v>
      </c>
      <c r="DH137" s="21">
        <f>EXP(-LN(2)/2)*DH136+(1-EXP(-LN(2)/2))/(LN(2)/2)*DB137*DE137*VLOOKUP('Données projet'!$B$13,Paramètres!$A$1:$I$89,3,0)*0.475*44/12</f>
        <v>1.2745910636049504E-2</v>
      </c>
      <c r="DI137" s="22">
        <f t="shared" si="123"/>
        <v>27.500231409018895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5.6843418860808015E-14</v>
      </c>
      <c r="DP137" s="17">
        <f>DO137*VLOOKUP('Données projet'!$B$14,Paramètres!$A$1:$I$89,3,0)*VLOOKUP('Données projet'!$B$14,Paramètres!$A$1:$I$89,5,0)</f>
        <v>3.2810021366458389E-14</v>
      </c>
      <c r="DQ137" s="13">
        <f t="shared" si="151"/>
        <v>5.6117125884464641E-13</v>
      </c>
      <c r="DR137" s="20">
        <f t="shared" si="124"/>
        <v>1.0345173963676741E-12</v>
      </c>
      <c r="DS137" s="59">
        <f t="shared" si="125"/>
        <v>284.5473398047053</v>
      </c>
      <c r="DT137" s="59">
        <f ca="1">AVERAGE(OFFSET($DS$3,0,0,'Données projet'!$E$14+1,1))-AVERAGE(OFFSET($H$3,0,0,'Données projet'!$E$14+1,1))</f>
        <v>243.65374431792841</v>
      </c>
      <c r="DU137" s="59">
        <f t="shared" si="152"/>
        <v>271.60754570002939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13.749650439990715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13.749650439990715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-4.5474735088646412E-13</v>
      </c>
      <c r="EK137" s="17">
        <f>EJ137*VLOOKUP('Données projet'!$B$15,Paramètres!$A$1:$I$89,3,0)*VLOOKUP('Données projet'!$B$15,Paramètres!$A$1:$I$89,5,0)</f>
        <v>-3.0504452297464016E-13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321.44781099085594</v>
      </c>
      <c r="EP137" s="59">
        <f t="shared" si="154"/>
        <v>201.22243186578183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86.140299342190275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86.140299342190275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2.8421709430404007E-14</v>
      </c>
      <c r="FF137" s="17">
        <f>FE137*VLOOKUP('Données projet'!$B$16,Paramètres!$A$1:$I$89,3,0)*VLOOKUP('Données projet'!$B$16,Paramètres!$A$1:$I$89,5,0)</f>
        <v>2.4829205358400945E-14</v>
      </c>
      <c r="FG137" s="13">
        <f t="shared" si="155"/>
        <v>4.3867331143352915E-13</v>
      </c>
      <c r="FH137" s="20">
        <f t="shared" si="130"/>
        <v>8.0726688341261168E-13</v>
      </c>
      <c r="FI137" s="59">
        <f t="shared" si="131"/>
        <v>284.54733980470508</v>
      </c>
      <c r="FJ137" s="59">
        <f ca="1">AVERAGE(OFFSET($FI$3,0,0,'Données projet'!$E$16+1,1))-AVERAGE(OFFSET($H$3,0,0,'Données projet'!$E$16+1,1))</f>
        <v>285.8437404763045</v>
      </c>
      <c r="FK137" s="59">
        <f t="shared" si="156"/>
        <v>276.01618888357268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27.235273233951158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27.235273233951158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-1.7053025658242404E-13</v>
      </c>
      <c r="GA137" s="17">
        <f>FZ137*VLOOKUP('Données projet'!$B$17,Paramètres!$A$1:$I$89,3,0)*VLOOKUP('Données projet'!$B$17,Paramètres!$A$1:$I$89,5,0)</f>
        <v>-1.3567387213697657E-13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323.01113210765487</v>
      </c>
      <c r="GF137" s="59">
        <f t="shared" si="158"/>
        <v>311.68541696405975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31.264837106256607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31.264837106256607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2.8421709430404007E-14</v>
      </c>
      <c r="GV137" s="17">
        <f>GU137*VLOOKUP('Données projet'!$B$18,Paramètres!$A$1:$I$89,3,0)*VLOOKUP('Données projet'!$B$18,Paramètres!$A$1:$I$89,5,0)</f>
        <v>2.4829205358400945E-14</v>
      </c>
      <c r="GW137" s="13">
        <f t="shared" si="159"/>
        <v>4.3867331143352915E-13</v>
      </c>
      <c r="GX137" s="20">
        <f t="shared" si="136"/>
        <v>8.0726688341261168E-13</v>
      </c>
      <c r="GY137" s="59">
        <f t="shared" si="137"/>
        <v>284.54733980470508</v>
      </c>
      <c r="GZ137" s="59">
        <f ca="1">AVERAGE(OFFSET($GY$3,0,0,'Données projet'!$E$18+1,1))-AVERAGE(OFFSET($H$3,0,0,'Données projet'!$E$18+1,1))</f>
        <v>285.8437404763045</v>
      </c>
      <c r="HA137" s="59">
        <f t="shared" si="160"/>
        <v>276.01618888357268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27.235273233951158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27.235273233951158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-1.0286385077051818E-13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315.34103933739129</v>
      </c>
      <c r="T138" s="59">
        <f t="shared" si="142"/>
        <v>165.80901858372513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75.27193902608569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75.27193902608569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-3.4106051316484809E-13</v>
      </c>
      <c r="AJ138" s="13">
        <f>AI138*VLOOKUP('Données projet'!$B$10,Paramètres!$A$1:$I$89,3,0)*VLOOKUP('Données projet'!$B$10,Paramètres!$A$1:$I$89,5,0)</f>
        <v>-2.0395418687257919E-13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317.328615425664</v>
      </c>
      <c r="AO138" s="59">
        <f t="shared" si="144"/>
        <v>324.95872842255744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39.745906659067693</v>
      </c>
      <c r="AV138" s="21">
        <f>EXP(-LN(2)/25)*AV137+(1-EXP(-LN(2)/25))/(LN(2)/25)*Calculateur!AQ138*Calculateur!AS138*VLOOKUP('Données projet'!$B$10,Paramètres!$A$1:$I$89,3,0)*0.475*44/12</f>
        <v>4.2298962256252501</v>
      </c>
      <c r="AW138" s="21">
        <f>EXP(-LN(2)/2)*AW137+(1-EXP(-LN(2)/2))/(LN(2)/2)*AQ138*AT138*VLOOKUP('Données projet'!$B$10,Paramètres!$A$1:$I$89,3,0)*0.475*44/12</f>
        <v>1.3838317220553147E-10</v>
      </c>
      <c r="AX138" s="21">
        <f t="shared" si="114"/>
        <v>43.975802884831324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-6.5483618527650828E-14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418.31716673276725</v>
      </c>
      <c r="BJ138" s="59">
        <f t="shared" si="146"/>
        <v>472.37891533957929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31.008751504685499</v>
      </c>
      <c r="BQ138" s="21">
        <f>EXP(-LN(2)/25)*BQ137+(1-EXP(-LN(2)/25))/(LN(2)/25)*Calculateur!BL138*Calculateur!BN138*VLOOKUP('Données projet'!$B$11,Paramètres!$A$1:$I$89,3,0)*0.475*44/12</f>
        <v>3.8585776412708674</v>
      </c>
      <c r="BR138" s="21">
        <f>EXP(-LN(2)/2)*BR137+(1-EXP(-LN(2)/2))/(LN(2)/2)*BL138*BO138*VLOOKUP('Données projet'!$B$11,Paramètres!$A$1:$I$89,3,0)*0.475*44/12</f>
        <v>2.1463111349672449E-10</v>
      </c>
      <c r="BS138" s="22">
        <f t="shared" si="117"/>
        <v>34.867329146171002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1.1368683772161603E-13</v>
      </c>
      <c r="BZ138" s="13">
        <f>BY138*VLOOKUP('Données projet'!$B$12,Paramètres!$A$1:$I$89,3,0)*VLOOKUP('Données projet'!$B$12,Paramètres!$A$1:$I$89,5,0)</f>
        <v>6.6506800067145386E-14</v>
      </c>
      <c r="CA138" s="13">
        <f t="shared" si="147"/>
        <v>1.0476989505385114E-12</v>
      </c>
      <c r="CB138" s="20">
        <f t="shared" si="118"/>
        <v>1.9405750156381857E-12</v>
      </c>
      <c r="CC138" s="59">
        <f t="shared" si="119"/>
        <v>284.69975714988908</v>
      </c>
      <c r="CD138" s="59">
        <f ca="1">AVERAGE(OFFSET($CC$3,0,0,'Données projet'!$E$12+1,1))-AVERAGE(OFFSET($H$3,0,0,'Données projet'!$E$12+1,1))</f>
        <v>184.11352167663844</v>
      </c>
      <c r="CE138" s="59">
        <f t="shared" si="148"/>
        <v>145.86653500981791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22.542266703964746</v>
      </c>
      <c r="CL138" s="21">
        <f>EXP(-LN(2)/25)*CL137+(1-EXP(-LN(2)/25))/(LN(2)/25)*Calculateur!CG138*Calculateur!CI138*VLOOKUP('Données projet'!$B$12,Paramètres!$A$1:$I$89,3,0)*0.475*44/12</f>
        <v>6.1221748666793543</v>
      </c>
      <c r="CM138" s="21">
        <f>EXP(-LN(2)/2)*CM137+(1-EXP(-LN(2)/2))/(LN(2)/2)*CG138*CJ138*VLOOKUP('Données projet'!$B$12,Paramètres!$A$1:$I$89,3,0)*0.475*44/12</f>
        <v>3.1846660697927816E-6</v>
      </c>
      <c r="CN138" s="22">
        <f t="shared" si="120"/>
        <v>28.664444755310171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>
        <f>VLOOKUP(A138,'Données projet'!$A$139:$I$159,2,0)</f>
        <v>365.13</v>
      </c>
      <c r="CR138" s="12">
        <f>VLOOKUP(A138,'Données projet'!$A$139:$I$159,9,0)</f>
        <v>4.2599999999999971</v>
      </c>
      <c r="CS138" s="12">
        <f t="array" ref="CS138">INDEX(CR:CR,MIN(IF(ISNUMBER(CR138:CR334),ROW(CR138:CR334),"")))</f>
        <v>4.2599999999999971</v>
      </c>
      <c r="CT138" s="12">
        <f>IF('Données projet'!$A$140&gt;35,CT137+CS138-DB137,IF(A138&lt;'Données projet'!$A$140,$CQ$205^A138,IF(A138='Données projet'!$A$140,'Données projet'!$B$140,CT137+CS138-DB137)))</f>
        <v>365.12999999999971</v>
      </c>
      <c r="CU138" s="17">
        <f>CT138*VLOOKUP('Données projet'!$B$13,Paramètres!$A$1:$I$89,3,0)*VLOOKUP('Données projet'!$B$13,Paramètres!$A$1:$I$89,5,0)</f>
        <v>175.62752999999989</v>
      </c>
      <c r="CV138" s="13">
        <f t="shared" si="149"/>
        <v>44.348004252581006</v>
      </c>
      <c r="CW138" s="20">
        <f t="shared" si="121"/>
        <v>383.12405548991177</v>
      </c>
      <c r="CX138" s="59">
        <f t="shared" si="122"/>
        <v>667.82381263979892</v>
      </c>
      <c r="CY138" s="59">
        <f ca="1">AVERAGE(OFFSET($CX$3,0,0,'Données projet'!$E$13+1,1))-AVERAGE(OFFSET($H$3,0,0,'Données projet'!$E$13+1,1))</f>
        <v>303.76035885073708</v>
      </c>
      <c r="CZ138" s="59">
        <f t="shared" si="150"/>
        <v>127.43112562890414</v>
      </c>
      <c r="DA138" s="15">
        <f>IF(ISNA(VLOOKUP(A138,'Données projet'!$A$139:$I$159,3,0)),0,VLOOKUP(A138,'Données projet'!$A$139:$I$159,3,0))</f>
        <v>14</v>
      </c>
      <c r="DB138" s="15">
        <f>IF(ISNA(VLOOKUP(A138,'Données projet'!$A$139:$I$159,4,0)),0,VLOOKUP(A138,'Données projet'!$A$139:$I$159,4,0))</f>
        <v>70.010000000000005</v>
      </c>
      <c r="DC138" s="16">
        <f>IF(ISNA(VLOOKUP(A138,'Données projet'!$A$139:$I$159,5,0)),0%,VLOOKUP(A138,'Données projet'!$A$139:$I$159,5,0)*VLOOKUP('Données projet'!$B$13,Paramètres!$A$1:$I$89,7,0))</f>
        <v>0.33</v>
      </c>
      <c r="DD138" s="16">
        <f>IF(ISNA(VLOOKUP(A138,'Données projet'!$A$139:$I$159,6,0)),0%,VLOOKUP(A138,'Données projet'!$A$139:$I$159,6,0)*VLOOKUP('Données projet'!$B$13,Paramètres!$A$1:$I$89,7,0))</f>
        <v>0.12100000000000001</v>
      </c>
      <c r="DE138" s="16">
        <f>IF(ISNA(VLOOKUP(A138,'Données projet'!$A$139:$I$159,7,0)),0%,VLOOKUP(A138,'Données projet'!$A$139:$I$159,7,0))</f>
        <v>0.18</v>
      </c>
      <c r="DF138" s="21">
        <f>EXP(-LN(2)/35)*DF137+(1-EXP(-LN(2)/35))/(LN(2)/35)*DB138*DC138*VLOOKUP('Données projet'!$B$13,Paramètres!$A$1:$I$89,3,0)*0.475*44/12</f>
        <v>27.460175207495006</v>
      </c>
      <c r="DG138" s="21">
        <f>EXP(-LN(2)/25)*DG137+(1-EXP(-LN(2)/25))/(LN(2)/25)*Calculateur!DB138*Calculateur!DD138*VLOOKUP('Données projet'!$B$13,Paramètres!$A$1:$I$89,3,0)*0.475*44/12</f>
        <v>19.50171911407913</v>
      </c>
      <c r="DH138" s="21">
        <f>EXP(-LN(2)/2)*DH137+(1-EXP(-LN(2)/2))/(LN(2)/2)*DB138*DE138*VLOOKUP('Données projet'!$B$13,Paramètres!$A$1:$I$89,3,0)*0.475*44/12</f>
        <v>6.872000068955245</v>
      </c>
      <c r="DI138" s="22">
        <f t="shared" si="123"/>
        <v>53.83389439052938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5.6843418860808015E-14</v>
      </c>
      <c r="DP138" s="17">
        <f>DO138*VLOOKUP('Données projet'!$B$14,Paramètres!$A$1:$I$89,3,0)*VLOOKUP('Données projet'!$B$14,Paramètres!$A$1:$I$89,5,0)</f>
        <v>3.2810021366458389E-14</v>
      </c>
      <c r="DQ138" s="13">
        <f t="shared" si="151"/>
        <v>5.6117125884464641E-13</v>
      </c>
      <c r="DR138" s="20">
        <f t="shared" si="124"/>
        <v>1.0345173963676741E-12</v>
      </c>
      <c r="DS138" s="59">
        <f t="shared" si="125"/>
        <v>284.69975714988817</v>
      </c>
      <c r="DT138" s="59">
        <f ca="1">AVERAGE(OFFSET($DS$3,0,0,'Données projet'!$E$14+1,1))-AVERAGE(OFFSET($H$3,0,0,'Données projet'!$E$14+1,1))</f>
        <v>243.65374431792841</v>
      </c>
      <c r="DU138" s="59">
        <f t="shared" si="152"/>
        <v>271.60754570002939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13.480028181321172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13.480028181321172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-4.5474735088646412E-13</v>
      </c>
      <c r="EK138" s="17">
        <f>EJ138*VLOOKUP('Données projet'!$B$15,Paramètres!$A$1:$I$89,3,0)*VLOOKUP('Données projet'!$B$15,Paramètres!$A$1:$I$89,5,0)</f>
        <v>-3.0504452297464016E-13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321.44781099085594</v>
      </c>
      <c r="EP138" s="59">
        <f t="shared" si="154"/>
        <v>201.22243186578183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84.451140612484593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84.451140612484593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2.8421709430404007E-14</v>
      </c>
      <c r="FF138" s="17">
        <f>FE138*VLOOKUP('Données projet'!$B$16,Paramètres!$A$1:$I$89,3,0)*VLOOKUP('Données projet'!$B$16,Paramètres!$A$1:$I$89,5,0)</f>
        <v>2.4829205358400945E-14</v>
      </c>
      <c r="FG138" s="13">
        <f t="shared" si="155"/>
        <v>4.3867331143352915E-13</v>
      </c>
      <c r="FH138" s="20">
        <f t="shared" si="130"/>
        <v>8.0726688341261168E-13</v>
      </c>
      <c r="FI138" s="59">
        <f t="shared" si="131"/>
        <v>284.69975714988794</v>
      </c>
      <c r="FJ138" s="59">
        <f ca="1">AVERAGE(OFFSET($FI$3,0,0,'Données projet'!$E$16+1,1))-AVERAGE(OFFSET($H$3,0,0,'Données projet'!$E$16+1,1))</f>
        <v>285.8437404763045</v>
      </c>
      <c r="FK138" s="59">
        <f t="shared" si="156"/>
        <v>276.01618888357268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26.701206137709761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26.701206137709761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-1.7053025658242404E-13</v>
      </c>
      <c r="GA138" s="17">
        <f>FZ138*VLOOKUP('Données projet'!$B$17,Paramètres!$A$1:$I$89,3,0)*VLOOKUP('Données projet'!$B$17,Paramètres!$A$1:$I$89,5,0)</f>
        <v>-1.3567387213697657E-13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323.01113210765487</v>
      </c>
      <c r="GF138" s="59">
        <f t="shared" si="158"/>
        <v>311.68541696405975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30.651752720270576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30.651752720270576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2.8421709430404007E-14</v>
      </c>
      <c r="GV138" s="17">
        <f>GU138*VLOOKUP('Données projet'!$B$18,Paramètres!$A$1:$I$89,3,0)*VLOOKUP('Données projet'!$B$18,Paramètres!$A$1:$I$89,5,0)</f>
        <v>2.4829205358400945E-14</v>
      </c>
      <c r="GW138" s="13">
        <f t="shared" si="159"/>
        <v>4.3867331143352915E-13</v>
      </c>
      <c r="GX138" s="20">
        <f t="shared" si="136"/>
        <v>8.0726688341261168E-13</v>
      </c>
      <c r="GY138" s="59">
        <f t="shared" si="137"/>
        <v>284.69975714988794</v>
      </c>
      <c r="GZ138" s="59">
        <f ca="1">AVERAGE(OFFSET($GY$3,0,0,'Données projet'!$E$18+1,1))-AVERAGE(OFFSET($H$3,0,0,'Données projet'!$E$18+1,1))</f>
        <v>285.8437404763045</v>
      </c>
      <c r="HA138" s="59">
        <f t="shared" si="160"/>
        <v>276.01618888357268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26.701206137709761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26.701206137709761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-1.0286385077051818E-13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315.34103933739129</v>
      </c>
      <c r="T139" s="59">
        <f t="shared" si="142"/>
        <v>165.80901858372513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73.795902213133587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73.795902213133587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-3.4106051316484809E-13</v>
      </c>
      <c r="AJ139" s="13">
        <f>AI139*VLOOKUP('Données projet'!$B$10,Paramètres!$A$1:$I$89,3,0)*VLOOKUP('Données projet'!$B$10,Paramètres!$A$1:$I$89,5,0)</f>
        <v>-2.0395418687257919E-13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317.328615425664</v>
      </c>
      <c r="AO139" s="59">
        <f t="shared" si="144"/>
        <v>324.95872842255744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38.966513672092681</v>
      </c>
      <c r="AV139" s="21">
        <f>EXP(-LN(2)/25)*AV138+(1-EXP(-LN(2)/25))/(LN(2)/25)*Calculateur!AQ139*Calculateur!AS139*VLOOKUP('Données projet'!$B$10,Paramètres!$A$1:$I$89,3,0)*0.475*44/12</f>
        <v>4.114229490894953</v>
      </c>
      <c r="AW139" s="21">
        <f>EXP(-LN(2)/2)*AW138+(1-EXP(-LN(2)/2))/(LN(2)/2)*AQ139*AT139*VLOOKUP('Données projet'!$B$10,Paramètres!$A$1:$I$89,3,0)*0.475*44/12</f>
        <v>9.7851679468637066E-11</v>
      </c>
      <c r="AX139" s="21">
        <f t="shared" si="114"/>
        <v>43.080743163085479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-6.5483618527650828E-14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418.31716673276725</v>
      </c>
      <c r="BJ139" s="59">
        <f t="shared" si="146"/>
        <v>472.37891533957929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30.400688801149485</v>
      </c>
      <c r="BQ139" s="21">
        <f>EXP(-LN(2)/25)*BQ138+(1-EXP(-LN(2)/25))/(LN(2)/25)*Calculateur!BL139*Calculateur!BN139*VLOOKUP('Données projet'!$B$11,Paramètres!$A$1:$I$89,3,0)*0.475*44/12</f>
        <v>3.7530646327565362</v>
      </c>
      <c r="BR139" s="21">
        <f>EXP(-LN(2)/2)*BR138+(1-EXP(-LN(2)/2))/(LN(2)/2)*BL139*BO139*VLOOKUP('Données projet'!$B$11,Paramètres!$A$1:$I$89,3,0)*0.475*44/12</f>
        <v>1.5176711580715341E-10</v>
      </c>
      <c r="BS139" s="22">
        <f t="shared" si="117"/>
        <v>34.153753434057784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1.1368683772161603E-13</v>
      </c>
      <c r="BZ139" s="13">
        <f>BY139*VLOOKUP('Données projet'!$B$12,Paramètres!$A$1:$I$89,3,0)*VLOOKUP('Données projet'!$B$12,Paramètres!$A$1:$I$89,5,0)</f>
        <v>6.6506800067145386E-14</v>
      </c>
      <c r="CA139" s="13">
        <f t="shared" si="147"/>
        <v>1.0476989505385114E-12</v>
      </c>
      <c r="CB139" s="20">
        <f t="shared" si="118"/>
        <v>1.9405750156381857E-12</v>
      </c>
      <c r="CC139" s="59">
        <f t="shared" si="119"/>
        <v>284.84953039488715</v>
      </c>
      <c r="CD139" s="59">
        <f ca="1">AVERAGE(OFFSET($CC$3,0,0,'Données projet'!$E$12+1,1))-AVERAGE(OFFSET($H$3,0,0,'Données projet'!$E$12+1,1))</f>
        <v>184.11352167663844</v>
      </c>
      <c r="CE139" s="59">
        <f t="shared" si="148"/>
        <v>145.86653500981791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22.100226603325044</v>
      </c>
      <c r="CL139" s="21">
        <f>EXP(-LN(2)/25)*CL138+(1-EXP(-LN(2)/25))/(LN(2)/25)*Calculateur!CG139*Calculateur!CI139*VLOOKUP('Données projet'!$B$12,Paramètres!$A$1:$I$89,3,0)*0.475*44/12</f>
        <v>5.9547636729988236</v>
      </c>
      <c r="CM139" s="21">
        <f>EXP(-LN(2)/2)*CM138+(1-EXP(-LN(2)/2))/(LN(2)/2)*CG139*CJ139*VLOOKUP('Données projet'!$B$12,Paramètres!$A$1:$I$89,3,0)*0.475*44/12</f>
        <v>2.2518989737651867E-6</v>
      </c>
      <c r="CN139" s="22">
        <f t="shared" si="120"/>
        <v>28.05499252822284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3.7288888888888891</v>
      </c>
      <c r="CT139" s="12">
        <f>IF('Données projet'!$A$140&gt;35,CT138+CS139-DB138,IF(A139&lt;'Données projet'!$A$140,$CQ$205^A139,IF(A139='Données projet'!$A$140,'Données projet'!$B$140,CT138+CS139-DB138)))</f>
        <v>298.84888888888861</v>
      </c>
      <c r="CU139" s="17">
        <f>CT139*VLOOKUP('Données projet'!$B$13,Paramètres!$A$1:$I$89,3,0)*VLOOKUP('Données projet'!$B$13,Paramètres!$A$1:$I$89,5,0)</f>
        <v>143.74631555555541</v>
      </c>
      <c r="CV139" s="13">
        <f t="shared" si="149"/>
        <v>37.153910303832255</v>
      </c>
      <c r="CW139" s="20">
        <f t="shared" si="121"/>
        <v>315.06789337176684</v>
      </c>
      <c r="CX139" s="59">
        <f t="shared" si="122"/>
        <v>599.91742376665206</v>
      </c>
      <c r="CY139" s="59">
        <f ca="1">AVERAGE(OFFSET($CX$3,0,0,'Données projet'!$E$13+1,1))-AVERAGE(OFFSET($H$3,0,0,'Données projet'!$E$13+1,1))</f>
        <v>303.76035885073708</v>
      </c>
      <c r="CZ139" s="59">
        <f t="shared" si="150"/>
        <v>127.43112562890414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26.921697920729073</v>
      </c>
      <c r="DG139" s="21">
        <f>EXP(-LN(2)/25)*DG138+(1-EXP(-LN(2)/25))/(LN(2)/25)*Calculateur!DB139*Calculateur!DD139*VLOOKUP('Données projet'!$B$13,Paramètres!$A$1:$I$89,3,0)*0.475*44/12</f>
        <v>18.968443579353799</v>
      </c>
      <c r="DH139" s="21">
        <f>EXP(-LN(2)/2)*DH138+(1-EXP(-LN(2)/2))/(LN(2)/2)*DB139*DE139*VLOOKUP('Données projet'!$B$13,Paramètres!$A$1:$I$89,3,0)*0.475*44/12</f>
        <v>4.8592378490726764</v>
      </c>
      <c r="DI139" s="22">
        <f t="shared" si="123"/>
        <v>50.749379349155554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5.6843418860808015E-14</v>
      </c>
      <c r="DP139" s="17">
        <f>DO139*VLOOKUP('Données projet'!$B$14,Paramètres!$A$1:$I$89,3,0)*VLOOKUP('Données projet'!$B$14,Paramètres!$A$1:$I$89,5,0)</f>
        <v>3.2810021366458389E-14</v>
      </c>
      <c r="DQ139" s="13">
        <f t="shared" si="151"/>
        <v>5.6117125884464641E-13</v>
      </c>
      <c r="DR139" s="20">
        <f t="shared" si="124"/>
        <v>1.0345173963676741E-12</v>
      </c>
      <c r="DS139" s="59">
        <f t="shared" si="125"/>
        <v>284.84953039488624</v>
      </c>
      <c r="DT139" s="59">
        <f ca="1">AVERAGE(OFFSET($DS$3,0,0,'Données projet'!$E$14+1,1))-AVERAGE(OFFSET($H$3,0,0,'Données projet'!$E$14+1,1))</f>
        <v>243.65374431792841</v>
      </c>
      <c r="DU139" s="59">
        <f t="shared" si="152"/>
        <v>271.60754570002939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13.215693050690799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13.215693050690799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-4.5474735088646412E-13</v>
      </c>
      <c r="EK139" s="17">
        <f>EJ139*VLOOKUP('Données projet'!$B$15,Paramètres!$A$1:$I$89,3,0)*VLOOKUP('Données projet'!$B$15,Paramètres!$A$1:$I$89,5,0)</f>
        <v>-3.0504452297464016E-13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321.44781099085594</v>
      </c>
      <c r="EP139" s="59">
        <f t="shared" si="154"/>
        <v>201.22243186578183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82.795105255183344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82.795105255183344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2.8421709430404007E-14</v>
      </c>
      <c r="FF139" s="17">
        <f>FE139*VLOOKUP('Données projet'!$B$16,Paramètres!$A$1:$I$89,3,0)*VLOOKUP('Données projet'!$B$16,Paramètres!$A$1:$I$89,5,0)</f>
        <v>2.4829205358400945E-14</v>
      </c>
      <c r="FG139" s="13">
        <f t="shared" si="155"/>
        <v>4.3867331143352915E-13</v>
      </c>
      <c r="FH139" s="20">
        <f t="shared" si="130"/>
        <v>8.0726688341261168E-13</v>
      </c>
      <c r="FI139" s="59">
        <f t="shared" si="131"/>
        <v>284.84953039488602</v>
      </c>
      <c r="FJ139" s="59">
        <f ca="1">AVERAGE(OFFSET($FI$3,0,0,'Données projet'!$E$16+1,1))-AVERAGE(OFFSET($H$3,0,0,'Données projet'!$E$16+1,1))</f>
        <v>285.8437404763045</v>
      </c>
      <c r="FK139" s="59">
        <f t="shared" si="156"/>
        <v>276.01618888357268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26.177611771476894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26.177611771476894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-1.7053025658242404E-13</v>
      </c>
      <c r="GA139" s="17">
        <f>FZ139*VLOOKUP('Données projet'!$B$17,Paramètres!$A$1:$I$89,3,0)*VLOOKUP('Données projet'!$B$17,Paramètres!$A$1:$I$89,5,0)</f>
        <v>-1.3567387213697657E-13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323.01113210765487</v>
      </c>
      <c r="GF139" s="59">
        <f t="shared" si="158"/>
        <v>311.68541696405975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30.05069054514918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30.05069054514918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2.8421709430404007E-14</v>
      </c>
      <c r="GV139" s="17">
        <f>GU139*VLOOKUP('Données projet'!$B$18,Paramètres!$A$1:$I$89,3,0)*VLOOKUP('Données projet'!$B$18,Paramètres!$A$1:$I$89,5,0)</f>
        <v>2.4829205358400945E-14</v>
      </c>
      <c r="GW139" s="13">
        <f t="shared" si="159"/>
        <v>4.3867331143352915E-13</v>
      </c>
      <c r="GX139" s="20">
        <f t="shared" si="136"/>
        <v>8.0726688341261168E-13</v>
      </c>
      <c r="GY139" s="59">
        <f t="shared" si="137"/>
        <v>284.84953039488602</v>
      </c>
      <c r="GZ139" s="59">
        <f ca="1">AVERAGE(OFFSET($GY$3,0,0,'Données projet'!$E$18+1,1))-AVERAGE(OFFSET($H$3,0,0,'Données projet'!$E$18+1,1))</f>
        <v>285.8437404763045</v>
      </c>
      <c r="HA139" s="59">
        <f t="shared" si="160"/>
        <v>276.01618888357268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26.177611771476894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26.177611771476894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-1.0286385077051818E-13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315.34103933739129</v>
      </c>
      <c r="T140" s="59">
        <f t="shared" si="142"/>
        <v>165.80901858372513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72.348809581789908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72.348809581789908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-3.4106051316484809E-13</v>
      </c>
      <c r="AJ140" s="13">
        <f>AI140*VLOOKUP('Données projet'!$B$10,Paramètres!$A$1:$I$89,3,0)*VLOOKUP('Données projet'!$B$10,Paramètres!$A$1:$I$89,5,0)</f>
        <v>-2.0395418687257919E-13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317.328615425664</v>
      </c>
      <c r="AO140" s="59">
        <f t="shared" si="144"/>
        <v>324.95872842255744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38.202404106209464</v>
      </c>
      <c r="AV140" s="21">
        <f>EXP(-LN(2)/25)*AV139+(1-EXP(-LN(2)/25))/(LN(2)/25)*Calculateur!AQ140*Calculateur!AS140*VLOOKUP('Données projet'!$B$10,Paramètres!$A$1:$I$89,3,0)*0.475*44/12</f>
        <v>4.001725669108505</v>
      </c>
      <c r="AW140" s="21">
        <f>EXP(-LN(2)/2)*AW139+(1-EXP(-LN(2)/2))/(LN(2)/2)*AQ140*AT140*VLOOKUP('Données projet'!$B$10,Paramètres!$A$1:$I$89,3,0)*0.475*44/12</f>
        <v>6.9191586102765734E-11</v>
      </c>
      <c r="AX140" s="21">
        <f t="shared" si="114"/>
        <v>42.204129775387159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-6.5483618527650828E-14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418.31716673276725</v>
      </c>
      <c r="BJ140" s="59">
        <f t="shared" si="146"/>
        <v>472.37891533957929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29.804549836348183</v>
      </c>
      <c r="BQ140" s="21">
        <f>EXP(-LN(2)/25)*BQ139+(1-EXP(-LN(2)/25))/(LN(2)/25)*Calculateur!BL140*Calculateur!BN140*VLOOKUP('Données projet'!$B$11,Paramètres!$A$1:$I$89,3,0)*0.475*44/12</f>
        <v>3.6504368830087173</v>
      </c>
      <c r="BR140" s="21">
        <f>EXP(-LN(2)/2)*BR139+(1-EXP(-LN(2)/2))/(LN(2)/2)*BL140*BO140*VLOOKUP('Données projet'!$B$11,Paramètres!$A$1:$I$89,3,0)*0.475*44/12</f>
        <v>1.0731555674836225E-10</v>
      </c>
      <c r="BS140" s="22">
        <f t="shared" si="117"/>
        <v>33.454986719464216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1.1368683772161603E-13</v>
      </c>
      <c r="BZ140" s="13">
        <f>BY140*VLOOKUP('Données projet'!$B$12,Paramètres!$A$1:$I$89,3,0)*VLOOKUP('Données projet'!$B$12,Paramètres!$A$1:$I$89,5,0)</f>
        <v>6.6506800067145386E-14</v>
      </c>
      <c r="CA140" s="13">
        <f t="shared" si="147"/>
        <v>1.0476989505385114E-12</v>
      </c>
      <c r="CB140" s="20">
        <f t="shared" si="118"/>
        <v>1.9405750156381857E-12</v>
      </c>
      <c r="CC140" s="59">
        <f t="shared" si="119"/>
        <v>284.99670540892731</v>
      </c>
      <c r="CD140" s="59">
        <f ca="1">AVERAGE(OFFSET($CC$3,0,0,'Données projet'!$E$12+1,1))-AVERAGE(OFFSET($H$3,0,0,'Données projet'!$E$12+1,1))</f>
        <v>184.11352167663844</v>
      </c>
      <c r="CE140" s="59">
        <f t="shared" si="148"/>
        <v>145.86653500981791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21.666854639441048</v>
      </c>
      <c r="CL140" s="21">
        <f>EXP(-LN(2)/25)*CL139+(1-EXP(-LN(2)/25))/(LN(2)/25)*Calculateur!CG140*Calculateur!CI140*VLOOKUP('Données projet'!$B$12,Paramètres!$A$1:$I$89,3,0)*0.475*44/12</f>
        <v>5.7919303472132588</v>
      </c>
      <c r="CM140" s="21">
        <f>EXP(-LN(2)/2)*CM139+(1-EXP(-LN(2)/2))/(LN(2)/2)*CG140*CJ140*VLOOKUP('Données projet'!$B$12,Paramètres!$A$1:$I$89,3,0)*0.475*44/12</f>
        <v>1.5923330348963908E-6</v>
      </c>
      <c r="CN140" s="22">
        <f t="shared" si="120"/>
        <v>27.458786578987343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3.7288888888888891</v>
      </c>
      <c r="CT140" s="12">
        <f>IF('Données projet'!$A$140&gt;35,CT139+CS140-DB139,IF(A140&lt;'Données projet'!$A$140,$CQ$205^A140,IF(A140='Données projet'!$A$140,'Données projet'!$B$140,CT139+CS140-DB139)))</f>
        <v>302.5777777777775</v>
      </c>
      <c r="CU140" s="17">
        <f>CT140*VLOOKUP('Données projet'!$B$13,Paramètres!$A$1:$I$89,3,0)*VLOOKUP('Données projet'!$B$13,Paramètres!$A$1:$I$89,5,0)</f>
        <v>145.53991111111097</v>
      </c>
      <c r="CV140" s="13">
        <f t="shared" si="149"/>
        <v>37.563240697689885</v>
      </c>
      <c r="CW140" s="20">
        <f t="shared" si="121"/>
        <v>318.90465606699485</v>
      </c>
      <c r="CX140" s="59">
        <f t="shared" si="122"/>
        <v>603.90136147592023</v>
      </c>
      <c r="CY140" s="59">
        <f ca="1">AVERAGE(OFFSET($CX$3,0,0,'Données projet'!$E$13+1,1))-AVERAGE(OFFSET($H$3,0,0,'Données projet'!$E$13+1,1))</f>
        <v>303.76035885073708</v>
      </c>
      <c r="CZ140" s="59">
        <f t="shared" si="150"/>
        <v>127.43112562890414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26.393779845117908</v>
      </c>
      <c r="DG140" s="21">
        <f>EXP(-LN(2)/25)*DG139+(1-EXP(-LN(2)/25))/(LN(2)/25)*Calculateur!DB140*Calculateur!DD140*VLOOKUP('Données projet'!$B$13,Paramètres!$A$1:$I$89,3,0)*0.475*44/12</f>
        <v>18.449750492169276</v>
      </c>
      <c r="DH140" s="21">
        <f>EXP(-LN(2)/2)*DH139+(1-EXP(-LN(2)/2))/(LN(2)/2)*DB140*DE140*VLOOKUP('Données projet'!$B$13,Paramètres!$A$1:$I$89,3,0)*0.475*44/12</f>
        <v>3.4360000344776229</v>
      </c>
      <c r="DI140" s="22">
        <f t="shared" si="123"/>
        <v>48.279530371764807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5.6843418860808015E-14</v>
      </c>
      <c r="DP140" s="17">
        <f>DO140*VLOOKUP('Données projet'!$B$14,Paramètres!$A$1:$I$89,3,0)*VLOOKUP('Données projet'!$B$14,Paramètres!$A$1:$I$89,5,0)</f>
        <v>3.2810021366458389E-14</v>
      </c>
      <c r="DQ140" s="13">
        <f t="shared" si="151"/>
        <v>5.6117125884464641E-13</v>
      </c>
      <c r="DR140" s="20">
        <f t="shared" si="124"/>
        <v>1.0345173963676741E-12</v>
      </c>
      <c r="DS140" s="59">
        <f t="shared" si="125"/>
        <v>284.9967054089264</v>
      </c>
      <c r="DT140" s="59">
        <f ca="1">AVERAGE(OFFSET($DS$3,0,0,'Données projet'!$E$14+1,1))-AVERAGE(OFFSET($H$3,0,0,'Données projet'!$E$14+1,1))</f>
        <v>243.65374431792841</v>
      </c>
      <c r="DU140" s="59">
        <f t="shared" si="152"/>
        <v>271.60754570002939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12.956541370743578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12.956541370743578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-4.5474735088646412E-13</v>
      </c>
      <c r="EK140" s="17">
        <f>EJ140*VLOOKUP('Données projet'!$B$15,Paramètres!$A$1:$I$89,3,0)*VLOOKUP('Données projet'!$B$15,Paramètres!$A$1:$I$89,5,0)</f>
        <v>-3.0504452297464016E-13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321.44781099085594</v>
      </c>
      <c r="EP140" s="59">
        <f t="shared" si="154"/>
        <v>201.22243186578183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81.171543741156938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81.171543741156938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2.8421709430404007E-14</v>
      </c>
      <c r="FF140" s="17">
        <f>FE140*VLOOKUP('Données projet'!$B$16,Paramètres!$A$1:$I$89,3,0)*VLOOKUP('Données projet'!$B$16,Paramètres!$A$1:$I$89,5,0)</f>
        <v>2.4829205358400945E-14</v>
      </c>
      <c r="FG140" s="13">
        <f t="shared" si="155"/>
        <v>4.3867331143352915E-13</v>
      </c>
      <c r="FH140" s="20">
        <f t="shared" si="130"/>
        <v>8.0726688341261168E-13</v>
      </c>
      <c r="FI140" s="59">
        <f t="shared" si="131"/>
        <v>284.99670540892618</v>
      </c>
      <c r="FJ140" s="59">
        <f ca="1">AVERAGE(OFFSET($FI$3,0,0,'Données projet'!$E$16+1,1))-AVERAGE(OFFSET($H$3,0,0,'Données projet'!$E$16+1,1))</f>
        <v>285.8437404763045</v>
      </c>
      <c r="FK140" s="59">
        <f t="shared" si="156"/>
        <v>276.01618888357268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25.664284771404827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25.664284771404827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-1.7053025658242404E-13</v>
      </c>
      <c r="GA140" s="17">
        <f>FZ140*VLOOKUP('Données projet'!$B$17,Paramètres!$A$1:$I$89,3,0)*VLOOKUP('Données projet'!$B$17,Paramètres!$A$1:$I$89,5,0)</f>
        <v>-1.3567387213697657E-13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323.01113210765487</v>
      </c>
      <c r="GF140" s="59">
        <f t="shared" si="158"/>
        <v>311.68541696405975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29.461414832670187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29.461414832670187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2.8421709430404007E-14</v>
      </c>
      <c r="GV140" s="17">
        <f>GU140*VLOOKUP('Données projet'!$B$18,Paramètres!$A$1:$I$89,3,0)*VLOOKUP('Données projet'!$B$18,Paramètres!$A$1:$I$89,5,0)</f>
        <v>2.4829205358400945E-14</v>
      </c>
      <c r="GW140" s="13">
        <f t="shared" si="159"/>
        <v>4.3867331143352915E-13</v>
      </c>
      <c r="GX140" s="20">
        <f t="shared" si="136"/>
        <v>8.0726688341261168E-13</v>
      </c>
      <c r="GY140" s="59">
        <f t="shared" si="137"/>
        <v>284.99670540892618</v>
      </c>
      <c r="GZ140" s="59">
        <f ca="1">AVERAGE(OFFSET($GY$3,0,0,'Données projet'!$E$18+1,1))-AVERAGE(OFFSET($H$3,0,0,'Données projet'!$E$18+1,1))</f>
        <v>285.8437404763045</v>
      </c>
      <c r="HA140" s="59">
        <f t="shared" si="160"/>
        <v>276.01618888357268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25.664284771404827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25.664284771404827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-1.0286385077051818E-13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315.34103933739129</v>
      </c>
      <c r="T141" s="59">
        <f t="shared" si="142"/>
        <v>165.80901858372513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70.930093554307533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70.930093554307533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-3.4106051316484809E-13</v>
      </c>
      <c r="AJ141" s="13">
        <f>AI141*VLOOKUP('Données projet'!$B$10,Paramètres!$A$1:$I$89,3,0)*VLOOKUP('Données projet'!$B$10,Paramètres!$A$1:$I$89,5,0)</f>
        <v>-2.0395418687257919E-13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317.328615425664</v>
      </c>
      <c r="AO141" s="59">
        <f t="shared" si="144"/>
        <v>324.95872842255744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37.4532782628524</v>
      </c>
      <c r="AV141" s="21">
        <f>EXP(-LN(2)/25)*AV140+(1-EXP(-LN(2)/25))/(LN(2)/25)*Calculateur!AQ141*Calculateur!AS141*VLOOKUP('Données projet'!$B$10,Paramètres!$A$1:$I$89,3,0)*0.475*44/12</f>
        <v>3.8922982702451261</v>
      </c>
      <c r="AW141" s="21">
        <f>EXP(-LN(2)/2)*AW140+(1-EXP(-LN(2)/2))/(LN(2)/2)*AQ141*AT141*VLOOKUP('Données projet'!$B$10,Paramètres!$A$1:$I$89,3,0)*0.475*44/12</f>
        <v>4.8925839734318533E-11</v>
      </c>
      <c r="AX141" s="21">
        <f t="shared" si="114"/>
        <v>41.345576533146456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-6.5483618527650828E-14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418.31716673276725</v>
      </c>
      <c r="BJ141" s="59">
        <f t="shared" si="146"/>
        <v>472.37891533957929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29.220100793037769</v>
      </c>
      <c r="BQ141" s="21">
        <f>EXP(-LN(2)/25)*BQ140+(1-EXP(-LN(2)/25))/(LN(2)/25)*Calculateur!BL141*Calculateur!BN141*VLOOKUP('Données projet'!$B$11,Paramètres!$A$1:$I$89,3,0)*0.475*44/12</f>
        <v>3.5506154944747115</v>
      </c>
      <c r="BR141" s="21">
        <f>EXP(-LN(2)/2)*BR140+(1-EXP(-LN(2)/2))/(LN(2)/2)*BL141*BO141*VLOOKUP('Données projet'!$B$11,Paramètres!$A$1:$I$89,3,0)*0.475*44/12</f>
        <v>7.5883557903576706E-11</v>
      </c>
      <c r="BS141" s="22">
        <f t="shared" si="117"/>
        <v>32.770716287588364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1.1368683772161603E-13</v>
      </c>
      <c r="BZ141" s="13">
        <f>BY141*VLOOKUP('Données projet'!$B$12,Paramètres!$A$1:$I$89,3,0)*VLOOKUP('Données projet'!$B$12,Paramètres!$A$1:$I$89,5,0)</f>
        <v>6.6506800067145386E-14</v>
      </c>
      <c r="CA141" s="13">
        <f t="shared" si="147"/>
        <v>1.0476989505385114E-12</v>
      </c>
      <c r="CB141" s="20">
        <f t="shared" si="118"/>
        <v>1.9405750156381857E-12</v>
      </c>
      <c r="CC141" s="59">
        <f t="shared" si="119"/>
        <v>285.14132726550787</v>
      </c>
      <c r="CD141" s="59">
        <f ca="1">AVERAGE(OFFSET($CC$3,0,0,'Données projet'!$E$12+1,1))-AVERAGE(OFFSET($H$3,0,0,'Données projet'!$E$12+1,1))</f>
        <v>184.11352167663844</v>
      </c>
      <c r="CE141" s="59">
        <f t="shared" si="148"/>
        <v>145.86653500981791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21.241980835438021</v>
      </c>
      <c r="CL141" s="21">
        <f>EXP(-LN(2)/25)*CL140+(1-EXP(-LN(2)/25))/(LN(2)/25)*Calculateur!CG141*Calculateur!CI141*VLOOKUP('Données projet'!$B$12,Paramètres!$A$1:$I$89,3,0)*0.475*44/12</f>
        <v>5.6335497072843328</v>
      </c>
      <c r="CM141" s="21">
        <f>EXP(-LN(2)/2)*CM140+(1-EXP(-LN(2)/2))/(LN(2)/2)*CG141*CJ141*VLOOKUP('Données projet'!$B$12,Paramètres!$A$1:$I$89,3,0)*0.475*44/12</f>
        <v>1.1259494868825933E-6</v>
      </c>
      <c r="CN141" s="22">
        <f t="shared" si="120"/>
        <v>26.87553166867184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3.7288888888888891</v>
      </c>
      <c r="CT141" s="12">
        <f>IF('Données projet'!$A$140&gt;35,CT140+CS141-DB140,IF(A141&lt;'Données projet'!$A$140,$CQ$205^A141,IF(A141='Données projet'!$A$140,'Données projet'!$B$140,CT140+CS141-DB140)))</f>
        <v>306.30666666666639</v>
      </c>
      <c r="CU141" s="17">
        <f>CT141*VLOOKUP('Données projet'!$B$13,Paramètres!$A$1:$I$89,3,0)*VLOOKUP('Données projet'!$B$13,Paramètres!$A$1:$I$89,5,0)</f>
        <v>147.33350666666655</v>
      </c>
      <c r="CV141" s="13">
        <f t="shared" si="149"/>
        <v>37.971984319312412</v>
      </c>
      <c r="CW141" s="20">
        <f t="shared" si="121"/>
        <v>322.74039680057996</v>
      </c>
      <c r="CX141" s="59">
        <f t="shared" si="122"/>
        <v>607.88172406608589</v>
      </c>
      <c r="CY141" s="59">
        <f ca="1">AVERAGE(OFFSET($CX$3,0,0,'Données projet'!$E$13+1,1))-AVERAGE(OFFSET($H$3,0,0,'Données projet'!$E$13+1,1))</f>
        <v>303.76035885073708</v>
      </c>
      <c r="CZ141" s="59">
        <f t="shared" si="150"/>
        <v>127.43112562890414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25.876213920971246</v>
      </c>
      <c r="DG141" s="21">
        <f>EXP(-LN(2)/25)*DG140+(1-EXP(-LN(2)/25))/(LN(2)/25)*Calculateur!DB141*Calculateur!DD141*VLOOKUP('Données projet'!$B$13,Paramètres!$A$1:$I$89,3,0)*0.475*44/12</f>
        <v>17.945241094730697</v>
      </c>
      <c r="DH141" s="21">
        <f>EXP(-LN(2)/2)*DH140+(1-EXP(-LN(2)/2))/(LN(2)/2)*DB141*DE141*VLOOKUP('Données projet'!$B$13,Paramètres!$A$1:$I$89,3,0)*0.475*44/12</f>
        <v>2.4296189245363382</v>
      </c>
      <c r="DI141" s="22">
        <f t="shared" si="123"/>
        <v>46.251073940238278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5.6843418860808015E-14</v>
      </c>
      <c r="DP141" s="17">
        <f>DO141*VLOOKUP('Données projet'!$B$14,Paramètres!$A$1:$I$89,3,0)*VLOOKUP('Données projet'!$B$14,Paramètres!$A$1:$I$89,5,0)</f>
        <v>3.2810021366458389E-14</v>
      </c>
      <c r="DQ141" s="13">
        <f t="shared" si="151"/>
        <v>5.6117125884464641E-13</v>
      </c>
      <c r="DR141" s="20">
        <f t="shared" si="124"/>
        <v>1.0345173963676741E-12</v>
      </c>
      <c r="DS141" s="59">
        <f t="shared" si="125"/>
        <v>285.14132726550696</v>
      </c>
      <c r="DT141" s="59">
        <f ca="1">AVERAGE(OFFSET($DS$3,0,0,'Données projet'!$E$14+1,1))-AVERAGE(OFFSET($H$3,0,0,'Données projet'!$E$14+1,1))</f>
        <v>243.65374431792841</v>
      </c>
      <c r="DU141" s="59">
        <f t="shared" si="152"/>
        <v>271.60754570002939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12.702471497173205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12.702471497173205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-4.5474735088646412E-13</v>
      </c>
      <c r="EK141" s="17">
        <f>EJ141*VLOOKUP('Données projet'!$B$15,Paramètres!$A$1:$I$89,3,0)*VLOOKUP('Données projet'!$B$15,Paramètres!$A$1:$I$89,5,0)</f>
        <v>-3.0504452297464016E-13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321.44781099085594</v>
      </c>
      <c r="EP141" s="59">
        <f t="shared" si="154"/>
        <v>201.22243186578183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79.579819278145848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79.579819278145848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2.8421709430404007E-14</v>
      </c>
      <c r="FF141" s="17">
        <f>FE141*VLOOKUP('Données projet'!$B$16,Paramètres!$A$1:$I$89,3,0)*VLOOKUP('Données projet'!$B$16,Paramètres!$A$1:$I$89,5,0)</f>
        <v>2.4829205358400945E-14</v>
      </c>
      <c r="FG141" s="13">
        <f t="shared" si="155"/>
        <v>4.3867331143352915E-13</v>
      </c>
      <c r="FH141" s="20">
        <f t="shared" si="130"/>
        <v>8.0726688341261168E-13</v>
      </c>
      <c r="FI141" s="59">
        <f t="shared" si="131"/>
        <v>285.14132726550673</v>
      </c>
      <c r="FJ141" s="59">
        <f ca="1">AVERAGE(OFFSET($FI$3,0,0,'Données projet'!$E$16+1,1))-AVERAGE(OFFSET($H$3,0,0,'Données projet'!$E$16+1,1))</f>
        <v>285.8437404763045</v>
      </c>
      <c r="FK141" s="59">
        <f t="shared" si="156"/>
        <v>276.01618888357268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25.161023800705618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25.161023800705618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-1.7053025658242404E-13</v>
      </c>
      <c r="GA141" s="17">
        <f>FZ141*VLOOKUP('Données projet'!$B$17,Paramètres!$A$1:$I$89,3,0)*VLOOKUP('Données projet'!$B$17,Paramètres!$A$1:$I$89,5,0)</f>
        <v>-1.3567387213697657E-13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323.01113210765487</v>
      </c>
      <c r="GF141" s="59">
        <f t="shared" si="158"/>
        <v>311.68541696405975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28.883694457490211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28.883694457490211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2.8421709430404007E-14</v>
      </c>
      <c r="GV141" s="17">
        <f>GU141*VLOOKUP('Données projet'!$B$18,Paramètres!$A$1:$I$89,3,0)*VLOOKUP('Données projet'!$B$18,Paramètres!$A$1:$I$89,5,0)</f>
        <v>2.4829205358400945E-14</v>
      </c>
      <c r="GW141" s="13">
        <f t="shared" si="159"/>
        <v>4.3867331143352915E-13</v>
      </c>
      <c r="GX141" s="20">
        <f t="shared" si="136"/>
        <v>8.0726688341261168E-13</v>
      </c>
      <c r="GY141" s="59">
        <f t="shared" si="137"/>
        <v>285.14132726550673</v>
      </c>
      <c r="GZ141" s="59">
        <f ca="1">AVERAGE(OFFSET($GY$3,0,0,'Données projet'!$E$18+1,1))-AVERAGE(OFFSET($H$3,0,0,'Données projet'!$E$18+1,1))</f>
        <v>285.8437404763045</v>
      </c>
      <c r="HA141" s="59">
        <f t="shared" si="160"/>
        <v>276.01618888357268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25.161023800705618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25.161023800705618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-1.0286385077051818E-13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315.34103933739129</v>
      </c>
      <c r="T142" s="59">
        <f t="shared" si="142"/>
        <v>165.80901858372513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69.539197682792761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69.539197682792761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-3.4106051316484809E-13</v>
      </c>
      <c r="AJ142" s="13">
        <f>AI142*VLOOKUP('Données projet'!$B$10,Paramètres!$A$1:$I$89,3,0)*VLOOKUP('Données projet'!$B$10,Paramètres!$A$1:$I$89,5,0)</f>
        <v>-2.0395418687257919E-13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317.328615425664</v>
      </c>
      <c r="AO142" s="59">
        <f t="shared" si="144"/>
        <v>324.95872842255744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36.718842320361922</v>
      </c>
      <c r="AV142" s="21">
        <f>EXP(-LN(2)/25)*AV141+(1-EXP(-LN(2)/25))/(LN(2)/25)*Calculateur!AQ142*Calculateur!AS142*VLOOKUP('Données projet'!$B$10,Paramètres!$A$1:$I$89,3,0)*0.475*44/12</f>
        <v>3.785863169358203</v>
      </c>
      <c r="AW142" s="21">
        <f>EXP(-LN(2)/2)*AW141+(1-EXP(-LN(2)/2))/(LN(2)/2)*AQ142*AT142*VLOOKUP('Données projet'!$B$10,Paramètres!$A$1:$I$89,3,0)*0.475*44/12</f>
        <v>3.4595793051382867E-11</v>
      </c>
      <c r="AX142" s="21">
        <f t="shared" si="114"/>
        <v>40.50470548975472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-6.5483618527650828E-14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418.31716673276725</v>
      </c>
      <c r="BJ142" s="59">
        <f t="shared" si="146"/>
        <v>472.37891533957929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28.647112438987957</v>
      </c>
      <c r="BQ142" s="21">
        <f>EXP(-LN(2)/25)*BQ141+(1-EXP(-LN(2)/25))/(LN(2)/25)*Calculateur!BL142*Calculateur!BN142*VLOOKUP('Données projet'!$B$11,Paramètres!$A$1:$I$89,3,0)*0.475*44/12</f>
        <v>3.4535237270595465</v>
      </c>
      <c r="BR142" s="21">
        <f>EXP(-LN(2)/2)*BR141+(1-EXP(-LN(2)/2))/(LN(2)/2)*BL142*BO142*VLOOKUP('Données projet'!$B$11,Paramètres!$A$1:$I$89,3,0)*0.475*44/12</f>
        <v>5.3657778374181123E-11</v>
      </c>
      <c r="BS142" s="22">
        <f t="shared" si="117"/>
        <v>32.100636166101161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1.1368683772161603E-13</v>
      </c>
      <c r="BZ142" s="13">
        <f>BY142*VLOOKUP('Données projet'!$B$12,Paramètres!$A$1:$I$89,3,0)*VLOOKUP('Données projet'!$B$12,Paramètres!$A$1:$I$89,5,0)</f>
        <v>6.6506800067145386E-14</v>
      </c>
      <c r="CA142" s="13">
        <f t="shared" si="147"/>
        <v>1.0476989505385114E-12</v>
      </c>
      <c r="CB142" s="20">
        <f t="shared" si="118"/>
        <v>1.9405750156381857E-12</v>
      </c>
      <c r="CC142" s="59">
        <f t="shared" si="119"/>
        <v>285.28344025620282</v>
      </c>
      <c r="CD142" s="59">
        <f ca="1">AVERAGE(OFFSET($CC$3,0,0,'Données projet'!$E$12+1,1))-AVERAGE(OFFSET($H$3,0,0,'Données projet'!$E$12+1,1))</f>
        <v>184.11352167663844</v>
      </c>
      <c r="CE142" s="59">
        <f t="shared" si="148"/>
        <v>145.86653500981791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20.82543854758406</v>
      </c>
      <c r="CL142" s="21">
        <f>EXP(-LN(2)/25)*CL141+(1-EXP(-LN(2)/25))/(LN(2)/25)*Calculateur!CG142*Calculateur!CI142*VLOOKUP('Données projet'!$B$12,Paramètres!$A$1:$I$89,3,0)*0.475*44/12</f>
        <v>5.4794999942831391</v>
      </c>
      <c r="CM142" s="21">
        <f>EXP(-LN(2)/2)*CM141+(1-EXP(-LN(2)/2))/(LN(2)/2)*CG142*CJ142*VLOOKUP('Données projet'!$B$12,Paramètres!$A$1:$I$89,3,0)*0.475*44/12</f>
        <v>7.9616651744819539E-7</v>
      </c>
      <c r="CN142" s="22">
        <f t="shared" si="120"/>
        <v>26.304939338033716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3.7288888888888891</v>
      </c>
      <c r="CT142" s="12">
        <f>IF('Données projet'!$A$140&gt;35,CT141+CS142-DB141,IF(A142&lt;'Données projet'!$A$140,$CQ$205^A142,IF(A142='Données projet'!$A$140,'Données projet'!$B$140,CT141+CS142-DB141)))</f>
        <v>310.03555555555528</v>
      </c>
      <c r="CU142" s="17">
        <f>CT142*VLOOKUP('Données projet'!$B$13,Paramètres!$A$1:$I$89,3,0)*VLOOKUP('Données projet'!$B$13,Paramètres!$A$1:$I$89,5,0)</f>
        <v>149.12710222222208</v>
      </c>
      <c r="CV142" s="13">
        <f t="shared" si="149"/>
        <v>38.380149138111904</v>
      </c>
      <c r="CW142" s="20">
        <f t="shared" si="121"/>
        <v>326.57512945258168</v>
      </c>
      <c r="CX142" s="59">
        <f t="shared" si="122"/>
        <v>611.85856970878262</v>
      </c>
      <c r="CY142" s="59">
        <f ca="1">AVERAGE(OFFSET($CX$3,0,0,'Données projet'!$E$13+1,1))-AVERAGE(OFFSET($H$3,0,0,'Données projet'!$E$13+1,1))</f>
        <v>303.76035885073708</v>
      </c>
      <c r="CZ142" s="59">
        <f t="shared" si="150"/>
        <v>127.43112562890414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25.368797148913057</v>
      </c>
      <c r="DG142" s="21">
        <f>EXP(-LN(2)/25)*DG141+(1-EXP(-LN(2)/25))/(LN(2)/25)*Calculateur!DB142*Calculateur!DD142*VLOOKUP('Données projet'!$B$13,Paramètres!$A$1:$I$89,3,0)*0.475*44/12</f>
        <v>17.454527533296073</v>
      </c>
      <c r="DH142" s="21">
        <f>EXP(-LN(2)/2)*DH141+(1-EXP(-LN(2)/2))/(LN(2)/2)*DB142*DE142*VLOOKUP('Données projet'!$B$13,Paramètres!$A$1:$I$89,3,0)*0.475*44/12</f>
        <v>1.7180000172388115</v>
      </c>
      <c r="DI142" s="22">
        <f t="shared" si="123"/>
        <v>44.541324699447948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5.6843418860808015E-14</v>
      </c>
      <c r="DP142" s="17">
        <f>DO142*VLOOKUP('Données projet'!$B$14,Paramètres!$A$1:$I$89,3,0)*VLOOKUP('Données projet'!$B$14,Paramètres!$A$1:$I$89,5,0)</f>
        <v>3.2810021366458389E-14</v>
      </c>
      <c r="DQ142" s="13">
        <f t="shared" si="151"/>
        <v>5.6117125884464641E-13</v>
      </c>
      <c r="DR142" s="20">
        <f t="shared" si="124"/>
        <v>1.0345173963676741E-12</v>
      </c>
      <c r="DS142" s="59">
        <f t="shared" si="125"/>
        <v>285.28344025620191</v>
      </c>
      <c r="DT142" s="59">
        <f ca="1">AVERAGE(OFFSET($DS$3,0,0,'Données projet'!$E$14+1,1))-AVERAGE(OFFSET($H$3,0,0,'Données projet'!$E$14+1,1))</f>
        <v>243.65374431792841</v>
      </c>
      <c r="DU142" s="59">
        <f t="shared" si="152"/>
        <v>271.60754570002939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12.453383778856226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12.453383778856226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-4.5474735088646412E-13</v>
      </c>
      <c r="EK142" s="17">
        <f>EJ142*VLOOKUP('Données projet'!$B$15,Paramètres!$A$1:$I$89,3,0)*VLOOKUP('Données projet'!$B$15,Paramètres!$A$1:$I$89,5,0)</f>
        <v>-3.0504452297464016E-13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321.44781099085594</v>
      </c>
      <c r="EP142" s="59">
        <f t="shared" si="154"/>
        <v>201.22243186578183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78.019307560998357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78.019307560998357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2.8421709430404007E-14</v>
      </c>
      <c r="FF142" s="17">
        <f>FE142*VLOOKUP('Données projet'!$B$16,Paramètres!$A$1:$I$89,3,0)*VLOOKUP('Données projet'!$B$16,Paramètres!$A$1:$I$89,5,0)</f>
        <v>2.4829205358400945E-14</v>
      </c>
      <c r="FG142" s="13">
        <f t="shared" si="155"/>
        <v>4.3867331143352915E-13</v>
      </c>
      <c r="FH142" s="20">
        <f t="shared" si="130"/>
        <v>8.0726688341261168E-13</v>
      </c>
      <c r="FI142" s="59">
        <f t="shared" si="131"/>
        <v>285.28344025620169</v>
      </c>
      <c r="FJ142" s="59">
        <f ca="1">AVERAGE(OFFSET($FI$3,0,0,'Données projet'!$E$16+1,1))-AVERAGE(OFFSET($H$3,0,0,'Données projet'!$E$16+1,1))</f>
        <v>285.8437404763045</v>
      </c>
      <c r="FK142" s="59">
        <f t="shared" si="156"/>
        <v>276.01618888357268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24.667631470682938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24.667631470682938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-1.7053025658242404E-13</v>
      </c>
      <c r="GA142" s="17">
        <f>FZ142*VLOOKUP('Données projet'!$B$17,Paramètres!$A$1:$I$89,3,0)*VLOOKUP('Données projet'!$B$17,Paramètres!$A$1:$I$89,5,0)</f>
        <v>-1.3567387213697657E-13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323.01113210765487</v>
      </c>
      <c r="GF142" s="59">
        <f t="shared" si="158"/>
        <v>311.68541696405975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28.317302826492881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28.317302826492881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2.8421709430404007E-14</v>
      </c>
      <c r="GV142" s="17">
        <f>GU142*VLOOKUP('Données projet'!$B$18,Paramètres!$A$1:$I$89,3,0)*VLOOKUP('Données projet'!$B$18,Paramètres!$A$1:$I$89,5,0)</f>
        <v>2.4829205358400945E-14</v>
      </c>
      <c r="GW142" s="13">
        <f t="shared" si="159"/>
        <v>4.3867331143352915E-13</v>
      </c>
      <c r="GX142" s="20">
        <f t="shared" si="136"/>
        <v>8.0726688341261168E-13</v>
      </c>
      <c r="GY142" s="59">
        <f t="shared" si="137"/>
        <v>285.28344025620169</v>
      </c>
      <c r="GZ142" s="59">
        <f ca="1">AVERAGE(OFFSET($GY$3,0,0,'Données projet'!$E$18+1,1))-AVERAGE(OFFSET($H$3,0,0,'Données projet'!$E$18+1,1))</f>
        <v>285.8437404763045</v>
      </c>
      <c r="HA142" s="59">
        <f t="shared" si="160"/>
        <v>276.01618888357268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24.667631470682938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24.667631470682938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-1.0286385077051818E-13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315.34103933739129</v>
      </c>
      <c r="T143" s="59">
        <f t="shared" si="142"/>
        <v>165.80901858372513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68.175576430955672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68.175576430955672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-3.4106051316484809E-13</v>
      </c>
      <c r="AJ143" s="13">
        <f>AI143*VLOOKUP('Données projet'!$B$10,Paramètres!$A$1:$I$89,3,0)*VLOOKUP('Données projet'!$B$10,Paramètres!$A$1:$I$89,5,0)</f>
        <v>-2.0395418687257919E-13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317.328615425664</v>
      </c>
      <c r="AO143" s="59">
        <f t="shared" si="144"/>
        <v>324.95872842255744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35.998808218741992</v>
      </c>
      <c r="AV143" s="21">
        <f>EXP(-LN(2)/25)*AV142+(1-EXP(-LN(2)/25))/(LN(2)/25)*Calculateur!AQ143*Calculateur!AS143*VLOOKUP('Données projet'!$B$10,Paramètres!$A$1:$I$89,3,0)*0.475*44/12</f>
        <v>3.6823385419022117</v>
      </c>
      <c r="AW143" s="21">
        <f>EXP(-LN(2)/2)*AW142+(1-EXP(-LN(2)/2))/(LN(2)/2)*AQ143*AT143*VLOOKUP('Données projet'!$B$10,Paramètres!$A$1:$I$89,3,0)*0.475*44/12</f>
        <v>2.4462919867159267E-11</v>
      </c>
      <c r="AX143" s="21">
        <f t="shared" si="114"/>
        <v>39.681146760668668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-6.5483618527650828E-14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418.31716673276725</v>
      </c>
      <c r="BJ143" s="59">
        <f t="shared" si="146"/>
        <v>472.37891533957929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28.085360037072675</v>
      </c>
      <c r="BQ143" s="21">
        <f>EXP(-LN(2)/25)*BQ142+(1-EXP(-LN(2)/25))/(LN(2)/25)*Calculateur!BL143*Calculateur!BN143*VLOOKUP('Données projet'!$B$11,Paramètres!$A$1:$I$89,3,0)*0.475*44/12</f>
        <v>3.3590869391301834</v>
      </c>
      <c r="BR143" s="21">
        <f>EXP(-LN(2)/2)*BR142+(1-EXP(-LN(2)/2))/(LN(2)/2)*BL143*BO143*VLOOKUP('Données projet'!$B$11,Paramètres!$A$1:$I$89,3,0)*0.475*44/12</f>
        <v>3.7941778951788353E-11</v>
      </c>
      <c r="BS143" s="22">
        <f t="shared" si="117"/>
        <v>31.444446976240801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1.1368683772161603E-13</v>
      </c>
      <c r="BZ143" s="13">
        <f>BY143*VLOOKUP('Données projet'!$B$12,Paramètres!$A$1:$I$89,3,0)*VLOOKUP('Données projet'!$B$12,Paramètres!$A$1:$I$89,5,0)</f>
        <v>6.6506800067145386E-14</v>
      </c>
      <c r="CA143" s="13">
        <f t="shared" si="147"/>
        <v>1.0476989505385114E-12</v>
      </c>
      <c r="CB143" s="20">
        <f t="shared" si="118"/>
        <v>1.9405750156381857E-12</v>
      </c>
      <c r="CC143" s="59">
        <f t="shared" si="119"/>
        <v>285.42308790422629</v>
      </c>
      <c r="CD143" s="59">
        <f ca="1">AVERAGE(OFFSET($CC$3,0,0,'Données projet'!$E$12+1,1))-AVERAGE(OFFSET($H$3,0,0,'Données projet'!$E$12+1,1))</f>
        <v>184.11352167663844</v>
      </c>
      <c r="CE143" s="59">
        <f t="shared" si="148"/>
        <v>145.86653500981791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20.417064399929206</v>
      </c>
      <c r="CL143" s="21">
        <f>EXP(-LN(2)/25)*CL142+(1-EXP(-LN(2)/25))/(LN(2)/25)*Calculateur!CG143*Calculateur!CI143*VLOOKUP('Données projet'!$B$12,Paramètres!$A$1:$I$89,3,0)*0.475*44/12</f>
        <v>5.3296627787850852</v>
      </c>
      <c r="CM143" s="21">
        <f>EXP(-LN(2)/2)*CM142+(1-EXP(-LN(2)/2))/(LN(2)/2)*CG143*CJ143*VLOOKUP('Données projet'!$B$12,Paramètres!$A$1:$I$89,3,0)*0.475*44/12</f>
        <v>5.6297474344129667E-7</v>
      </c>
      <c r="CN143" s="22">
        <f t="shared" si="120"/>
        <v>25.746727741689035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3.7288888888888891</v>
      </c>
      <c r="CT143" s="12">
        <f>IF('Données projet'!$A$140&gt;35,CT142+CS143-DB142,IF(A143&lt;'Données projet'!$A$140,$CQ$205^A143,IF(A143='Données projet'!$A$140,'Données projet'!$B$140,CT142+CS143-DB142)))</f>
        <v>313.76444444444417</v>
      </c>
      <c r="CU143" s="17">
        <f>CT143*VLOOKUP('Données projet'!$B$13,Paramètres!$A$1:$I$89,3,0)*VLOOKUP('Données projet'!$B$13,Paramètres!$A$1:$I$89,5,0)</f>
        <v>150.92069777777763</v>
      </c>
      <c r="CV143" s="13">
        <f t="shared" si="149"/>
        <v>38.787742920769922</v>
      </c>
      <c r="CW143" s="20">
        <f t="shared" si="121"/>
        <v>330.4088675499703</v>
      </c>
      <c r="CX143" s="59">
        <f t="shared" si="122"/>
        <v>615.83195545419471</v>
      </c>
      <c r="CY143" s="59">
        <f ca="1">AVERAGE(OFFSET($CX$3,0,0,'Données projet'!$E$13+1,1))-AVERAGE(OFFSET($H$3,0,0,'Données projet'!$E$13+1,1))</f>
        <v>303.76035885073708</v>
      </c>
      <c r="CZ143" s="59">
        <f t="shared" si="150"/>
        <v>127.43112562890414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24.871330510261256</v>
      </c>
      <c r="DG143" s="21">
        <f>EXP(-LN(2)/25)*DG142+(1-EXP(-LN(2)/25))/(LN(2)/25)*Calculateur!DB143*Calculateur!DD143*VLOOKUP('Données projet'!$B$13,Paramètres!$A$1:$I$89,3,0)*0.475*44/12</f>
        <v>16.977232560004381</v>
      </c>
      <c r="DH143" s="21">
        <f>EXP(-LN(2)/2)*DH142+(1-EXP(-LN(2)/2))/(LN(2)/2)*DB143*DE143*VLOOKUP('Données projet'!$B$13,Paramètres!$A$1:$I$89,3,0)*0.475*44/12</f>
        <v>1.2148094622681691</v>
      </c>
      <c r="DI143" s="22">
        <f t="shared" si="123"/>
        <v>43.063372532533812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5.6843418860808015E-14</v>
      </c>
      <c r="DP143" s="17">
        <f>DO143*VLOOKUP('Données projet'!$B$14,Paramètres!$A$1:$I$89,3,0)*VLOOKUP('Données projet'!$B$14,Paramètres!$A$1:$I$89,5,0)</f>
        <v>3.2810021366458389E-14</v>
      </c>
      <c r="DQ143" s="13">
        <f t="shared" si="151"/>
        <v>5.6117125884464641E-13</v>
      </c>
      <c r="DR143" s="20">
        <f t="shared" si="124"/>
        <v>1.0345173963676741E-12</v>
      </c>
      <c r="DS143" s="59">
        <f t="shared" si="125"/>
        <v>285.42308790422538</v>
      </c>
      <c r="DT143" s="59">
        <f ca="1">AVERAGE(OFFSET($DS$3,0,0,'Données projet'!$E$14+1,1))-AVERAGE(OFFSET($H$3,0,0,'Données projet'!$E$14+1,1))</f>
        <v>243.65374431792841</v>
      </c>
      <c r="DU143" s="59">
        <f t="shared" si="152"/>
        <v>271.60754570002939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12.209180518766937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12.209180518766937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-4.5474735088646412E-13</v>
      </c>
      <c r="EK143" s="17">
        <f>EJ143*VLOOKUP('Données projet'!$B$15,Paramètres!$A$1:$I$89,3,0)*VLOOKUP('Données projet'!$B$15,Paramètres!$A$1:$I$89,5,0)</f>
        <v>-3.0504452297464016E-13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321.44781099085594</v>
      </c>
      <c r="EP143" s="59">
        <f t="shared" si="154"/>
        <v>201.22243186578183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76.489396526805962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76.489396526805962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2.8421709430404007E-14</v>
      </c>
      <c r="FF143" s="17">
        <f>FE143*VLOOKUP('Données projet'!$B$16,Paramètres!$A$1:$I$89,3,0)*VLOOKUP('Données projet'!$B$16,Paramètres!$A$1:$I$89,5,0)</f>
        <v>2.4829205358400945E-14</v>
      </c>
      <c r="FG143" s="13">
        <f t="shared" si="155"/>
        <v>4.3867331143352915E-13</v>
      </c>
      <c r="FH143" s="20">
        <f t="shared" si="130"/>
        <v>8.0726688341261168E-13</v>
      </c>
      <c r="FI143" s="59">
        <f t="shared" si="131"/>
        <v>285.42308790422516</v>
      </c>
      <c r="FJ143" s="59">
        <f ca="1">AVERAGE(OFFSET($FI$3,0,0,'Données projet'!$E$16+1,1))-AVERAGE(OFFSET($H$3,0,0,'Données projet'!$E$16+1,1))</f>
        <v>285.8437404763045</v>
      </c>
      <c r="FK143" s="59">
        <f t="shared" si="156"/>
        <v>276.01618888357268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24.183914263312396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24.183914263312396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-1.7053025658242404E-13</v>
      </c>
      <c r="GA143" s="17">
        <f>FZ143*VLOOKUP('Données projet'!$B$17,Paramètres!$A$1:$I$89,3,0)*VLOOKUP('Données projet'!$B$17,Paramètres!$A$1:$I$89,5,0)</f>
        <v>-1.3567387213697657E-13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323.01113210765487</v>
      </c>
      <c r="GF143" s="59">
        <f t="shared" si="158"/>
        <v>311.68541696405975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27.762017789914626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27.762017789914626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2.8421709430404007E-14</v>
      </c>
      <c r="GV143" s="17">
        <f>GU143*VLOOKUP('Données projet'!$B$18,Paramètres!$A$1:$I$89,3,0)*VLOOKUP('Données projet'!$B$18,Paramètres!$A$1:$I$89,5,0)</f>
        <v>2.4829205358400945E-14</v>
      </c>
      <c r="GW143" s="13">
        <f t="shared" si="159"/>
        <v>4.3867331143352915E-13</v>
      </c>
      <c r="GX143" s="20">
        <f t="shared" si="136"/>
        <v>8.0726688341261168E-13</v>
      </c>
      <c r="GY143" s="59">
        <f t="shared" si="137"/>
        <v>285.42308790422516</v>
      </c>
      <c r="GZ143" s="59">
        <f ca="1">AVERAGE(OFFSET($GY$3,0,0,'Données projet'!$E$18+1,1))-AVERAGE(OFFSET($H$3,0,0,'Données projet'!$E$18+1,1))</f>
        <v>285.8437404763045</v>
      </c>
      <c r="HA143" s="59">
        <f t="shared" si="160"/>
        <v>276.01618888357268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24.183914263312396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24.183914263312396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-1.0286385077051818E-13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315.34103933739129</v>
      </c>
      <c r="T144" s="59">
        <f t="shared" si="142"/>
        <v>165.80901858372513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66.838694960140273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66.838694960140273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-3.4106051316484809E-13</v>
      </c>
      <c r="AJ144" s="13">
        <f>AI144*VLOOKUP('Données projet'!$B$10,Paramètres!$A$1:$I$89,3,0)*VLOOKUP('Données projet'!$B$10,Paramètres!$A$1:$I$89,5,0)</f>
        <v>-2.0395418687257919E-13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317.328615425664</v>
      </c>
      <c r="AO144" s="59">
        <f t="shared" si="144"/>
        <v>324.95872842255744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35.292893546677391</v>
      </c>
      <c r="AV144" s="21">
        <f>EXP(-LN(2)/25)*AV143+(1-EXP(-LN(2)/25))/(LN(2)/25)*Calculateur!AQ144*Calculateur!AS144*VLOOKUP('Données projet'!$B$10,Paramètres!$A$1:$I$89,3,0)*0.475*44/12</f>
        <v>3.5816448008281281</v>
      </c>
      <c r="AW144" s="21">
        <f>EXP(-LN(2)/2)*AW143+(1-EXP(-LN(2)/2))/(LN(2)/2)*AQ144*AT144*VLOOKUP('Données projet'!$B$10,Paramètres!$A$1:$I$89,3,0)*0.475*44/12</f>
        <v>1.7297896525691433E-11</v>
      </c>
      <c r="AX144" s="21">
        <f t="shared" si="114"/>
        <v>38.874538347522815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-6.5483618527650828E-14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418.31716673276725</v>
      </c>
      <c r="BJ144" s="59">
        <f t="shared" si="146"/>
        <v>472.37891533957929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27.534623257123819</v>
      </c>
      <c r="BQ144" s="21">
        <f>EXP(-LN(2)/25)*BQ143+(1-EXP(-LN(2)/25))/(LN(2)/25)*Calculateur!BL144*Calculateur!BN144*VLOOKUP('Données projet'!$B$11,Paramètres!$A$1:$I$89,3,0)*0.475*44/12</f>
        <v>3.2672325301329637</v>
      </c>
      <c r="BR144" s="21">
        <f>EXP(-LN(2)/2)*BR143+(1-EXP(-LN(2)/2))/(LN(2)/2)*BL144*BO144*VLOOKUP('Données projet'!$B$11,Paramètres!$A$1:$I$89,3,0)*0.475*44/12</f>
        <v>2.6828889187090562E-11</v>
      </c>
      <c r="BS144" s="22">
        <f t="shared" si="117"/>
        <v>30.801855787283614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1.1368683772161603E-13</v>
      </c>
      <c r="BZ144" s="13">
        <f>BY144*VLOOKUP('Données projet'!$B$12,Paramètres!$A$1:$I$89,3,0)*VLOOKUP('Données projet'!$B$12,Paramètres!$A$1:$I$89,5,0)</f>
        <v>6.6506800067145386E-14</v>
      </c>
      <c r="CA144" s="13">
        <f t="shared" si="147"/>
        <v>1.0476989505385114E-12</v>
      </c>
      <c r="CB144" s="20">
        <f t="shared" si="118"/>
        <v>1.9405750156381857E-12</v>
      </c>
      <c r="CC144" s="59">
        <f t="shared" si="119"/>
        <v>285.56031297776195</v>
      </c>
      <c r="CD144" s="59">
        <f ca="1">AVERAGE(OFFSET($CC$3,0,0,'Données projet'!$E$12+1,1))-AVERAGE(OFFSET($H$3,0,0,'Données projet'!$E$12+1,1))</f>
        <v>184.11352167663844</v>
      </c>
      <c r="CE144" s="59">
        <f t="shared" si="148"/>
        <v>145.86653500981791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20.016698220226228</v>
      </c>
      <c r="CL144" s="21">
        <f>EXP(-LN(2)/25)*CL143+(1-EXP(-LN(2)/25))/(LN(2)/25)*Calculateur!CG144*Calculateur!CI144*VLOOKUP('Données projet'!$B$12,Paramètres!$A$1:$I$89,3,0)*0.475*44/12</f>
        <v>5.1839228698244222</v>
      </c>
      <c r="CM144" s="21">
        <f>EXP(-LN(2)/2)*CM143+(1-EXP(-LN(2)/2))/(LN(2)/2)*CG144*CJ144*VLOOKUP('Données projet'!$B$12,Paramètres!$A$1:$I$89,3,0)*0.475*44/12</f>
        <v>3.980832587240977E-7</v>
      </c>
      <c r="CN144" s="22">
        <f t="shared" si="120"/>
        <v>25.200621488133908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3.7288888888888891</v>
      </c>
      <c r="CT144" s="12">
        <f>IF('Données projet'!$A$140&gt;35,CT143+CS144-DB143,IF(A144&lt;'Données projet'!$A$140,$CQ$205^A144,IF(A144='Données projet'!$A$140,'Données projet'!$B$140,CT143+CS144-DB143)))</f>
        <v>317.49333333333306</v>
      </c>
      <c r="CU144" s="17">
        <f>CT144*VLOOKUP('Données projet'!$B$13,Paramètres!$A$1:$I$89,3,0)*VLOOKUP('Données projet'!$B$13,Paramètres!$A$1:$I$89,5,0)</f>
        <v>152.71429333333322</v>
      </c>
      <c r="CV144" s="13">
        <f t="shared" si="149"/>
        <v>39.194773238741298</v>
      </c>
      <c r="CW144" s="20">
        <f t="shared" si="121"/>
        <v>334.24162427969645</v>
      </c>
      <c r="CX144" s="59">
        <f t="shared" si="122"/>
        <v>619.80193725745653</v>
      </c>
      <c r="CY144" s="59">
        <f ca="1">AVERAGE(OFFSET($CX$3,0,0,'Données projet'!$E$13+1,1))-AVERAGE(OFFSET($H$3,0,0,'Données projet'!$E$13+1,1))</f>
        <v>303.76035885073708</v>
      </c>
      <c r="CZ144" s="59">
        <f t="shared" si="150"/>
        <v>127.43112562890414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24.38361888896873</v>
      </c>
      <c r="DG144" s="21">
        <f>EXP(-LN(2)/25)*DG143+(1-EXP(-LN(2)/25))/(LN(2)/25)*Calculateur!DB144*Calculateur!DD144*VLOOKUP('Données projet'!$B$13,Paramètres!$A$1:$I$89,3,0)*0.475*44/12</f>
        <v>16.512989242857202</v>
      </c>
      <c r="DH144" s="21">
        <f>EXP(-LN(2)/2)*DH143+(1-EXP(-LN(2)/2))/(LN(2)/2)*DB144*DE144*VLOOKUP('Données projet'!$B$13,Paramètres!$A$1:$I$89,3,0)*0.475*44/12</f>
        <v>0.85900000861940573</v>
      </c>
      <c r="DI144" s="22">
        <f t="shared" si="123"/>
        <v>41.755608140445332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5.6843418860808015E-14</v>
      </c>
      <c r="DP144" s="17">
        <f>DO144*VLOOKUP('Données projet'!$B$14,Paramètres!$A$1:$I$89,3,0)*VLOOKUP('Données projet'!$B$14,Paramètres!$A$1:$I$89,5,0)</f>
        <v>3.2810021366458389E-14</v>
      </c>
      <c r="DQ144" s="13">
        <f t="shared" si="151"/>
        <v>5.6117125884464641E-13</v>
      </c>
      <c r="DR144" s="20">
        <f t="shared" si="124"/>
        <v>1.0345173963676741E-12</v>
      </c>
      <c r="DS144" s="59">
        <f t="shared" si="125"/>
        <v>285.56031297776104</v>
      </c>
      <c r="DT144" s="59">
        <f ca="1">AVERAGE(OFFSET($DS$3,0,0,'Données projet'!$E$14+1,1))-AVERAGE(OFFSET($H$3,0,0,'Données projet'!$E$14+1,1))</f>
        <v>243.65374431792841</v>
      </c>
      <c r="DU144" s="59">
        <f t="shared" si="152"/>
        <v>271.60754570002939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11.969765935658717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11.969765935658717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-4.5474735088646412E-13</v>
      </c>
      <c r="EK144" s="17">
        <f>EJ144*VLOOKUP('Données projet'!$B$15,Paramètres!$A$1:$I$89,3,0)*VLOOKUP('Données projet'!$B$15,Paramètres!$A$1:$I$89,5,0)</f>
        <v>-3.0504452297464016E-13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321.44781099085594</v>
      </c>
      <c r="EP144" s="59">
        <f t="shared" si="154"/>
        <v>201.22243186578183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74.989486114840489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74.989486114840489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2.8421709430404007E-14</v>
      </c>
      <c r="FF144" s="17">
        <f>FE144*VLOOKUP('Données projet'!$B$16,Paramètres!$A$1:$I$89,3,0)*VLOOKUP('Données projet'!$B$16,Paramètres!$A$1:$I$89,5,0)</f>
        <v>2.4829205358400945E-14</v>
      </c>
      <c r="FG144" s="13">
        <f t="shared" si="155"/>
        <v>4.3867331143352915E-13</v>
      </c>
      <c r="FH144" s="20">
        <f t="shared" si="130"/>
        <v>8.0726688341261168E-13</v>
      </c>
      <c r="FI144" s="59">
        <f t="shared" si="131"/>
        <v>285.56031297776082</v>
      </c>
      <c r="FJ144" s="59">
        <f ca="1">AVERAGE(OFFSET($FI$3,0,0,'Données projet'!$E$16+1,1))-AVERAGE(OFFSET($H$3,0,0,'Données projet'!$E$16+1,1))</f>
        <v>285.8437404763045</v>
      </c>
      <c r="FK144" s="59">
        <f t="shared" si="156"/>
        <v>276.01618888357268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23.709682455340026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23.709682455340026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-1.7053025658242404E-13</v>
      </c>
      <c r="GA144" s="17">
        <f>FZ144*VLOOKUP('Données projet'!$B$17,Paramètres!$A$1:$I$89,3,0)*VLOOKUP('Données projet'!$B$17,Paramètres!$A$1:$I$89,5,0)</f>
        <v>-1.3567387213697657E-13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323.01113210765487</v>
      </c>
      <c r="GF144" s="59">
        <f t="shared" si="158"/>
        <v>311.68541696405975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27.217621554213242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27.217621554213242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2.8421709430404007E-14</v>
      </c>
      <c r="GV144" s="17">
        <f>GU144*VLOOKUP('Données projet'!$B$18,Paramètres!$A$1:$I$89,3,0)*VLOOKUP('Données projet'!$B$18,Paramètres!$A$1:$I$89,5,0)</f>
        <v>2.4829205358400945E-14</v>
      </c>
      <c r="GW144" s="13">
        <f t="shared" si="159"/>
        <v>4.3867331143352915E-13</v>
      </c>
      <c r="GX144" s="20">
        <f t="shared" si="136"/>
        <v>8.0726688341261168E-13</v>
      </c>
      <c r="GY144" s="59">
        <f t="shared" si="137"/>
        <v>285.56031297776082</v>
      </c>
      <c r="GZ144" s="59">
        <f ca="1">AVERAGE(OFFSET($GY$3,0,0,'Données projet'!$E$18+1,1))-AVERAGE(OFFSET($H$3,0,0,'Données projet'!$E$18+1,1))</f>
        <v>285.8437404763045</v>
      </c>
      <c r="HA144" s="59">
        <f t="shared" si="160"/>
        <v>276.01618888357268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23.709682455340026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23.709682455340026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-1.0286385077051818E-13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315.34103933739129</v>
      </c>
      <c r="T145" s="59">
        <f t="shared" si="142"/>
        <v>165.80901858372513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65.52802891955038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65.52802891955038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-3.4106051316484809E-13</v>
      </c>
      <c r="AJ145" s="13">
        <f>AI145*VLOOKUP('Données projet'!$B$10,Paramètres!$A$1:$I$89,3,0)*VLOOKUP('Données projet'!$B$10,Paramètres!$A$1:$I$89,5,0)</f>
        <v>-2.0395418687257919E-13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317.328615425664</v>
      </c>
      <c r="AO145" s="59">
        <f t="shared" si="144"/>
        <v>324.95872842255744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34.600821430766544</v>
      </c>
      <c r="AV145" s="21">
        <f>EXP(-LN(2)/25)*AV144+(1-EXP(-LN(2)/25))/(LN(2)/25)*Calculateur!AQ145*Calculateur!AS145*VLOOKUP('Données projet'!$B$10,Paramètres!$A$1:$I$89,3,0)*0.475*44/12</f>
        <v>3.4837045353989686</v>
      </c>
      <c r="AW145" s="21">
        <f>EXP(-LN(2)/2)*AW144+(1-EXP(-LN(2)/2))/(LN(2)/2)*AQ145*AT145*VLOOKUP('Données projet'!$B$10,Paramètres!$A$1:$I$89,3,0)*0.475*44/12</f>
        <v>1.2231459933579633E-11</v>
      </c>
      <c r="AX145" s="21">
        <f t="shared" si="114"/>
        <v>38.084525966177743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-6.5483618527650828E-14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418.31716673276725</v>
      </c>
      <c r="BJ145" s="59">
        <f t="shared" si="146"/>
        <v>472.37891533957929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26.994686089513493</v>
      </c>
      <c r="BQ145" s="21">
        <f>EXP(-LN(2)/25)*BQ144+(1-EXP(-LN(2)/25))/(LN(2)/25)*Calculateur!BL145*Calculateur!BN145*VLOOKUP('Données projet'!$B$11,Paramètres!$A$1:$I$89,3,0)*0.475*44/12</f>
        <v>3.1778898847801864</v>
      </c>
      <c r="BR145" s="21">
        <f>EXP(-LN(2)/2)*BR144+(1-EXP(-LN(2)/2))/(LN(2)/2)*BL145*BO145*VLOOKUP('Données projet'!$B$11,Paramètres!$A$1:$I$89,3,0)*0.475*44/12</f>
        <v>1.8970889475894176E-11</v>
      </c>
      <c r="BS145" s="22">
        <f t="shared" si="117"/>
        <v>30.17257597431265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1.1368683772161603E-13</v>
      </c>
      <c r="BZ145" s="13">
        <f>BY145*VLOOKUP('Données projet'!$B$12,Paramètres!$A$1:$I$89,3,0)*VLOOKUP('Données projet'!$B$12,Paramètres!$A$1:$I$89,5,0)</f>
        <v>6.6506800067145386E-14</v>
      </c>
      <c r="CA145" s="13">
        <f t="shared" si="147"/>
        <v>1.0476989505385114E-12</v>
      </c>
      <c r="CB145" s="20">
        <f t="shared" si="118"/>
        <v>1.9405750156381857E-12</v>
      </c>
      <c r="CC145" s="59">
        <f t="shared" si="119"/>
        <v>285.69515750306101</v>
      </c>
      <c r="CD145" s="59">
        <f ca="1">AVERAGE(OFFSET($CC$3,0,0,'Données projet'!$E$12+1,1))-AVERAGE(OFFSET($H$3,0,0,'Données projet'!$E$12+1,1))</f>
        <v>184.11352167663844</v>
      </c>
      <c r="CE145" s="59">
        <f t="shared" si="148"/>
        <v>145.86653500981791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19.624182977107971</v>
      </c>
      <c r="CL145" s="21">
        <f>EXP(-LN(2)/25)*CL144+(1-EXP(-LN(2)/25))/(LN(2)/25)*Calculateur!CG145*Calculateur!CI145*VLOOKUP('Données projet'!$B$12,Paramètres!$A$1:$I$89,3,0)*0.475*44/12</f>
        <v>5.0421682263384175</v>
      </c>
      <c r="CM145" s="21">
        <f>EXP(-LN(2)/2)*CM144+(1-EXP(-LN(2)/2))/(LN(2)/2)*CG145*CJ145*VLOOKUP('Données projet'!$B$12,Paramètres!$A$1:$I$89,3,0)*0.475*44/12</f>
        <v>2.8148737172064833E-7</v>
      </c>
      <c r="CN145" s="22">
        <f t="shared" si="120"/>
        <v>24.66635148493376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3.7288888888888891</v>
      </c>
      <c r="CT145" s="12">
        <f>IF('Données projet'!$A$140&gt;35,CT144+CS145-DB144,IF(A145&lt;'Données projet'!$A$140,$CQ$205^A145,IF(A145='Données projet'!$A$140,'Données projet'!$B$140,CT144+CS145-DB144)))</f>
        <v>321.22222222222194</v>
      </c>
      <c r="CU145" s="17">
        <f>CT145*VLOOKUP('Données projet'!$B$13,Paramètres!$A$1:$I$89,3,0)*VLOOKUP('Données projet'!$B$13,Paramètres!$A$1:$I$89,5,0)</f>
        <v>154.50788888888877</v>
      </c>
      <c r="CV145" s="13">
        <f t="shared" si="149"/>
        <v>39.601247475395752</v>
      </c>
      <c r="CW145" s="20">
        <f t="shared" si="121"/>
        <v>338.07341250112887</v>
      </c>
      <c r="CX145" s="59">
        <f t="shared" si="122"/>
        <v>623.76857000418795</v>
      </c>
      <c r="CY145" s="59">
        <f ca="1">AVERAGE(OFFSET($CX$3,0,0,'Données projet'!$E$13+1,1))-AVERAGE(OFFSET($H$3,0,0,'Données projet'!$E$13+1,1))</f>
        <v>303.76035885073708</v>
      </c>
      <c r="CZ145" s="59">
        <f t="shared" si="150"/>
        <v>127.43112562890414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23.905470995095033</v>
      </c>
      <c r="DG145" s="21">
        <f>EXP(-LN(2)/25)*DG144+(1-EXP(-LN(2)/25))/(LN(2)/25)*Calculateur!DB145*Calculateur!DD145*VLOOKUP('Données projet'!$B$13,Paramètres!$A$1:$I$89,3,0)*0.475*44/12</f>
        <v>16.061440683630909</v>
      </c>
      <c r="DH145" s="21">
        <f>EXP(-LN(2)/2)*DH144+(1-EXP(-LN(2)/2))/(LN(2)/2)*DB145*DE145*VLOOKUP('Données projet'!$B$13,Paramètres!$A$1:$I$89,3,0)*0.475*44/12</f>
        <v>0.60740473113408455</v>
      </c>
      <c r="DI145" s="22">
        <f t="shared" si="123"/>
        <v>40.574316409860025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5.6843418860808015E-14</v>
      </c>
      <c r="DP145" s="17">
        <f>DO145*VLOOKUP('Données projet'!$B$14,Paramètres!$A$1:$I$89,3,0)*VLOOKUP('Données projet'!$B$14,Paramètres!$A$1:$I$89,5,0)</f>
        <v>3.2810021366458389E-14</v>
      </c>
      <c r="DQ145" s="13">
        <f t="shared" si="151"/>
        <v>5.6117125884464641E-13</v>
      </c>
      <c r="DR145" s="20">
        <f t="shared" si="124"/>
        <v>1.0345173963676741E-12</v>
      </c>
      <c r="DS145" s="59">
        <f t="shared" si="125"/>
        <v>285.6951575030601</v>
      </c>
      <c r="DT145" s="59">
        <f ca="1">AVERAGE(OFFSET($DS$3,0,0,'Données projet'!$E$14+1,1))-AVERAGE(OFFSET($H$3,0,0,'Données projet'!$E$14+1,1))</f>
        <v>243.65374431792841</v>
      </c>
      <c r="DU145" s="59">
        <f t="shared" si="152"/>
        <v>271.60754570002939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11.735046126496773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11.735046126496773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-4.5474735088646412E-13</v>
      </c>
      <c r="EK145" s="17">
        <f>EJ145*VLOOKUP('Données projet'!$B$15,Paramètres!$A$1:$I$89,3,0)*VLOOKUP('Données projet'!$B$15,Paramètres!$A$1:$I$89,5,0)</f>
        <v>-3.0504452297464016E-13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321.44781099085594</v>
      </c>
      <c r="EP145" s="59">
        <f t="shared" si="154"/>
        <v>201.22243186578183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73.518988031198631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73.518988031198631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2.8421709430404007E-14</v>
      </c>
      <c r="FF145" s="17">
        <f>FE145*VLOOKUP('Données projet'!$B$16,Paramètres!$A$1:$I$89,3,0)*VLOOKUP('Données projet'!$B$16,Paramètres!$A$1:$I$89,5,0)</f>
        <v>2.4829205358400945E-14</v>
      </c>
      <c r="FG145" s="13">
        <f t="shared" si="155"/>
        <v>4.3867331143352915E-13</v>
      </c>
      <c r="FH145" s="20">
        <f t="shared" si="130"/>
        <v>8.0726688341261168E-13</v>
      </c>
      <c r="FI145" s="59">
        <f t="shared" si="131"/>
        <v>285.69515750305987</v>
      </c>
      <c r="FJ145" s="59">
        <f ca="1">AVERAGE(OFFSET($FI$3,0,0,'Données projet'!$E$16+1,1))-AVERAGE(OFFSET($H$3,0,0,'Données projet'!$E$16+1,1))</f>
        <v>285.8437404763045</v>
      </c>
      <c r="FK145" s="59">
        <f t="shared" si="156"/>
        <v>276.01618888357268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23.244750043869153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23.244750043869153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-1.7053025658242404E-13</v>
      </c>
      <c r="GA145" s="17">
        <f>FZ145*VLOOKUP('Données projet'!$B$17,Paramètres!$A$1:$I$89,3,0)*VLOOKUP('Données projet'!$B$17,Paramètres!$A$1:$I$89,5,0)</f>
        <v>-1.3567387213697657E-13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323.01113210765487</v>
      </c>
      <c r="GF145" s="59">
        <f t="shared" si="158"/>
        <v>311.68541696405975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26.683900596645046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26.683900596645046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2.8421709430404007E-14</v>
      </c>
      <c r="GV145" s="17">
        <f>GU145*VLOOKUP('Données projet'!$B$18,Paramètres!$A$1:$I$89,3,0)*VLOOKUP('Données projet'!$B$18,Paramètres!$A$1:$I$89,5,0)</f>
        <v>2.4829205358400945E-14</v>
      </c>
      <c r="GW145" s="13">
        <f t="shared" si="159"/>
        <v>4.3867331143352915E-13</v>
      </c>
      <c r="GX145" s="20">
        <f t="shared" si="136"/>
        <v>8.0726688341261168E-13</v>
      </c>
      <c r="GY145" s="59">
        <f t="shared" si="137"/>
        <v>285.69515750305987</v>
      </c>
      <c r="GZ145" s="59">
        <f ca="1">AVERAGE(OFFSET($GY$3,0,0,'Données projet'!$E$18+1,1))-AVERAGE(OFFSET($H$3,0,0,'Données projet'!$E$18+1,1))</f>
        <v>285.8437404763045</v>
      </c>
      <c r="HA145" s="59">
        <f t="shared" si="160"/>
        <v>276.01618888357268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23.244750043869153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23.244750043869153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-1.0286385077051818E-13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315.34103933739129</v>
      </c>
      <c r="T146" s="59">
        <f t="shared" si="142"/>
        <v>165.80901858372513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64.243064240589106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64.243064240589106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-3.4106051316484809E-13</v>
      </c>
      <c r="AJ146" s="13">
        <f>AI146*VLOOKUP('Données projet'!$B$10,Paramètres!$A$1:$I$89,3,0)*VLOOKUP('Données projet'!$B$10,Paramètres!$A$1:$I$89,5,0)</f>
        <v>-2.0395418687257919E-13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317.328615425664</v>
      </c>
      <c r="AO146" s="59">
        <f t="shared" si="144"/>
        <v>324.95872842255744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33.922320426926397</v>
      </c>
      <c r="AV146" s="21">
        <f>EXP(-LN(2)/25)*AV145+(1-EXP(-LN(2)/25))/(LN(2)/25)*Calculateur!AQ146*Calculateur!AS146*VLOOKUP('Données projet'!$B$10,Paramètres!$A$1:$I$89,3,0)*0.475*44/12</f>
        <v>3.3884424516784244</v>
      </c>
      <c r="AW146" s="21">
        <f>EXP(-LN(2)/2)*AW145+(1-EXP(-LN(2)/2))/(LN(2)/2)*AQ146*AT146*VLOOKUP('Données projet'!$B$10,Paramètres!$A$1:$I$89,3,0)*0.475*44/12</f>
        <v>8.6489482628457167E-12</v>
      </c>
      <c r="AX146" s="21">
        <f t="shared" si="114"/>
        <v>37.310762878613467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-6.5483618527650828E-14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418.31716673276725</v>
      </c>
      <c r="BJ146" s="59">
        <f t="shared" si="146"/>
        <v>472.37891533957929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26.465336760430851</v>
      </c>
      <c r="BQ146" s="21">
        <f>EXP(-LN(2)/25)*BQ145+(1-EXP(-LN(2)/25))/(LN(2)/25)*Calculateur!BL146*Calculateur!BN146*VLOOKUP('Données projet'!$B$11,Paramètres!$A$1:$I$89,3,0)*0.475*44/12</f>
        <v>3.0909903187629064</v>
      </c>
      <c r="BR146" s="21">
        <f>EXP(-LN(2)/2)*BR145+(1-EXP(-LN(2)/2))/(LN(2)/2)*BL146*BO146*VLOOKUP('Données projet'!$B$11,Paramètres!$A$1:$I$89,3,0)*0.475*44/12</f>
        <v>1.3414444593545281E-11</v>
      </c>
      <c r="BS146" s="22">
        <f t="shared" si="117"/>
        <v>29.556327079207172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1.1368683772161603E-13</v>
      </c>
      <c r="BZ146" s="13">
        <f>BY146*VLOOKUP('Données projet'!$B$12,Paramètres!$A$1:$I$89,3,0)*VLOOKUP('Données projet'!$B$12,Paramètres!$A$1:$I$89,5,0)</f>
        <v>6.6506800067145386E-14</v>
      </c>
      <c r="CA146" s="13">
        <f t="shared" si="147"/>
        <v>1.0476989505385114E-12</v>
      </c>
      <c r="CB146" s="20">
        <f t="shared" si="118"/>
        <v>1.9405750156381857E-12</v>
      </c>
      <c r="CC146" s="59">
        <f t="shared" si="119"/>
        <v>285.82766277731338</v>
      </c>
      <c r="CD146" s="59">
        <f ca="1">AVERAGE(OFFSET($CC$3,0,0,'Données projet'!$E$12+1,1))-AVERAGE(OFFSET($H$3,0,0,'Données projet'!$E$12+1,1))</f>
        <v>184.11352167663844</v>
      </c>
      <c r="CE146" s="59">
        <f t="shared" si="148"/>
        <v>145.86653500981791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19.239364718496603</v>
      </c>
      <c r="CL146" s="21">
        <f>EXP(-LN(2)/25)*CL145+(1-EXP(-LN(2)/25))/(LN(2)/25)*Calculateur!CG146*Calculateur!CI146*VLOOKUP('Données projet'!$B$12,Paramètres!$A$1:$I$89,3,0)*0.475*44/12</f>
        <v>4.9042898710330904</v>
      </c>
      <c r="CM146" s="21">
        <f>EXP(-LN(2)/2)*CM145+(1-EXP(-LN(2)/2))/(LN(2)/2)*CG146*CJ146*VLOOKUP('Données projet'!$B$12,Paramètres!$A$1:$I$89,3,0)*0.475*44/12</f>
        <v>1.9904162936204885E-7</v>
      </c>
      <c r="CN146" s="22">
        <f t="shared" si="120"/>
        <v>24.143654788571322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3.7288888888888891</v>
      </c>
      <c r="CT146" s="12">
        <f>IF('Données projet'!$A$140&gt;35,CT145+CS146-DB145,IF(A146&lt;'Données projet'!$A$140,$CQ$205^A146,IF(A146='Données projet'!$A$140,'Données projet'!$B$140,CT145+CS146-DB145)))</f>
        <v>324.95111111111083</v>
      </c>
      <c r="CU146" s="17">
        <f>CT146*VLOOKUP('Données projet'!$B$13,Paramètres!$A$1:$I$89,3,0)*VLOOKUP('Données projet'!$B$13,Paramètres!$A$1:$I$89,5,0)</f>
        <v>156.3014844444443</v>
      </c>
      <c r="CV146" s="13">
        <f t="shared" si="149"/>
        <v>40.007172832817908</v>
      </c>
      <c r="CW146" s="20">
        <f t="shared" si="121"/>
        <v>341.90424475789831</v>
      </c>
      <c r="CX146" s="59">
        <f t="shared" si="122"/>
        <v>627.73190753520976</v>
      </c>
      <c r="CY146" s="59">
        <f ca="1">AVERAGE(OFFSET($CX$3,0,0,'Données projet'!$E$13+1,1))-AVERAGE(OFFSET($H$3,0,0,'Données projet'!$E$13+1,1))</f>
        <v>303.76035885073708</v>
      </c>
      <c r="CZ146" s="59">
        <f t="shared" si="150"/>
        <v>127.43112562890414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23.436699289778783</v>
      </c>
      <c r="DG146" s="21">
        <f>EXP(-LN(2)/25)*DG145+(1-EXP(-LN(2)/25))/(LN(2)/25)*Calculateur!DB146*Calculateur!DD146*VLOOKUP('Données projet'!$B$13,Paramètres!$A$1:$I$89,3,0)*0.475*44/12</f>
        <v>15.622239743502565</v>
      </c>
      <c r="DH146" s="21">
        <f>EXP(-LN(2)/2)*DH145+(1-EXP(-LN(2)/2))/(LN(2)/2)*DB146*DE146*VLOOKUP('Données projet'!$B$13,Paramètres!$A$1:$I$89,3,0)*0.475*44/12</f>
        <v>0.42950000430970287</v>
      </c>
      <c r="DI146" s="22">
        <f t="shared" si="123"/>
        <v>39.48843903759105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5.6843418860808015E-14</v>
      </c>
      <c r="DP146" s="17">
        <f>DO146*VLOOKUP('Données projet'!$B$14,Paramètres!$A$1:$I$89,3,0)*VLOOKUP('Données projet'!$B$14,Paramètres!$A$1:$I$89,5,0)</f>
        <v>3.2810021366458389E-14</v>
      </c>
      <c r="DQ146" s="13">
        <f t="shared" si="151"/>
        <v>5.6117125884464641E-13</v>
      </c>
      <c r="DR146" s="20">
        <f t="shared" si="124"/>
        <v>1.0345173963676741E-12</v>
      </c>
      <c r="DS146" s="59">
        <f t="shared" si="125"/>
        <v>285.82766277731247</v>
      </c>
      <c r="DT146" s="59">
        <f ca="1">AVERAGE(OFFSET($DS$3,0,0,'Données projet'!$E$14+1,1))-AVERAGE(OFFSET($H$3,0,0,'Données projet'!$E$14+1,1))</f>
        <v>243.65374431792841</v>
      </c>
      <c r="DU146" s="59">
        <f t="shared" si="152"/>
        <v>271.60754570002939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11.504929029627547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11.504929029627547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-4.5474735088646412E-13</v>
      </c>
      <c r="EK146" s="17">
        <f>EJ146*VLOOKUP('Données projet'!$B$15,Paramètres!$A$1:$I$89,3,0)*VLOOKUP('Données projet'!$B$15,Paramètres!$A$1:$I$89,5,0)</f>
        <v>-3.0504452297464016E-13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321.44781099085594</v>
      </c>
      <c r="EP146" s="59">
        <f t="shared" si="154"/>
        <v>201.22243186578183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72.077325518061727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72.077325518061727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2.8421709430404007E-14</v>
      </c>
      <c r="FF146" s="17">
        <f>FE146*VLOOKUP('Données projet'!$B$16,Paramètres!$A$1:$I$89,3,0)*VLOOKUP('Données projet'!$B$16,Paramètres!$A$1:$I$89,5,0)</f>
        <v>2.4829205358400945E-14</v>
      </c>
      <c r="FG146" s="13">
        <f t="shared" si="155"/>
        <v>4.3867331143352915E-13</v>
      </c>
      <c r="FH146" s="20">
        <f t="shared" si="130"/>
        <v>8.0726688341261168E-13</v>
      </c>
      <c r="FI146" s="59">
        <f t="shared" si="131"/>
        <v>285.82766277731224</v>
      </c>
      <c r="FJ146" s="59">
        <f ca="1">AVERAGE(OFFSET($FI$3,0,0,'Données projet'!$E$16+1,1))-AVERAGE(OFFSET($H$3,0,0,'Données projet'!$E$16+1,1))</f>
        <v>285.8437404763045</v>
      </c>
      <c r="FK146" s="59">
        <f t="shared" si="156"/>
        <v>276.01618888357268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22.788934673406455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22.788934673406455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-1.7053025658242404E-13</v>
      </c>
      <c r="GA146" s="17">
        <f>FZ146*VLOOKUP('Données projet'!$B$17,Paramètres!$A$1:$I$89,3,0)*VLOOKUP('Données projet'!$B$17,Paramètres!$A$1:$I$89,5,0)</f>
        <v>-1.3567387213697657E-13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323.01113210765487</v>
      </c>
      <c r="GF146" s="59">
        <f t="shared" si="158"/>
        <v>311.68541696405975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26.160645581517119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26.160645581517119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2.8421709430404007E-14</v>
      </c>
      <c r="GV146" s="17">
        <f>GU146*VLOOKUP('Données projet'!$B$18,Paramètres!$A$1:$I$89,3,0)*VLOOKUP('Données projet'!$B$18,Paramètres!$A$1:$I$89,5,0)</f>
        <v>2.4829205358400945E-14</v>
      </c>
      <c r="GW146" s="13">
        <f t="shared" si="159"/>
        <v>4.3867331143352915E-13</v>
      </c>
      <c r="GX146" s="20">
        <f t="shared" si="136"/>
        <v>8.0726688341261168E-13</v>
      </c>
      <c r="GY146" s="59">
        <f t="shared" si="137"/>
        <v>285.82766277731224</v>
      </c>
      <c r="GZ146" s="59">
        <f ca="1">AVERAGE(OFFSET($GY$3,0,0,'Données projet'!$E$18+1,1))-AVERAGE(OFFSET($H$3,0,0,'Données projet'!$E$18+1,1))</f>
        <v>285.8437404763045</v>
      </c>
      <c r="HA146" s="59">
        <f t="shared" si="160"/>
        <v>276.01618888357268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22.788934673406455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22.788934673406455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-1.0286385077051818E-13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315.34103933739129</v>
      </c>
      <c r="T147" s="59">
        <f t="shared" si="142"/>
        <v>165.80901858372513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62.983296935231202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62.983296935231202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-3.4106051316484809E-13</v>
      </c>
      <c r="AJ147" s="13">
        <f>AI147*VLOOKUP('Données projet'!$B$10,Paramètres!$A$1:$I$89,3,0)*VLOOKUP('Données projet'!$B$10,Paramètres!$A$1:$I$89,5,0)</f>
        <v>-2.0395418687257919E-13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317.328615425664</v>
      </c>
      <c r="AO147" s="59">
        <f t="shared" si="144"/>
        <v>324.95872842255744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33.25712441392681</v>
      </c>
      <c r="AV147" s="21">
        <f>EXP(-LN(2)/25)*AV146+(1-EXP(-LN(2)/25))/(LN(2)/25)*Calculateur!AQ147*Calculateur!AS147*VLOOKUP('Données projet'!$B$10,Paramètres!$A$1:$I$89,3,0)*0.475*44/12</f>
        <v>3.2957853146468339</v>
      </c>
      <c r="AW147" s="21">
        <f>EXP(-LN(2)/2)*AW146+(1-EXP(-LN(2)/2))/(LN(2)/2)*AQ147*AT147*VLOOKUP('Données projet'!$B$10,Paramètres!$A$1:$I$89,3,0)*0.475*44/12</f>
        <v>6.1157299667898166E-12</v>
      </c>
      <c r="AX147" s="21">
        <f t="shared" si="114"/>
        <v>36.552909728579763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-6.5483618527650828E-14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418.31716673276725</v>
      </c>
      <c r="BJ147" s="59">
        <f t="shared" si="146"/>
        <v>472.37891533957929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25.94636764882031</v>
      </c>
      <c r="BQ147" s="21">
        <f>EXP(-LN(2)/25)*BQ146+(1-EXP(-LN(2)/25))/(LN(2)/25)*Calculateur!BL147*Calculateur!BN147*VLOOKUP('Données projet'!$B$11,Paramètres!$A$1:$I$89,3,0)*0.475*44/12</f>
        <v>3.0064670259482185</v>
      </c>
      <c r="BR147" s="21">
        <f>EXP(-LN(2)/2)*BR146+(1-EXP(-LN(2)/2))/(LN(2)/2)*BL147*BO147*VLOOKUP('Données projet'!$B$11,Paramètres!$A$1:$I$89,3,0)*0.475*44/12</f>
        <v>9.4854447379470882E-12</v>
      </c>
      <c r="BS147" s="22">
        <f t="shared" si="117"/>
        <v>28.952834674778014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1.1368683772161603E-13</v>
      </c>
      <c r="BZ147" s="13">
        <f>BY147*VLOOKUP('Données projet'!$B$12,Paramètres!$A$1:$I$89,3,0)*VLOOKUP('Données projet'!$B$12,Paramètres!$A$1:$I$89,5,0)</f>
        <v>6.6506800067145386E-14</v>
      </c>
      <c r="CA147" s="13">
        <f t="shared" si="147"/>
        <v>1.0476989505385114E-12</v>
      </c>
      <c r="CB147" s="20">
        <f t="shared" si="118"/>
        <v>1.9405750156381857E-12</v>
      </c>
      <c r="CC147" s="59">
        <f t="shared" si="119"/>
        <v>285.95786938129481</v>
      </c>
      <c r="CD147" s="59">
        <f ca="1">AVERAGE(OFFSET($CC$3,0,0,'Données projet'!$E$12+1,1))-AVERAGE(OFFSET($H$3,0,0,'Données projet'!$E$12+1,1))</f>
        <v>184.11352167663844</v>
      </c>
      <c r="CE147" s="59">
        <f t="shared" si="148"/>
        <v>145.86653500981791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18.862092511220641</v>
      </c>
      <c r="CL147" s="21">
        <f>EXP(-LN(2)/25)*CL146+(1-EXP(-LN(2)/25))/(LN(2)/25)*Calculateur!CG147*Calculateur!CI147*VLOOKUP('Données projet'!$B$12,Paramètres!$A$1:$I$89,3,0)*0.475*44/12</f>
        <v>4.7701818066042954</v>
      </c>
      <c r="CM147" s="21">
        <f>EXP(-LN(2)/2)*CM146+(1-EXP(-LN(2)/2))/(LN(2)/2)*CG147*CJ147*VLOOKUP('Données projet'!$B$12,Paramètres!$A$1:$I$89,3,0)*0.475*44/12</f>
        <v>1.4074368586032417E-7</v>
      </c>
      <c r="CN147" s="22">
        <f t="shared" si="120"/>
        <v>23.632274458568624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328.68</v>
      </c>
      <c r="CR147" s="12">
        <f>VLOOKUP(A147,'Données projet'!$A$139:$I$159,9,0)</f>
        <v>3.7288888888888891</v>
      </c>
      <c r="CS147" s="12">
        <f t="array" ref="CS147">INDEX(CR:CR,MIN(IF(ISNUMBER(CR147:CR343),ROW(CR147:CR343),"")))</f>
        <v>3.7288888888888891</v>
      </c>
      <c r="CT147" s="12">
        <f>IF('Données projet'!$A$140&gt;35,CT146+CS147-DB146,IF(A147&lt;'Données projet'!$A$140,$CQ$205^A147,IF(A147='Données projet'!$A$140,'Données projet'!$B$140,CT146+CS147-DB146)))</f>
        <v>328.67999999999972</v>
      </c>
      <c r="CU147" s="17">
        <f>CT147*VLOOKUP('Données projet'!$B$13,Paramètres!$A$1:$I$89,3,0)*VLOOKUP('Données projet'!$B$13,Paramètres!$A$1:$I$89,5,0)</f>
        <v>158.09507999999988</v>
      </c>
      <c r="CV147" s="13">
        <f t="shared" si="149"/>
        <v>40.412556338286649</v>
      </c>
      <c r="CW147" s="20">
        <f t="shared" si="121"/>
        <v>345.73413328918241</v>
      </c>
      <c r="CX147" s="59">
        <f t="shared" si="122"/>
        <v>631.69200267047529</v>
      </c>
      <c r="CY147" s="59">
        <f ca="1">AVERAGE(OFFSET($CX$3,0,0,'Données projet'!$E$13+1,1))-AVERAGE(OFFSET($H$3,0,0,'Données projet'!$E$13+1,1))</f>
        <v>303.76035885073708</v>
      </c>
      <c r="CZ147" s="59">
        <f t="shared" si="150"/>
        <v>127.43112562890414</v>
      </c>
      <c r="DA147" s="15">
        <f>IF(ISNA(VLOOKUP(A147,'Données projet'!$A$139:$I$159,3,0)),0,VLOOKUP(A147,'Données projet'!$A$139:$I$159,3,0))</f>
        <v>15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0.33</v>
      </c>
      <c r="DD147" s="16">
        <f>IF(ISNA(VLOOKUP(A147,'Données projet'!$A$139:$I$159,6,0)),0%,VLOOKUP(A147,'Données projet'!$A$139:$I$159,6,0)*VLOOKUP('Données projet'!$B$13,Paramètres!$A$1:$I$89,7,0))</f>
        <v>0.12100000000000001</v>
      </c>
      <c r="DE147" s="16">
        <f>IF(ISNA(VLOOKUP(A147,'Données projet'!$A$139:$I$159,7,0)),0%,VLOOKUP(A147,'Données projet'!$A$139:$I$159,7,0))</f>
        <v>0.18</v>
      </c>
      <c r="DF147" s="21">
        <f>EXP(-LN(2)/35)*DF146+(1-EXP(-LN(2)/35))/(LN(2)/35)*DB147*DC147*VLOOKUP('Données projet'!$B$13,Paramètres!$A$1:$I$89,3,0)*0.475*44/12</f>
        <v>22.977119911681278</v>
      </c>
      <c r="DG147" s="21">
        <f>EXP(-LN(2)/25)*DG146+(1-EXP(-LN(2)/25))/(LN(2)/25)*Calculateur!DB147*Calculateur!DD147*VLOOKUP('Données projet'!$B$13,Paramètres!$A$1:$I$89,3,0)*0.475*44/12</f>
        <v>15.195048776178604</v>
      </c>
      <c r="DH147" s="21">
        <f>EXP(-LN(2)/2)*DH146+(1-EXP(-LN(2)/2))/(LN(2)/2)*DB147*DE147*VLOOKUP('Données projet'!$B$13,Paramètres!$A$1:$I$89,3,0)*0.475*44/12</f>
        <v>0.30370236556704228</v>
      </c>
      <c r="DI147" s="22">
        <f t="shared" si="123"/>
        <v>38.475871053426921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5.6843418860808015E-14</v>
      </c>
      <c r="DP147" s="17">
        <f>DO147*VLOOKUP('Données projet'!$B$14,Paramètres!$A$1:$I$89,3,0)*VLOOKUP('Données projet'!$B$14,Paramètres!$A$1:$I$89,5,0)</f>
        <v>3.2810021366458389E-14</v>
      </c>
      <c r="DQ147" s="13">
        <f t="shared" si="151"/>
        <v>5.6117125884464641E-13</v>
      </c>
      <c r="DR147" s="20">
        <f t="shared" si="124"/>
        <v>1.0345173963676741E-12</v>
      </c>
      <c r="DS147" s="59">
        <f t="shared" si="125"/>
        <v>285.9578693812939</v>
      </c>
      <c r="DT147" s="59">
        <f ca="1">AVERAGE(OFFSET($DS$3,0,0,'Données projet'!$E$14+1,1))-AVERAGE(OFFSET($H$3,0,0,'Données projet'!$E$14+1,1))</f>
        <v>243.65374431792841</v>
      </c>
      <c r="DU147" s="59">
        <f t="shared" si="152"/>
        <v>271.60754570002939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11.279324388670357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11.279324388670357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-4.5474735088646412E-13</v>
      </c>
      <c r="EK147" s="17">
        <f>EJ147*VLOOKUP('Données projet'!$B$15,Paramètres!$A$1:$I$89,3,0)*VLOOKUP('Données projet'!$B$15,Paramètres!$A$1:$I$89,5,0)</f>
        <v>-3.0504452297464016E-13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321.44781099085594</v>
      </c>
      <c r="EP147" s="59">
        <f t="shared" si="154"/>
        <v>201.22243186578183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70.663933127480135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70.663933127480135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2.8421709430404007E-14</v>
      </c>
      <c r="FF147" s="17">
        <f>FE147*VLOOKUP('Données projet'!$B$16,Paramètres!$A$1:$I$89,3,0)*VLOOKUP('Données projet'!$B$16,Paramètres!$A$1:$I$89,5,0)</f>
        <v>2.4829205358400945E-14</v>
      </c>
      <c r="FG147" s="13">
        <f t="shared" si="155"/>
        <v>4.3867331143352915E-13</v>
      </c>
      <c r="FH147" s="20">
        <f t="shared" si="130"/>
        <v>8.0726688341261168E-13</v>
      </c>
      <c r="FI147" s="59">
        <f t="shared" si="131"/>
        <v>285.95786938129368</v>
      </c>
      <c r="FJ147" s="59">
        <f ca="1">AVERAGE(OFFSET($FI$3,0,0,'Données projet'!$E$16+1,1))-AVERAGE(OFFSET($H$3,0,0,'Données projet'!$E$16+1,1))</f>
        <v>285.8437404763045</v>
      </c>
      <c r="FK147" s="59">
        <f t="shared" si="156"/>
        <v>276.01618888357268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22.342057564338607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22.342057564338607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-1.7053025658242404E-13</v>
      </c>
      <c r="GA147" s="17">
        <f>FZ147*VLOOKUP('Données projet'!$B$17,Paramètres!$A$1:$I$89,3,0)*VLOOKUP('Données projet'!$B$17,Paramètres!$A$1:$I$89,5,0)</f>
        <v>-1.3567387213697657E-13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323.01113210765487</v>
      </c>
      <c r="GF147" s="59">
        <f t="shared" si="158"/>
        <v>311.68541696405975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25.64765127808181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25.64765127808181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2.8421709430404007E-14</v>
      </c>
      <c r="GV147" s="17">
        <f>GU147*VLOOKUP('Données projet'!$B$18,Paramètres!$A$1:$I$89,3,0)*VLOOKUP('Données projet'!$B$18,Paramètres!$A$1:$I$89,5,0)</f>
        <v>2.4829205358400945E-14</v>
      </c>
      <c r="GW147" s="13">
        <f t="shared" si="159"/>
        <v>4.3867331143352915E-13</v>
      </c>
      <c r="GX147" s="20">
        <f t="shared" si="136"/>
        <v>8.0726688341261168E-13</v>
      </c>
      <c r="GY147" s="59">
        <f t="shared" si="137"/>
        <v>285.95786938129368</v>
      </c>
      <c r="GZ147" s="59">
        <f ca="1">AVERAGE(OFFSET($GY$3,0,0,'Données projet'!$E$18+1,1))-AVERAGE(OFFSET($H$3,0,0,'Données projet'!$E$18+1,1))</f>
        <v>285.8437404763045</v>
      </c>
      <c r="HA147" s="59">
        <f t="shared" si="160"/>
        <v>276.01618888357268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22.342057564338607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22.342057564338607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-1.0286385077051818E-13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315.34103933739129</v>
      </c>
      <c r="T148" s="59">
        <f t="shared" si="142"/>
        <v>165.80901858372513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61.74823289834918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61.74823289834918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-3.4106051316484809E-13</v>
      </c>
      <c r="AJ148" s="13">
        <f>AI148*VLOOKUP('Données projet'!$B$10,Paramètres!$A$1:$I$89,3,0)*VLOOKUP('Données projet'!$B$10,Paramètres!$A$1:$I$89,5,0)</f>
        <v>-2.0395418687257919E-13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317.328615425664</v>
      </c>
      <c r="AO148" s="59">
        <f t="shared" si="144"/>
        <v>324.95872842255744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32.604972489012638</v>
      </c>
      <c r="AV148" s="21">
        <f>EXP(-LN(2)/25)*AV147+(1-EXP(-LN(2)/25))/(LN(2)/25)*Calculateur!AQ148*Calculateur!AS148*VLOOKUP('Données projet'!$B$10,Paramètres!$A$1:$I$89,3,0)*0.475*44/12</f>
        <v>3.2056618918999993</v>
      </c>
      <c r="AW148" s="21">
        <f>EXP(-LN(2)/2)*AW147+(1-EXP(-LN(2)/2))/(LN(2)/2)*AQ148*AT148*VLOOKUP('Données projet'!$B$10,Paramètres!$A$1:$I$89,3,0)*0.475*44/12</f>
        <v>4.3244741314228583E-12</v>
      </c>
      <c r="AX148" s="21">
        <f t="shared" si="114"/>
        <v>35.810634380916966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-6.5483618527650828E-14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418.31716673276725</v>
      </c>
      <c r="BJ148" s="59">
        <f t="shared" si="146"/>
        <v>472.37891533957929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25.437575204948548</v>
      </c>
      <c r="BQ148" s="21">
        <f>EXP(-LN(2)/25)*BQ147+(1-EXP(-LN(2)/25))/(LN(2)/25)*Calculateur!BL148*Calculateur!BN148*VLOOKUP('Données projet'!$B$11,Paramètres!$A$1:$I$89,3,0)*0.475*44/12</f>
        <v>2.9242550270204348</v>
      </c>
      <c r="BR148" s="21">
        <f>EXP(-LN(2)/2)*BR147+(1-EXP(-LN(2)/2))/(LN(2)/2)*BL148*BO148*VLOOKUP('Données projet'!$B$11,Paramètres!$A$1:$I$89,3,0)*0.475*44/12</f>
        <v>6.7072222967726404E-12</v>
      </c>
      <c r="BS148" s="22">
        <f t="shared" si="117"/>
        <v>28.361830231975691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1.1368683772161603E-13</v>
      </c>
      <c r="BZ148" s="13">
        <f>BY148*VLOOKUP('Données projet'!$B$12,Paramètres!$A$1:$I$89,3,0)*VLOOKUP('Données projet'!$B$12,Paramètres!$A$1:$I$89,5,0)</f>
        <v>6.6506800067145386E-14</v>
      </c>
      <c r="CA148" s="13">
        <f t="shared" si="147"/>
        <v>1.0476989505385114E-12</v>
      </c>
      <c r="CB148" s="20">
        <f t="shared" si="118"/>
        <v>1.9405750156381857E-12</v>
      </c>
      <c r="CC148" s="59">
        <f t="shared" si="119"/>
        <v>286.08581719179551</v>
      </c>
      <c r="CD148" s="59">
        <f ca="1">AVERAGE(OFFSET($CC$3,0,0,'Données projet'!$E$12+1,1))-AVERAGE(OFFSET($H$3,0,0,'Données projet'!$E$12+1,1))</f>
        <v>184.11352167663844</v>
      </c>
      <c r="CE148" s="59">
        <f t="shared" si="148"/>
        <v>145.86653500981791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18.492218381816038</v>
      </c>
      <c r="CL148" s="21">
        <f>EXP(-LN(2)/25)*CL147+(1-EXP(-LN(2)/25))/(LN(2)/25)*Calculateur!CG148*Calculateur!CI148*VLOOKUP('Données projet'!$B$12,Paramètres!$A$1:$I$89,3,0)*0.475*44/12</f>
        <v>4.6397409342497422</v>
      </c>
      <c r="CM148" s="21">
        <f>EXP(-LN(2)/2)*CM147+(1-EXP(-LN(2)/2))/(LN(2)/2)*CG148*CJ148*VLOOKUP('Données projet'!$B$12,Paramètres!$A$1:$I$89,3,0)*0.475*44/12</f>
        <v>9.9520814681024424E-8</v>
      </c>
      <c r="CN148" s="22">
        <f t="shared" si="120"/>
        <v>23.131959415586596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3.6333333333333351</v>
      </c>
      <c r="CT148" s="12">
        <f>IF('Données projet'!$A$140&gt;35,CT147+CS148-DB147,IF(A148&lt;'Données projet'!$A$140,$CQ$205^A148,IF(A148='Données projet'!$A$140,'Données projet'!$B$140,CT147+CS148-DB147)))</f>
        <v>332.31333333333305</v>
      </c>
      <c r="CU148" s="17">
        <f>CT148*VLOOKUP('Données projet'!$B$13,Paramètres!$A$1:$I$89,3,0)*VLOOKUP('Données projet'!$B$13,Paramètres!$A$1:$I$89,5,0)</f>
        <v>159.84271333333319</v>
      </c>
      <c r="CV148" s="13">
        <f t="shared" si="149"/>
        <v>40.807036929531847</v>
      </c>
      <c r="CW148" s="20">
        <f t="shared" si="121"/>
        <v>349.46498170782326</v>
      </c>
      <c r="CX148" s="59">
        <f t="shared" si="122"/>
        <v>635.55079889961689</v>
      </c>
      <c r="CY148" s="59">
        <f ca="1">AVERAGE(OFFSET($CX$3,0,0,'Données projet'!$E$13+1,1))-AVERAGE(OFFSET($H$3,0,0,'Données projet'!$E$13+1,1))</f>
        <v>303.76035885073708</v>
      </c>
      <c r="CZ148" s="59">
        <f t="shared" si="150"/>
        <v>127.43112562890414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22.526552604872521</v>
      </c>
      <c r="DG148" s="21">
        <f>EXP(-LN(2)/25)*DG147+(1-EXP(-LN(2)/25))/(LN(2)/25)*Calculateur!DB148*Calculateur!DD148*VLOOKUP('Données projet'!$B$13,Paramètres!$A$1:$I$89,3,0)*0.475*44/12</f>
        <v>14.779539368321114</v>
      </c>
      <c r="DH148" s="21">
        <f>EXP(-LN(2)/2)*DH147+(1-EXP(-LN(2)/2))/(LN(2)/2)*DB148*DE148*VLOOKUP('Données projet'!$B$13,Paramètres!$A$1:$I$89,3,0)*0.475*44/12</f>
        <v>0.21475000215485143</v>
      </c>
      <c r="DI148" s="22">
        <f t="shared" si="123"/>
        <v>37.520841975348482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5.6843418860808015E-14</v>
      </c>
      <c r="DP148" s="17">
        <f>DO148*VLOOKUP('Données projet'!$B$14,Paramètres!$A$1:$I$89,3,0)*VLOOKUP('Données projet'!$B$14,Paramètres!$A$1:$I$89,5,0)</f>
        <v>3.2810021366458389E-14</v>
      </c>
      <c r="DQ148" s="13">
        <f t="shared" si="151"/>
        <v>5.6117125884464641E-13</v>
      </c>
      <c r="DR148" s="20">
        <f t="shared" si="124"/>
        <v>1.0345173963676741E-12</v>
      </c>
      <c r="DS148" s="59">
        <f t="shared" si="125"/>
        <v>286.0858171917946</v>
      </c>
      <c r="DT148" s="59">
        <f ca="1">AVERAGE(OFFSET($DS$3,0,0,'Données projet'!$E$14+1,1))-AVERAGE(OFFSET($H$3,0,0,'Données projet'!$E$14+1,1))</f>
        <v>243.65374431792841</v>
      </c>
      <c r="DU148" s="59">
        <f t="shared" si="152"/>
        <v>271.60754570002939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11.058143717117094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11.058143717117094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-4.5474735088646412E-13</v>
      </c>
      <c r="EK148" s="17">
        <f>EJ148*VLOOKUP('Données projet'!$B$15,Paramètres!$A$1:$I$89,3,0)*VLOOKUP('Données projet'!$B$15,Paramètres!$A$1:$I$89,5,0)</f>
        <v>-3.0504452297464016E-13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321.44781099085594</v>
      </c>
      <c r="EP148" s="59">
        <f t="shared" si="154"/>
        <v>201.22243186578183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69.27825649959361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69.27825649959361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2.8421709430404007E-14</v>
      </c>
      <c r="FF148" s="17">
        <f>FE148*VLOOKUP('Données projet'!$B$16,Paramètres!$A$1:$I$89,3,0)*VLOOKUP('Données projet'!$B$16,Paramètres!$A$1:$I$89,5,0)</f>
        <v>2.4829205358400945E-14</v>
      </c>
      <c r="FG148" s="13">
        <f t="shared" si="155"/>
        <v>4.3867331143352915E-13</v>
      </c>
      <c r="FH148" s="20">
        <f t="shared" si="130"/>
        <v>8.0726688341261168E-13</v>
      </c>
      <c r="FI148" s="59">
        <f t="shared" si="131"/>
        <v>286.08581719179438</v>
      </c>
      <c r="FJ148" s="59">
        <f ca="1">AVERAGE(OFFSET($FI$3,0,0,'Données projet'!$E$16+1,1))-AVERAGE(OFFSET($H$3,0,0,'Données projet'!$E$16+1,1))</f>
        <v>285.8437404763045</v>
      </c>
      <c r="FK148" s="59">
        <f t="shared" si="156"/>
        <v>276.01618888357268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21.903943442811457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21.903943442811457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-1.7053025658242404E-13</v>
      </c>
      <c r="GA148" s="17">
        <f>FZ148*VLOOKUP('Données projet'!$B$17,Paramètres!$A$1:$I$89,3,0)*VLOOKUP('Données projet'!$B$17,Paramètres!$A$1:$I$89,5,0)</f>
        <v>-1.3567387213697657E-13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323.01113210765487</v>
      </c>
      <c r="GF148" s="59">
        <f t="shared" si="158"/>
        <v>311.68541696405975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25.144716480041236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25.144716480041236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2.8421709430404007E-14</v>
      </c>
      <c r="GV148" s="17">
        <f>GU148*VLOOKUP('Données projet'!$B$18,Paramètres!$A$1:$I$89,3,0)*VLOOKUP('Données projet'!$B$18,Paramètres!$A$1:$I$89,5,0)</f>
        <v>2.4829205358400945E-14</v>
      </c>
      <c r="GW148" s="13">
        <f t="shared" si="159"/>
        <v>4.3867331143352915E-13</v>
      </c>
      <c r="GX148" s="20">
        <f t="shared" si="136"/>
        <v>8.0726688341261168E-13</v>
      </c>
      <c r="GY148" s="59">
        <f t="shared" si="137"/>
        <v>286.08581719179438</v>
      </c>
      <c r="GZ148" s="59">
        <f ca="1">AVERAGE(OFFSET($GY$3,0,0,'Données projet'!$E$18+1,1))-AVERAGE(OFFSET($H$3,0,0,'Données projet'!$E$18+1,1))</f>
        <v>285.8437404763045</v>
      </c>
      <c r="HA148" s="59">
        <f t="shared" si="160"/>
        <v>276.01618888357268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21.903943442811457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21.903943442811457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-1.0286385077051818E-13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315.34103933739129</v>
      </c>
      <c r="T149" s="59">
        <f t="shared" si="142"/>
        <v>165.80901858372513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60.537387713915734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60.537387713915734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-3.4106051316484809E-13</v>
      </c>
      <c r="AJ149" s="13">
        <f>AI149*VLOOKUP('Données projet'!$B$10,Paramètres!$A$1:$I$89,3,0)*VLOOKUP('Données projet'!$B$10,Paramètres!$A$1:$I$89,5,0)</f>
        <v>-2.0395418687257919E-13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317.328615425664</v>
      </c>
      <c r="AO149" s="59">
        <f t="shared" si="144"/>
        <v>324.95872842255744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31.965608865572634</v>
      </c>
      <c r="AV149" s="21">
        <f>EXP(-LN(2)/25)*AV148+(1-EXP(-LN(2)/25))/(LN(2)/25)*Calculateur!AQ149*Calculateur!AS149*VLOOKUP('Données projet'!$B$10,Paramètres!$A$1:$I$89,3,0)*0.475*44/12</f>
        <v>3.1180028988875614</v>
      </c>
      <c r="AW149" s="21">
        <f>EXP(-LN(2)/2)*AW148+(1-EXP(-LN(2)/2))/(LN(2)/2)*AQ149*AT149*VLOOKUP('Données projet'!$B$10,Paramètres!$A$1:$I$89,3,0)*0.475*44/12</f>
        <v>3.0578649833949083E-12</v>
      </c>
      <c r="AX149" s="21">
        <f t="shared" si="114"/>
        <v>35.083611764463249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-6.5483618527650828E-14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418.31716673276725</v>
      </c>
      <c r="BJ149" s="59">
        <f t="shared" si="146"/>
        <v>472.37891533957929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24.938759870568365</v>
      </c>
      <c r="BQ149" s="21">
        <f>EXP(-LN(2)/25)*BQ148+(1-EXP(-LN(2)/25))/(LN(2)/25)*Calculateur!BL149*Calculateur!BN149*VLOOKUP('Données projet'!$B$11,Paramètres!$A$1:$I$89,3,0)*0.475*44/12</f>
        <v>2.8442911195266727</v>
      </c>
      <c r="BR149" s="21">
        <f>EXP(-LN(2)/2)*BR148+(1-EXP(-LN(2)/2))/(LN(2)/2)*BL149*BO149*VLOOKUP('Données projet'!$B$11,Paramètres!$A$1:$I$89,3,0)*0.475*44/12</f>
        <v>4.7427223689735441E-12</v>
      </c>
      <c r="BS149" s="22">
        <f t="shared" si="117"/>
        <v>27.783050990099781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1.1368683772161603E-13</v>
      </c>
      <c r="BZ149" s="13">
        <f>BY149*VLOOKUP('Données projet'!$B$12,Paramètres!$A$1:$I$89,3,0)*VLOOKUP('Données projet'!$B$12,Paramètres!$A$1:$I$89,5,0)</f>
        <v>6.6506800067145386E-14</v>
      </c>
      <c r="CA149" s="13">
        <f t="shared" si="147"/>
        <v>1.0476989505385114E-12</v>
      </c>
      <c r="CB149" s="20">
        <f t="shared" si="118"/>
        <v>1.9405750156381857E-12</v>
      </c>
      <c r="CC149" s="59">
        <f t="shared" si="119"/>
        <v>286.21154539383258</v>
      </c>
      <c r="CD149" s="59">
        <f ca="1">AVERAGE(OFFSET($CC$3,0,0,'Données projet'!$E$12+1,1))-AVERAGE(OFFSET($H$3,0,0,'Données projet'!$E$12+1,1))</f>
        <v>184.11352167663844</v>
      </c>
      <c r="CE149" s="59">
        <f t="shared" si="148"/>
        <v>145.86653500981791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18.129597258488115</v>
      </c>
      <c r="CL149" s="21">
        <f>EXP(-LN(2)/25)*CL148+(1-EXP(-LN(2)/25))/(LN(2)/25)*Calculateur!CG149*Calculateur!CI149*VLOOKUP('Données projet'!$B$12,Paramètres!$A$1:$I$89,3,0)*0.475*44/12</f>
        <v>4.5128669744093113</v>
      </c>
      <c r="CM149" s="21">
        <f>EXP(-LN(2)/2)*CM148+(1-EXP(-LN(2)/2))/(LN(2)/2)*CG149*CJ149*VLOOKUP('Données projet'!$B$12,Paramètres!$A$1:$I$89,3,0)*0.475*44/12</f>
        <v>7.0371842930162083E-8</v>
      </c>
      <c r="CN149" s="22">
        <f t="shared" si="120"/>
        <v>22.642464303269268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3.6333333333333351</v>
      </c>
      <c r="CT149" s="12">
        <f>IF('Données projet'!$A$140&gt;35,CT148+CS149-DB148,IF(A149&lt;'Données projet'!$A$140,$CQ$205^A149,IF(A149='Données projet'!$A$140,'Données projet'!$B$140,CT148+CS149-DB148)))</f>
        <v>335.94666666666637</v>
      </c>
      <c r="CU149" s="17">
        <f>CT149*VLOOKUP('Données projet'!$B$13,Paramètres!$A$1:$I$89,3,0)*VLOOKUP('Données projet'!$B$13,Paramètres!$A$1:$I$89,5,0)</f>
        <v>161.59034666666653</v>
      </c>
      <c r="CV149" s="13">
        <f t="shared" si="149"/>
        <v>41.201015792100634</v>
      </c>
      <c r="CW149" s="20">
        <f t="shared" si="121"/>
        <v>353.19495628235285</v>
      </c>
      <c r="CX149" s="59">
        <f t="shared" si="122"/>
        <v>639.40650167618355</v>
      </c>
      <c r="CY149" s="59">
        <f ca="1">AVERAGE(OFFSET($CX$3,0,0,'Données projet'!$E$13+1,1))-AVERAGE(OFFSET($H$3,0,0,'Données projet'!$E$13+1,1))</f>
        <v>303.76035885073708</v>
      </c>
      <c r="CZ149" s="59">
        <f t="shared" si="150"/>
        <v>127.43112562890414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22.084820648131362</v>
      </c>
      <c r="DG149" s="21">
        <f>EXP(-LN(2)/25)*DG148+(1-EXP(-LN(2)/25))/(LN(2)/25)*Calculateur!DB149*Calculateur!DD149*VLOOKUP('Données projet'!$B$13,Paramètres!$A$1:$I$89,3,0)*0.475*44/12</f>
        <v>14.375392087072177</v>
      </c>
      <c r="DH149" s="21">
        <f>EXP(-LN(2)/2)*DH148+(1-EXP(-LN(2)/2))/(LN(2)/2)*DB149*DE149*VLOOKUP('Données projet'!$B$13,Paramètres!$A$1:$I$89,3,0)*0.475*44/12</f>
        <v>0.15185118278352114</v>
      </c>
      <c r="DI149" s="22">
        <f t="shared" si="123"/>
        <v>36.612063917987065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5.6843418860808015E-14</v>
      </c>
      <c r="DP149" s="17">
        <f>DO149*VLOOKUP('Données projet'!$B$14,Paramètres!$A$1:$I$89,3,0)*VLOOKUP('Données projet'!$B$14,Paramètres!$A$1:$I$89,5,0)</f>
        <v>3.2810021366458389E-14</v>
      </c>
      <c r="DQ149" s="13">
        <f t="shared" si="151"/>
        <v>5.6117125884464641E-13</v>
      </c>
      <c r="DR149" s="20">
        <f t="shared" si="124"/>
        <v>1.0345173963676741E-12</v>
      </c>
      <c r="DS149" s="59">
        <f t="shared" si="125"/>
        <v>286.21154539383167</v>
      </c>
      <c r="DT149" s="59">
        <f ca="1">AVERAGE(OFFSET($DS$3,0,0,'Données projet'!$E$14+1,1))-AVERAGE(OFFSET($H$3,0,0,'Données projet'!$E$14+1,1))</f>
        <v>243.65374431792841</v>
      </c>
      <c r="DU149" s="59">
        <f t="shared" si="152"/>
        <v>271.60754570002939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10.841300263626101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10.841300263626101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-4.5474735088646412E-13</v>
      </c>
      <c r="EK149" s="17">
        <f>EJ149*VLOOKUP('Données projet'!$B$15,Paramètres!$A$1:$I$89,3,0)*VLOOKUP('Données projet'!$B$15,Paramètres!$A$1:$I$89,5,0)</f>
        <v>-3.0504452297464016E-13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321.44781099085594</v>
      </c>
      <c r="EP149" s="59">
        <f t="shared" si="154"/>
        <v>201.22243186578183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67.919752145200647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67.919752145200647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2.8421709430404007E-14</v>
      </c>
      <c r="FF149" s="17">
        <f>FE149*VLOOKUP('Données projet'!$B$16,Paramètres!$A$1:$I$89,3,0)*VLOOKUP('Données projet'!$B$16,Paramètres!$A$1:$I$89,5,0)</f>
        <v>2.4829205358400945E-14</v>
      </c>
      <c r="FG149" s="13">
        <f t="shared" si="155"/>
        <v>4.3867331143352915E-13</v>
      </c>
      <c r="FH149" s="20">
        <f t="shared" si="130"/>
        <v>8.0726688341261168E-13</v>
      </c>
      <c r="FI149" s="59">
        <f t="shared" si="131"/>
        <v>286.21154539383144</v>
      </c>
      <c r="FJ149" s="59">
        <f ca="1">AVERAGE(OFFSET($FI$3,0,0,'Données projet'!$E$16+1,1))-AVERAGE(OFFSET($H$3,0,0,'Données projet'!$E$16+1,1))</f>
        <v>285.8437404763045</v>
      </c>
      <c r="FK149" s="59">
        <f t="shared" si="156"/>
        <v>276.01618888357268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21.474420471984224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21.474420471984224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-1.7053025658242404E-13</v>
      </c>
      <c r="GA149" s="17">
        <f>FZ149*VLOOKUP('Données projet'!$B$17,Paramètres!$A$1:$I$89,3,0)*VLOOKUP('Données projet'!$B$17,Paramètres!$A$1:$I$89,5,0)</f>
        <v>-1.3567387213697657E-13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323.01113210765487</v>
      </c>
      <c r="GF149" s="59">
        <f t="shared" si="158"/>
        <v>311.68541696405975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24.6516439266303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24.6516439266303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2.8421709430404007E-14</v>
      </c>
      <c r="GV149" s="17">
        <f>GU149*VLOOKUP('Données projet'!$B$18,Paramètres!$A$1:$I$89,3,0)*VLOOKUP('Données projet'!$B$18,Paramètres!$A$1:$I$89,5,0)</f>
        <v>2.4829205358400945E-14</v>
      </c>
      <c r="GW149" s="13">
        <f t="shared" si="159"/>
        <v>4.3867331143352915E-13</v>
      </c>
      <c r="GX149" s="20">
        <f t="shared" si="136"/>
        <v>8.0726688341261168E-13</v>
      </c>
      <c r="GY149" s="59">
        <f t="shared" si="137"/>
        <v>286.21154539383144</v>
      </c>
      <c r="GZ149" s="59">
        <f ca="1">AVERAGE(OFFSET($GY$3,0,0,'Données projet'!$E$18+1,1))-AVERAGE(OFFSET($H$3,0,0,'Données projet'!$E$18+1,1))</f>
        <v>285.8437404763045</v>
      </c>
      <c r="HA149" s="59">
        <f t="shared" si="160"/>
        <v>276.01618888357268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21.474420471984224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21.474420471984224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-1.0286385077051818E-13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315.34103933739129</v>
      </c>
      <c r="T150" s="59">
        <f t="shared" si="142"/>
        <v>165.80901858372513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59.350286465006391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59.350286465006391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-3.4106051316484809E-13</v>
      </c>
      <c r="AJ150" s="13">
        <f>AI150*VLOOKUP('Données projet'!$B$10,Paramètres!$A$1:$I$89,3,0)*VLOOKUP('Données projet'!$B$10,Paramètres!$A$1:$I$89,5,0)</f>
        <v>-2.0395418687257919E-13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317.328615425664</v>
      </c>
      <c r="AO150" s="59">
        <f t="shared" si="144"/>
        <v>324.95872842255744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31.338782772814984</v>
      </c>
      <c r="AV150" s="21">
        <f>EXP(-LN(2)/25)*AV149+(1-EXP(-LN(2)/25))/(LN(2)/25)*Calculateur!AQ150*Calculateur!AS150*VLOOKUP('Données projet'!$B$10,Paramètres!$A$1:$I$89,3,0)*0.475*44/12</f>
        <v>3.0327409456488348</v>
      </c>
      <c r="AW150" s="21">
        <f>EXP(-LN(2)/2)*AW149+(1-EXP(-LN(2)/2))/(LN(2)/2)*AQ150*AT150*VLOOKUP('Données projet'!$B$10,Paramètres!$A$1:$I$89,3,0)*0.475*44/12</f>
        <v>2.1622370657114292E-12</v>
      </c>
      <c r="AX150" s="21">
        <f t="shared" si="114"/>
        <v>34.37152371846598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-6.5483618527650828E-14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418.31716673276725</v>
      </c>
      <c r="BJ150" s="59">
        <f t="shared" si="146"/>
        <v>472.37891533957929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24.449726000648067</v>
      </c>
      <c r="BQ150" s="21">
        <f>EXP(-LN(2)/25)*BQ149+(1-EXP(-LN(2)/25))/(LN(2)/25)*Calculateur!BL150*Calculateur!BN150*VLOOKUP('Données projet'!$B$11,Paramètres!$A$1:$I$89,3,0)*0.475*44/12</f>
        <v>2.7665138292884466</v>
      </c>
      <c r="BR150" s="21">
        <f>EXP(-LN(2)/2)*BR149+(1-EXP(-LN(2)/2))/(LN(2)/2)*BL150*BO150*VLOOKUP('Données projet'!$B$11,Paramètres!$A$1:$I$89,3,0)*0.475*44/12</f>
        <v>3.3536111483863202E-12</v>
      </c>
      <c r="BS150" s="22">
        <f t="shared" si="117"/>
        <v>27.216239829939866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1.1368683772161603E-13</v>
      </c>
      <c r="BZ150" s="13">
        <f>BY150*VLOOKUP('Données projet'!$B$12,Paramètres!$A$1:$I$89,3,0)*VLOOKUP('Données projet'!$B$12,Paramètres!$A$1:$I$89,5,0)</f>
        <v>6.6506800067145386E-14</v>
      </c>
      <c r="CA150" s="13">
        <f t="shared" si="147"/>
        <v>1.0476989505385114E-12</v>
      </c>
      <c r="CB150" s="20">
        <f t="shared" si="118"/>
        <v>1.9405750156381857E-12</v>
      </c>
      <c r="CC150" s="59">
        <f t="shared" si="119"/>
        <v>286.33509249265035</v>
      </c>
      <c r="CD150" s="59">
        <f ca="1">AVERAGE(OFFSET($CC$3,0,0,'Données projet'!$E$12+1,1))-AVERAGE(OFFSET($H$3,0,0,'Données projet'!$E$12+1,1))</f>
        <v>184.11352167663844</v>
      </c>
      <c r="CE150" s="59">
        <f t="shared" si="148"/>
        <v>145.86653500981791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17.774086914211608</v>
      </c>
      <c r="CL150" s="21">
        <f>EXP(-LN(2)/25)*CL149+(1-EXP(-LN(2)/25))/(LN(2)/25)*Calculateur!CG150*Calculateur!CI150*VLOOKUP('Données projet'!$B$12,Paramètres!$A$1:$I$89,3,0)*0.475*44/12</f>
        <v>4.3894623896727287</v>
      </c>
      <c r="CM150" s="21">
        <f>EXP(-LN(2)/2)*CM149+(1-EXP(-LN(2)/2))/(LN(2)/2)*CG150*CJ150*VLOOKUP('Données projet'!$B$12,Paramètres!$A$1:$I$89,3,0)*0.475*44/12</f>
        <v>4.9760407340512212E-8</v>
      </c>
      <c r="CN150" s="22">
        <f t="shared" si="120"/>
        <v>22.163549353644743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3.6333333333333351</v>
      </c>
      <c r="CT150" s="12">
        <f>IF('Données projet'!$A$140&gt;35,CT149+CS150-DB149,IF(A150&lt;'Données projet'!$A$140,$CQ$205^A150,IF(A150='Données projet'!$A$140,'Données projet'!$B$140,CT149+CS150-DB149)))</f>
        <v>339.5799999999997</v>
      </c>
      <c r="CU150" s="17">
        <f>CT150*VLOOKUP('Données projet'!$B$13,Paramètres!$A$1:$I$89,3,0)*VLOOKUP('Données projet'!$B$13,Paramètres!$A$1:$I$89,5,0)</f>
        <v>163.33797999999985</v>
      </c>
      <c r="CV150" s="13">
        <f t="shared" si="149"/>
        <v>41.594498980340418</v>
      </c>
      <c r="CW150" s="20">
        <f t="shared" si="121"/>
        <v>356.92406755742587</v>
      </c>
      <c r="CX150" s="59">
        <f t="shared" si="122"/>
        <v>643.25916005007434</v>
      </c>
      <c r="CY150" s="59">
        <f ca="1">AVERAGE(OFFSET($CX$3,0,0,'Données projet'!$E$13+1,1))-AVERAGE(OFFSET($H$3,0,0,'Données projet'!$E$13+1,1))</f>
        <v>303.76035885073708</v>
      </c>
      <c r="CZ150" s="59">
        <f t="shared" si="150"/>
        <v>127.43112562890414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21.651750785632011</v>
      </c>
      <c r="DG150" s="21">
        <f>EXP(-LN(2)/25)*DG149+(1-EXP(-LN(2)/25))/(LN(2)/25)*Calculateur!DB150*Calculateur!DD150*VLOOKUP('Données projet'!$B$13,Paramètres!$A$1:$I$89,3,0)*0.475*44/12</f>
        <v>13.982296234482174</v>
      </c>
      <c r="DH150" s="21">
        <f>EXP(-LN(2)/2)*DH149+(1-EXP(-LN(2)/2))/(LN(2)/2)*DB150*DE150*VLOOKUP('Données projet'!$B$13,Paramètres!$A$1:$I$89,3,0)*0.475*44/12</f>
        <v>0.10737500107742572</v>
      </c>
      <c r="DI150" s="22">
        <f t="shared" si="123"/>
        <v>35.74142202119161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5.6843418860808015E-14</v>
      </c>
      <c r="DP150" s="17">
        <f>DO150*VLOOKUP('Données projet'!$B$14,Paramètres!$A$1:$I$89,3,0)*VLOOKUP('Données projet'!$B$14,Paramètres!$A$1:$I$89,5,0)</f>
        <v>3.2810021366458389E-14</v>
      </c>
      <c r="DQ150" s="13">
        <f t="shared" si="151"/>
        <v>5.6117125884464641E-13</v>
      </c>
      <c r="DR150" s="20">
        <f t="shared" si="124"/>
        <v>1.0345173963676741E-12</v>
      </c>
      <c r="DS150" s="59">
        <f t="shared" si="125"/>
        <v>286.33509249264944</v>
      </c>
      <c r="DT150" s="59">
        <f ca="1">AVERAGE(OFFSET($DS$3,0,0,'Données projet'!$E$14+1,1))-AVERAGE(OFFSET($H$3,0,0,'Données projet'!$E$14+1,1))</f>
        <v>243.65374431792841</v>
      </c>
      <c r="DU150" s="59">
        <f t="shared" si="152"/>
        <v>271.60754570002939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10.62870897799662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10.62870897799662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-4.5474735088646412E-13</v>
      </c>
      <c r="EK150" s="17">
        <f>EJ150*VLOOKUP('Données projet'!$B$15,Paramètres!$A$1:$I$89,3,0)*VLOOKUP('Données projet'!$B$15,Paramètres!$A$1:$I$89,5,0)</f>
        <v>-3.0504452297464016E-13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321.44781099085594</v>
      </c>
      <c r="EP150" s="59">
        <f t="shared" si="154"/>
        <v>201.22243186578183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66.587887232591498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66.587887232591498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2.8421709430404007E-14</v>
      </c>
      <c r="FF150" s="17">
        <f>FE150*VLOOKUP('Données projet'!$B$16,Paramètres!$A$1:$I$89,3,0)*VLOOKUP('Données projet'!$B$16,Paramètres!$A$1:$I$89,5,0)</f>
        <v>2.4829205358400945E-14</v>
      </c>
      <c r="FG150" s="13">
        <f t="shared" si="155"/>
        <v>4.3867331143352915E-13</v>
      </c>
      <c r="FH150" s="20">
        <f t="shared" si="130"/>
        <v>8.0726688341261168E-13</v>
      </c>
      <c r="FI150" s="59">
        <f t="shared" si="131"/>
        <v>286.33509249264921</v>
      </c>
      <c r="FJ150" s="59">
        <f ca="1">AVERAGE(OFFSET($FI$3,0,0,'Données projet'!$E$16+1,1))-AVERAGE(OFFSET($H$3,0,0,'Données projet'!$E$16+1,1))</f>
        <v>285.8437404763045</v>
      </c>
      <c r="FK150" s="59">
        <f t="shared" si="156"/>
        <v>276.01618888357268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21.053320184631772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21.053320184631772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-1.7053025658242404E-13</v>
      </c>
      <c r="GA150" s="17">
        <f>FZ150*VLOOKUP('Données projet'!$B$17,Paramètres!$A$1:$I$89,3,0)*VLOOKUP('Données projet'!$B$17,Paramètres!$A$1:$I$89,5,0)</f>
        <v>-1.3567387213697657E-13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323.01113210765487</v>
      </c>
      <c r="GF150" s="59">
        <f t="shared" si="158"/>
        <v>311.68541696405975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24.168240225247192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24.168240225247192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2.8421709430404007E-14</v>
      </c>
      <c r="GV150" s="17">
        <f>GU150*VLOOKUP('Données projet'!$B$18,Paramètres!$A$1:$I$89,3,0)*VLOOKUP('Données projet'!$B$18,Paramètres!$A$1:$I$89,5,0)</f>
        <v>2.4829205358400945E-14</v>
      </c>
      <c r="GW150" s="13">
        <f t="shared" si="159"/>
        <v>4.3867331143352915E-13</v>
      </c>
      <c r="GX150" s="20">
        <f t="shared" si="136"/>
        <v>8.0726688341261168E-13</v>
      </c>
      <c r="GY150" s="59">
        <f t="shared" si="137"/>
        <v>286.33509249264921</v>
      </c>
      <c r="GZ150" s="59">
        <f ca="1">AVERAGE(OFFSET($GY$3,0,0,'Données projet'!$E$18+1,1))-AVERAGE(OFFSET($H$3,0,0,'Données projet'!$E$18+1,1))</f>
        <v>285.8437404763045</v>
      </c>
      <c r="HA150" s="59">
        <f t="shared" si="160"/>
        <v>276.01618888357268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21.053320184631772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21.053320184631772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-1.0286385077051818E-13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315.34103933739129</v>
      </c>
      <c r="T151" s="59">
        <f t="shared" si="142"/>
        <v>165.80901858372513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58.186463547527893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58.186463547527893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-3.4106051316484809E-13</v>
      </c>
      <c r="AJ151" s="13">
        <f>AI151*VLOOKUP('Données projet'!$B$10,Paramètres!$A$1:$I$89,3,0)*VLOOKUP('Données projet'!$B$10,Paramètres!$A$1:$I$89,5,0)</f>
        <v>-2.0395418687257919E-13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317.328615425664</v>
      </c>
      <c r="AO151" s="59">
        <f t="shared" si="144"/>
        <v>324.95872842255744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30.724248357410147</v>
      </c>
      <c r="AV151" s="21">
        <f>EXP(-LN(2)/25)*AV150+(1-EXP(-LN(2)/25))/(LN(2)/25)*Calculateur!AQ151*Calculateur!AS151*VLOOKUP('Données projet'!$B$10,Paramètres!$A$1:$I$89,3,0)*0.475*44/12</f>
        <v>2.9498104850051523</v>
      </c>
      <c r="AW151" s="21">
        <f>EXP(-LN(2)/2)*AW150+(1-EXP(-LN(2)/2))/(LN(2)/2)*AQ151*AT151*VLOOKUP('Données projet'!$B$10,Paramètres!$A$1:$I$89,3,0)*0.475*44/12</f>
        <v>1.5289324916974542E-12</v>
      </c>
      <c r="AX151" s="21">
        <f t="shared" si="114"/>
        <v>33.674058842416827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-6.5483618527650828E-14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418.31716673276725</v>
      </c>
      <c r="BJ151" s="59">
        <f t="shared" si="146"/>
        <v>472.37891533957929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23.970281786635695</v>
      </c>
      <c r="BQ151" s="21">
        <f>EXP(-LN(2)/25)*BQ150+(1-EXP(-LN(2)/25))/(LN(2)/25)*Calculateur!BL151*Calculateur!BN151*VLOOKUP('Données projet'!$B$11,Paramètres!$A$1:$I$89,3,0)*0.475*44/12</f>
        <v>2.6908633631419145</v>
      </c>
      <c r="BR151" s="21">
        <f>EXP(-LN(2)/2)*BR150+(1-EXP(-LN(2)/2))/(LN(2)/2)*BL151*BO151*VLOOKUP('Données projet'!$B$11,Paramètres!$A$1:$I$89,3,0)*0.475*44/12</f>
        <v>2.3713611844867721E-12</v>
      </c>
      <c r="BS151" s="22">
        <f t="shared" si="117"/>
        <v>26.66114514977998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1.1368683772161603E-13</v>
      </c>
      <c r="BZ151" s="13">
        <f>BY151*VLOOKUP('Données projet'!$B$12,Paramètres!$A$1:$I$89,3,0)*VLOOKUP('Données projet'!$B$12,Paramètres!$A$1:$I$89,5,0)</f>
        <v>6.6506800067145386E-14</v>
      </c>
      <c r="CA151" s="13">
        <f t="shared" si="147"/>
        <v>1.0476989505385114E-12</v>
      </c>
      <c r="CB151" s="20">
        <f t="shared" si="118"/>
        <v>1.9405750156381857E-12</v>
      </c>
      <c r="CC151" s="59">
        <f t="shared" si="119"/>
        <v>286.45649632551363</v>
      </c>
      <c r="CD151" s="59">
        <f ca="1">AVERAGE(OFFSET($CC$3,0,0,'Données projet'!$E$12+1,1))-AVERAGE(OFFSET($H$3,0,0,'Données projet'!$E$12+1,1))</f>
        <v>184.11352167663844</v>
      </c>
      <c r="CE151" s="59">
        <f t="shared" si="148"/>
        <v>145.86653500981791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17.425547910946463</v>
      </c>
      <c r="CL151" s="21">
        <f>EXP(-LN(2)/25)*CL150+(1-EXP(-LN(2)/25))/(LN(2)/25)*Calculateur!CG151*Calculateur!CI151*VLOOKUP('Données projet'!$B$12,Paramètres!$A$1:$I$89,3,0)*0.475*44/12</f>
        <v>4.2694323097953335</v>
      </c>
      <c r="CM151" s="21">
        <f>EXP(-LN(2)/2)*CM150+(1-EXP(-LN(2)/2))/(LN(2)/2)*CG151*CJ151*VLOOKUP('Données projet'!$B$12,Paramètres!$A$1:$I$89,3,0)*0.475*44/12</f>
        <v>3.5185921465081042E-8</v>
      </c>
      <c r="CN151" s="22">
        <f t="shared" si="120"/>
        <v>21.694980255927717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3.6333333333333351</v>
      </c>
      <c r="CT151" s="12">
        <f>IF('Données projet'!$A$140&gt;35,CT150+CS151-DB150,IF(A151&lt;'Données projet'!$A$140,$CQ$205^A151,IF(A151='Données projet'!$A$140,'Données projet'!$B$140,CT150+CS151-DB150)))</f>
        <v>343.21333333333303</v>
      </c>
      <c r="CU151" s="17">
        <f>CT151*VLOOKUP('Données projet'!$B$13,Paramètres!$A$1:$I$89,3,0)*VLOOKUP('Données projet'!$B$13,Paramètres!$A$1:$I$89,5,0)</f>
        <v>165.08561333333319</v>
      </c>
      <c r="CV151" s="13">
        <f t="shared" si="149"/>
        <v>41.987492411579133</v>
      </c>
      <c r="CW151" s="20">
        <f t="shared" si="121"/>
        <v>360.65232583905555</v>
      </c>
      <c r="CX151" s="59">
        <f t="shared" si="122"/>
        <v>647.1088221645673</v>
      </c>
      <c r="CY151" s="59">
        <f ca="1">AVERAGE(OFFSET($CX$3,0,0,'Données projet'!$E$13+1,1))-AVERAGE(OFFSET($H$3,0,0,'Données projet'!$E$13+1,1))</f>
        <v>303.76035885073708</v>
      </c>
      <c r="CZ151" s="59">
        <f t="shared" si="150"/>
        <v>127.43112562890414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21.227173158989736</v>
      </c>
      <c r="DG151" s="21">
        <f>EXP(-LN(2)/25)*DG150+(1-EXP(-LN(2)/25))/(LN(2)/25)*Calculateur!DB151*Calculateur!DD151*VLOOKUP('Données projet'!$B$13,Paramètres!$A$1:$I$89,3,0)*0.475*44/12</f>
        <v>13.599949608653256</v>
      </c>
      <c r="DH151" s="21">
        <f>EXP(-LN(2)/2)*DH150+(1-EXP(-LN(2)/2))/(LN(2)/2)*DB151*DE151*VLOOKUP('Données projet'!$B$13,Paramètres!$A$1:$I$89,3,0)*0.475*44/12</f>
        <v>7.5925591391760569E-2</v>
      </c>
      <c r="DI151" s="22">
        <f t="shared" si="123"/>
        <v>34.903048359034749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5.6843418860808015E-14</v>
      </c>
      <c r="DP151" s="17">
        <f>DO151*VLOOKUP('Données projet'!$B$14,Paramètres!$A$1:$I$89,3,0)*VLOOKUP('Données projet'!$B$14,Paramètres!$A$1:$I$89,5,0)</f>
        <v>3.2810021366458389E-14</v>
      </c>
      <c r="DQ151" s="13">
        <f t="shared" si="151"/>
        <v>5.6117125884464641E-13</v>
      </c>
      <c r="DR151" s="20">
        <f t="shared" si="124"/>
        <v>1.0345173963676741E-12</v>
      </c>
      <c r="DS151" s="59">
        <f t="shared" si="125"/>
        <v>286.45649632551272</v>
      </c>
      <c r="DT151" s="59">
        <f ca="1">AVERAGE(OFFSET($DS$3,0,0,'Données projet'!$E$14+1,1))-AVERAGE(OFFSET($H$3,0,0,'Données projet'!$E$14+1,1))</f>
        <v>243.65374431792841</v>
      </c>
      <c r="DU151" s="59">
        <f t="shared" si="152"/>
        <v>271.60754570002939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10.420286477810453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10.420286477810453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-4.5474735088646412E-13</v>
      </c>
      <c r="EK151" s="17">
        <f>EJ151*VLOOKUP('Données projet'!$B$15,Paramètres!$A$1:$I$89,3,0)*VLOOKUP('Données projet'!$B$15,Paramètres!$A$1:$I$89,5,0)</f>
        <v>-3.0504452297464016E-13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321.44781099085594</v>
      </c>
      <c r="EP151" s="59">
        <f t="shared" si="154"/>
        <v>201.22243186578183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65.282139378561226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65.282139378561226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2.8421709430404007E-14</v>
      </c>
      <c r="FF151" s="17">
        <f>FE151*VLOOKUP('Données projet'!$B$16,Paramètres!$A$1:$I$89,3,0)*VLOOKUP('Données projet'!$B$16,Paramètres!$A$1:$I$89,5,0)</f>
        <v>2.4829205358400945E-14</v>
      </c>
      <c r="FG151" s="13">
        <f t="shared" si="155"/>
        <v>4.3867331143352915E-13</v>
      </c>
      <c r="FH151" s="20">
        <f t="shared" si="130"/>
        <v>8.0726688341261168E-13</v>
      </c>
      <c r="FI151" s="59">
        <f t="shared" si="131"/>
        <v>286.45649632551249</v>
      </c>
      <c r="FJ151" s="59">
        <f ca="1">AVERAGE(OFFSET($FI$3,0,0,'Données projet'!$E$16+1,1))-AVERAGE(OFFSET($H$3,0,0,'Données projet'!$E$16+1,1))</f>
        <v>285.8437404763045</v>
      </c>
      <c r="FK151" s="59">
        <f t="shared" si="156"/>
        <v>276.01618888357268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20.640477417068489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20.640477417068489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-1.7053025658242404E-13</v>
      </c>
      <c r="GA151" s="17">
        <f>FZ151*VLOOKUP('Données projet'!$B$17,Paramètres!$A$1:$I$89,3,0)*VLOOKUP('Données projet'!$B$17,Paramètres!$A$1:$I$89,5,0)</f>
        <v>-1.3567387213697657E-13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323.01113210765487</v>
      </c>
      <c r="GF151" s="59">
        <f t="shared" si="158"/>
        <v>311.68541696405975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23.694315775601062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23.694315775601062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2.8421709430404007E-14</v>
      </c>
      <c r="GV151" s="17">
        <f>GU151*VLOOKUP('Données projet'!$B$18,Paramètres!$A$1:$I$89,3,0)*VLOOKUP('Données projet'!$B$18,Paramètres!$A$1:$I$89,5,0)</f>
        <v>2.4829205358400945E-14</v>
      </c>
      <c r="GW151" s="13">
        <f t="shared" si="159"/>
        <v>4.3867331143352915E-13</v>
      </c>
      <c r="GX151" s="20">
        <f t="shared" si="136"/>
        <v>8.0726688341261168E-13</v>
      </c>
      <c r="GY151" s="59">
        <f t="shared" si="137"/>
        <v>286.45649632551249</v>
      </c>
      <c r="GZ151" s="59">
        <f ca="1">AVERAGE(OFFSET($GY$3,0,0,'Données projet'!$E$18+1,1))-AVERAGE(OFFSET($H$3,0,0,'Données projet'!$E$18+1,1))</f>
        <v>285.8437404763045</v>
      </c>
      <c r="HA151" s="59">
        <f t="shared" si="160"/>
        <v>276.01618888357268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20.640477417068489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20.640477417068489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-1.0286385077051818E-13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315.34103933739129</v>
      </c>
      <c r="T152" s="59">
        <f t="shared" si="142"/>
        <v>165.80901858372513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57.045462487599266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57.045462487599266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-3.4106051316484809E-13</v>
      </c>
      <c r="AJ152" s="13">
        <f>AI152*VLOOKUP('Données projet'!$B$10,Paramètres!$A$1:$I$89,3,0)*VLOOKUP('Données projet'!$B$10,Paramètres!$A$1:$I$89,5,0)</f>
        <v>-2.0395418687257919E-13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317.328615425664</v>
      </c>
      <c r="AO152" s="59">
        <f t="shared" si="144"/>
        <v>324.95872842255744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30.121764587062415</v>
      </c>
      <c r="AV152" s="21">
        <f>EXP(-LN(2)/25)*AV151+(1-EXP(-LN(2)/25))/(LN(2)/25)*Calculateur!AQ152*Calculateur!AS152*VLOOKUP('Données projet'!$B$10,Paramètres!$A$1:$I$89,3,0)*0.475*44/12</f>
        <v>2.869147762168895</v>
      </c>
      <c r="AW152" s="21">
        <f>EXP(-LN(2)/2)*AW151+(1-EXP(-LN(2)/2))/(LN(2)/2)*AQ152*AT152*VLOOKUP('Données projet'!$B$10,Paramètres!$A$1:$I$89,3,0)*0.475*44/12</f>
        <v>1.0811185328557146E-12</v>
      </c>
      <c r="AX152" s="21">
        <f t="shared" si="114"/>
        <v>32.990912349232389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-6.5483618527650828E-14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418.31716673276725</v>
      </c>
      <c r="BJ152" s="59">
        <f t="shared" si="146"/>
        <v>472.37891533957929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23.500239181228011</v>
      </c>
      <c r="BQ152" s="21">
        <f>EXP(-LN(2)/25)*BQ151+(1-EXP(-LN(2)/25))/(LN(2)/25)*Calculateur!BL152*Calculateur!BN152*VLOOKUP('Données projet'!$B$11,Paramètres!$A$1:$I$89,3,0)*0.475*44/12</f>
        <v>2.6172815629704447</v>
      </c>
      <c r="BR152" s="21">
        <f>EXP(-LN(2)/2)*BR151+(1-EXP(-LN(2)/2))/(LN(2)/2)*BL152*BO152*VLOOKUP('Données projet'!$B$11,Paramètres!$A$1:$I$89,3,0)*0.475*44/12</f>
        <v>1.6768055741931601E-12</v>
      </c>
      <c r="BS152" s="22">
        <f t="shared" si="117"/>
        <v>26.117520744200132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1.1368683772161603E-13</v>
      </c>
      <c r="BZ152" s="13">
        <f>BY152*VLOOKUP('Données projet'!$B$12,Paramètres!$A$1:$I$89,3,0)*VLOOKUP('Données projet'!$B$12,Paramètres!$A$1:$I$89,5,0)</f>
        <v>6.6506800067145386E-14</v>
      </c>
      <c r="CA152" s="13">
        <f t="shared" si="147"/>
        <v>1.0476989505385114E-12</v>
      </c>
      <c r="CB152" s="20">
        <f t="shared" si="118"/>
        <v>1.9405750156381857E-12</v>
      </c>
      <c r="CC152" s="59">
        <f t="shared" si="119"/>
        <v>286.57579407329501</v>
      </c>
      <c r="CD152" s="59">
        <f ca="1">AVERAGE(OFFSET($CC$3,0,0,'Données projet'!$E$12+1,1))-AVERAGE(OFFSET($H$3,0,0,'Données projet'!$E$12+1,1))</f>
        <v>184.11352167663844</v>
      </c>
      <c r="CE152" s="59">
        <f t="shared" si="148"/>
        <v>145.86653500981791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17.083843544947548</v>
      </c>
      <c r="CL152" s="21">
        <f>EXP(-LN(2)/25)*CL151+(1-EXP(-LN(2)/25))/(LN(2)/25)*Calculateur!CG152*Calculateur!CI152*VLOOKUP('Données projet'!$B$12,Paramètres!$A$1:$I$89,3,0)*0.475*44/12</f>
        <v>4.152684458764293</v>
      </c>
      <c r="CM152" s="21">
        <f>EXP(-LN(2)/2)*CM151+(1-EXP(-LN(2)/2))/(LN(2)/2)*CG152*CJ152*VLOOKUP('Données projet'!$B$12,Paramètres!$A$1:$I$89,3,0)*0.475*44/12</f>
        <v>2.4880203670256106E-8</v>
      </c>
      <c r="CN152" s="22">
        <f t="shared" si="120"/>
        <v>21.236528028592044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3.6333333333333351</v>
      </c>
      <c r="CT152" s="12">
        <f>IF('Données projet'!$A$140&gt;35,CT151+CS152-DB151,IF(A152&lt;'Données projet'!$A$140,$CQ$205^A152,IF(A152='Données projet'!$A$140,'Données projet'!$B$140,CT151+CS152-DB151)))</f>
        <v>346.84666666666635</v>
      </c>
      <c r="CU152" s="17">
        <f>CT152*VLOOKUP('Données projet'!$B$13,Paramètres!$A$1:$I$89,3,0)*VLOOKUP('Données projet'!$B$13,Paramètres!$A$1:$I$89,5,0)</f>
        <v>166.83324666666653</v>
      </c>
      <c r="CV152" s="13">
        <f t="shared" si="149"/>
        <v>42.380001870643049</v>
      </c>
      <c r="CW152" s="20">
        <f t="shared" si="121"/>
        <v>364.37974120248077</v>
      </c>
      <c r="CX152" s="59">
        <f t="shared" si="122"/>
        <v>650.95553527577385</v>
      </c>
      <c r="CY152" s="59">
        <f ca="1">AVERAGE(OFFSET($CX$3,0,0,'Données projet'!$E$13+1,1))-AVERAGE(OFFSET($H$3,0,0,'Données projet'!$E$13+1,1))</f>
        <v>303.76035885073708</v>
      </c>
      <c r="CZ152" s="59">
        <f t="shared" si="150"/>
        <v>127.43112562890414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20.810921240639136</v>
      </c>
      <c r="DG152" s="21">
        <f>EXP(-LN(2)/25)*DG151+(1-EXP(-LN(2)/25))/(LN(2)/25)*Calculateur!DB152*Calculateur!DD152*VLOOKUP('Données projet'!$B$13,Paramètres!$A$1:$I$89,3,0)*0.475*44/12</f>
        <v>13.228058271414366</v>
      </c>
      <c r="DH152" s="21">
        <f>EXP(-LN(2)/2)*DH151+(1-EXP(-LN(2)/2))/(LN(2)/2)*DB152*DE152*VLOOKUP('Données projet'!$B$13,Paramètres!$A$1:$I$89,3,0)*0.475*44/12</f>
        <v>5.3687500538712858E-2</v>
      </c>
      <c r="DI152" s="22">
        <f t="shared" si="123"/>
        <v>34.092667012592216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5.6843418860808015E-14</v>
      </c>
      <c r="DP152" s="17">
        <f>DO152*VLOOKUP('Données projet'!$B$14,Paramètres!$A$1:$I$89,3,0)*VLOOKUP('Données projet'!$B$14,Paramètres!$A$1:$I$89,5,0)</f>
        <v>3.2810021366458389E-14</v>
      </c>
      <c r="DQ152" s="13">
        <f t="shared" si="151"/>
        <v>5.6117125884464641E-13</v>
      </c>
      <c r="DR152" s="20">
        <f t="shared" si="124"/>
        <v>1.0345173963676741E-12</v>
      </c>
      <c r="DS152" s="59">
        <f t="shared" si="125"/>
        <v>286.57579407329411</v>
      </c>
      <c r="DT152" s="59">
        <f ca="1">AVERAGE(OFFSET($DS$3,0,0,'Données projet'!$E$14+1,1))-AVERAGE(OFFSET($H$3,0,0,'Données projet'!$E$14+1,1))</f>
        <v>243.65374431792841</v>
      </c>
      <c r="DU152" s="59">
        <f t="shared" si="152"/>
        <v>271.60754570002939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10.215951015727764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10.215951015727764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-4.5474735088646412E-13</v>
      </c>
      <c r="EK152" s="17">
        <f>EJ152*VLOOKUP('Données projet'!$B$15,Paramètres!$A$1:$I$89,3,0)*VLOOKUP('Données projet'!$B$15,Paramètres!$A$1:$I$89,5,0)</f>
        <v>-3.0504452297464016E-13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321.44781099085594</v>
      </c>
      <c r="EP152" s="59">
        <f t="shared" si="154"/>
        <v>201.22243186578183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64.001996443520937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64.001996443520937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2.8421709430404007E-14</v>
      </c>
      <c r="FF152" s="17">
        <f>FE152*VLOOKUP('Données projet'!$B$16,Paramètres!$A$1:$I$89,3,0)*VLOOKUP('Données projet'!$B$16,Paramètres!$A$1:$I$89,5,0)</f>
        <v>2.4829205358400945E-14</v>
      </c>
      <c r="FG152" s="13">
        <f t="shared" si="155"/>
        <v>4.3867331143352915E-13</v>
      </c>
      <c r="FH152" s="20">
        <f t="shared" si="130"/>
        <v>8.0726688341261168E-13</v>
      </c>
      <c r="FI152" s="59">
        <f t="shared" si="131"/>
        <v>286.57579407329388</v>
      </c>
      <c r="FJ152" s="59">
        <f ca="1">AVERAGE(OFFSET($FI$3,0,0,'Données projet'!$E$16+1,1))-AVERAGE(OFFSET($H$3,0,0,'Données projet'!$E$16+1,1))</f>
        <v>285.8437404763045</v>
      </c>
      <c r="FK152" s="59">
        <f t="shared" si="156"/>
        <v>276.01618888357268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20.235730244367897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20.235730244367897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-1.7053025658242404E-13</v>
      </c>
      <c r="GA152" s="17">
        <f>FZ152*VLOOKUP('Données projet'!$B$17,Paramètres!$A$1:$I$89,3,0)*VLOOKUP('Données projet'!$B$17,Paramètres!$A$1:$I$89,5,0)</f>
        <v>-1.3567387213697657E-13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323.01113210765487</v>
      </c>
      <c r="GF152" s="59">
        <f t="shared" si="158"/>
        <v>311.68541696405975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23.229684695347121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23.229684695347121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2.8421709430404007E-14</v>
      </c>
      <c r="GV152" s="17">
        <f>GU152*VLOOKUP('Données projet'!$B$18,Paramètres!$A$1:$I$89,3,0)*VLOOKUP('Données projet'!$B$18,Paramètres!$A$1:$I$89,5,0)</f>
        <v>2.4829205358400945E-14</v>
      </c>
      <c r="GW152" s="13">
        <f t="shared" si="159"/>
        <v>4.3867331143352915E-13</v>
      </c>
      <c r="GX152" s="20">
        <f t="shared" si="136"/>
        <v>8.0726688341261168E-13</v>
      </c>
      <c r="GY152" s="59">
        <f t="shared" si="137"/>
        <v>286.57579407329388</v>
      </c>
      <c r="GZ152" s="59">
        <f ca="1">AVERAGE(OFFSET($GY$3,0,0,'Données projet'!$E$18+1,1))-AVERAGE(OFFSET($H$3,0,0,'Données projet'!$E$18+1,1))</f>
        <v>285.8437404763045</v>
      </c>
      <c r="HA152" s="59">
        <f t="shared" si="160"/>
        <v>276.01618888357268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20.235730244367897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20.235730244367897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-1.0286385077051818E-13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315.34103933739129</v>
      </c>
      <c r="T153" s="59">
        <f t="shared" si="142"/>
        <v>165.80901858372513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55.92683576251391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55.92683576251391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-3.4106051316484809E-13</v>
      </c>
      <c r="AJ153" s="13">
        <f>AI153*VLOOKUP('Données projet'!$B$10,Paramètres!$A$1:$I$89,3,0)*VLOOKUP('Données projet'!$B$10,Paramètres!$A$1:$I$89,5,0)</f>
        <v>-2.0395418687257919E-13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317.328615425664</v>
      </c>
      <c r="AO153" s="59">
        <f t="shared" si="144"/>
        <v>324.95872842255744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29.531095155972391</v>
      </c>
      <c r="AV153" s="21">
        <f>EXP(-LN(2)/25)*AV152+(1-EXP(-LN(2)/25))/(LN(2)/25)*Calculateur!AQ153*Calculateur!AS153*VLOOKUP('Données projet'!$B$10,Paramètres!$A$1:$I$89,3,0)*0.475*44/12</f>
        <v>2.7906907657304632</v>
      </c>
      <c r="AW153" s="21">
        <f>EXP(-LN(2)/2)*AW152+(1-EXP(-LN(2)/2))/(LN(2)/2)*AQ153*AT153*VLOOKUP('Données projet'!$B$10,Paramètres!$A$1:$I$89,3,0)*0.475*44/12</f>
        <v>7.6446624584872708E-13</v>
      </c>
      <c r="AX153" s="21">
        <f t="shared" si="114"/>
        <v>32.321785921703622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-6.5483618527650828E-14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418.31716673276725</v>
      </c>
      <c r="BJ153" s="59">
        <f t="shared" si="146"/>
        <v>472.37891533957929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23.039413824614691</v>
      </c>
      <c r="BQ153" s="21">
        <f>EXP(-LN(2)/25)*BQ152+(1-EXP(-LN(2)/25))/(LN(2)/25)*Calculateur!BL153*Calculateur!BN153*VLOOKUP('Données projet'!$B$11,Paramètres!$A$1:$I$89,3,0)*0.475*44/12</f>
        <v>2.5457118609941625</v>
      </c>
      <c r="BR153" s="21">
        <f>EXP(-LN(2)/2)*BR152+(1-EXP(-LN(2)/2))/(LN(2)/2)*BL153*BO153*VLOOKUP('Données projet'!$B$11,Paramètres!$A$1:$I$89,3,0)*0.475*44/12</f>
        <v>1.185680592243386E-12</v>
      </c>
      <c r="BS153" s="22">
        <f t="shared" si="117"/>
        <v>25.585125685610041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1.1368683772161603E-13</v>
      </c>
      <c r="BZ153" s="13">
        <f>BY153*VLOOKUP('Données projet'!$B$12,Paramètres!$A$1:$I$89,3,0)*VLOOKUP('Données projet'!$B$12,Paramètres!$A$1:$I$89,5,0)</f>
        <v>6.6506800067145386E-14</v>
      </c>
      <c r="CA153" s="13">
        <f t="shared" si="147"/>
        <v>1.0476989505385114E-12</v>
      </c>
      <c r="CB153" s="20">
        <f t="shared" si="118"/>
        <v>1.9405750156381857E-12</v>
      </c>
      <c r="CC153" s="59">
        <f t="shared" si="119"/>
        <v>286.69302227186228</v>
      </c>
      <c r="CD153" s="59">
        <f ca="1">AVERAGE(OFFSET($CC$3,0,0,'Données projet'!$E$12+1,1))-AVERAGE(OFFSET($H$3,0,0,'Données projet'!$E$12+1,1))</f>
        <v>184.11352167663844</v>
      </c>
      <c r="CE153" s="59">
        <f t="shared" si="148"/>
        <v>145.86653500981791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16.748839793146789</v>
      </c>
      <c r="CL153" s="21">
        <f>EXP(-LN(2)/25)*CL152+(1-EXP(-LN(2)/25))/(LN(2)/25)*Calculateur!CG153*Calculateur!CI153*VLOOKUP('Données projet'!$B$12,Paramètres!$A$1:$I$89,3,0)*0.475*44/12</f>
        <v>4.0391290838591987</v>
      </c>
      <c r="CM153" s="21">
        <f>EXP(-LN(2)/2)*CM152+(1-EXP(-LN(2)/2))/(LN(2)/2)*CG153*CJ153*VLOOKUP('Données projet'!$B$12,Paramètres!$A$1:$I$89,3,0)*0.475*44/12</f>
        <v>1.7592960732540521E-8</v>
      </c>
      <c r="CN153" s="22">
        <f t="shared" si="120"/>
        <v>20.787968894598947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>
        <f>VLOOKUP(A153,'Données projet'!$A$139:$I$159,2,0)</f>
        <v>350.48</v>
      </c>
      <c r="CR153" s="12">
        <f>VLOOKUP(A153,'Données projet'!$A$139:$I$159,9,0)</f>
        <v>3.6333333333333351</v>
      </c>
      <c r="CS153" s="12">
        <f t="array" ref="CS153">INDEX(CR:CR,MIN(IF(ISNUMBER(CR153:CR349),ROW(CR153:CR349),"")))</f>
        <v>3.6333333333333351</v>
      </c>
      <c r="CT153" s="12">
        <f>IF('Données projet'!$A$140&gt;35,CT152+CS153-DB152,IF(A153&lt;'Données projet'!$A$140,$CQ$205^A153,IF(A153='Données projet'!$A$140,'Données projet'!$B$140,CT152+CS153-DB152)))</f>
        <v>350.47999999999968</v>
      </c>
      <c r="CU153" s="17">
        <f>CT153*VLOOKUP('Données projet'!$B$13,Paramètres!$A$1:$I$89,3,0)*VLOOKUP('Données projet'!$B$13,Paramètres!$A$1:$I$89,5,0)</f>
        <v>168.58087999999984</v>
      </c>
      <c r="CV153" s="13">
        <f t="shared" si="149"/>
        <v>42.772033014180181</v>
      </c>
      <c r="CW153" s="20">
        <f t="shared" si="121"/>
        <v>368.10632349969683</v>
      </c>
      <c r="CX153" s="59">
        <f t="shared" si="122"/>
        <v>654.79934577155723</v>
      </c>
      <c r="CY153" s="59">
        <f ca="1">AVERAGE(OFFSET($CX$3,0,0,'Données projet'!$E$13+1,1))-AVERAGE(OFFSET($H$3,0,0,'Données projet'!$E$13+1,1))</f>
        <v>303.76035885073708</v>
      </c>
      <c r="CZ153" s="59">
        <f t="shared" si="150"/>
        <v>127.43112562890414</v>
      </c>
      <c r="DA153" s="15">
        <f>IF(ISNA(VLOOKUP(A153,'Données projet'!$A$139:$I$159,3,0)),0,VLOOKUP(A153,'Données projet'!$A$139:$I$159,3,0))</f>
        <v>16</v>
      </c>
      <c r="DB153" s="15">
        <f>IF(ISNA(VLOOKUP(A153,'Données projet'!$A$139:$I$159,4,0)),0,VLOOKUP(A153,'Données projet'!$A$139:$I$159,4,0))</f>
        <v>173.86</v>
      </c>
      <c r="DC153" s="16">
        <f>IF(ISNA(VLOOKUP(A153,'Données projet'!$A$139:$I$159,5,0)),0%,VLOOKUP(A153,'Données projet'!$A$139:$I$159,5,0)*VLOOKUP('Données projet'!$B$13,Paramètres!$A$1:$I$89,7,0))</f>
        <v>0.33</v>
      </c>
      <c r="DD153" s="16">
        <f>IF(ISNA(VLOOKUP(A153,'Données projet'!$A$139:$I$159,6,0)),0%,VLOOKUP(A153,'Données projet'!$A$139:$I$159,6,0)*VLOOKUP('Données projet'!$B$13,Paramètres!$A$1:$I$89,7,0))</f>
        <v>0.12100000000000001</v>
      </c>
      <c r="DE153" s="16">
        <f>IF(ISNA(VLOOKUP(A153,'Données projet'!$A$139:$I$159,7,0)),0%,VLOOKUP(A153,'Données projet'!$A$139:$I$159,7,0))</f>
        <v>0.18</v>
      </c>
      <c r="DF153" s="21">
        <f>EXP(-LN(2)/35)*DF152+(1-EXP(-LN(2)/35))/(LN(2)/35)*DB153*DC153*VLOOKUP('Données projet'!$B$13,Paramètres!$A$1:$I$89,3,0)*0.475*44/12</f>
        <v>57.011762813950895</v>
      </c>
      <c r="DG153" s="21">
        <f>EXP(-LN(2)/25)*DG152+(1-EXP(-LN(2)/25))/(LN(2)/25)*Calculateur!DB153*Calculateur!DD153*VLOOKUP('Données projet'!$B$13,Paramètres!$A$1:$I$89,3,0)*0.475*44/12</f>
        <v>26.236758491779494</v>
      </c>
      <c r="DH153" s="21">
        <f>EXP(-LN(2)/2)*DH152+(1-EXP(-LN(2)/2))/(LN(2)/2)*DB153*DE153*VLOOKUP('Données projet'!$B$13,Paramètres!$A$1:$I$89,3,0)*0.475*44/12</f>
        <v>17.081227765223506</v>
      </c>
      <c r="DI153" s="22">
        <f t="shared" si="123"/>
        <v>100.32974907095389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5.6843418860808015E-14</v>
      </c>
      <c r="DP153" s="17">
        <f>DO153*VLOOKUP('Données projet'!$B$14,Paramètres!$A$1:$I$89,3,0)*VLOOKUP('Données projet'!$B$14,Paramètres!$A$1:$I$89,5,0)</f>
        <v>3.2810021366458389E-14</v>
      </c>
      <c r="DQ153" s="13">
        <f t="shared" si="151"/>
        <v>5.6117125884464641E-13</v>
      </c>
      <c r="DR153" s="20">
        <f t="shared" si="124"/>
        <v>1.0345173963676741E-12</v>
      </c>
      <c r="DS153" s="59">
        <f t="shared" si="125"/>
        <v>286.69302227186137</v>
      </c>
      <c r="DT153" s="59">
        <f ca="1">AVERAGE(OFFSET($DS$3,0,0,'Données projet'!$E$14+1,1))-AVERAGE(OFFSET($H$3,0,0,'Données projet'!$E$14+1,1))</f>
        <v>243.65374431792841</v>
      </c>
      <c r="DU153" s="59">
        <f t="shared" si="152"/>
        <v>271.60754570002939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10.015622447424191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10.015622447424191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-4.5474735088646412E-13</v>
      </c>
      <c r="EK153" s="17">
        <f>EJ153*VLOOKUP('Données projet'!$B$15,Paramètres!$A$1:$I$89,3,0)*VLOOKUP('Données projet'!$B$15,Paramètres!$A$1:$I$89,5,0)</f>
        <v>-3.0504452297464016E-13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321.44781099085594</v>
      </c>
      <c r="EP153" s="59">
        <f t="shared" si="154"/>
        <v>201.22243186578183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62.746956330626702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62.746956330626702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2.8421709430404007E-14</v>
      </c>
      <c r="FF153" s="17">
        <f>FE153*VLOOKUP('Données projet'!$B$16,Paramètres!$A$1:$I$89,3,0)*VLOOKUP('Données projet'!$B$16,Paramètres!$A$1:$I$89,5,0)</f>
        <v>2.4829205358400945E-14</v>
      </c>
      <c r="FG153" s="13">
        <f t="shared" si="155"/>
        <v>4.3867331143352915E-13</v>
      </c>
      <c r="FH153" s="20">
        <f t="shared" si="130"/>
        <v>8.0726688341261168E-13</v>
      </c>
      <c r="FI153" s="59">
        <f t="shared" si="131"/>
        <v>286.69302227186114</v>
      </c>
      <c r="FJ153" s="59">
        <f ca="1">AVERAGE(OFFSET($FI$3,0,0,'Données projet'!$E$16+1,1))-AVERAGE(OFFSET($H$3,0,0,'Données projet'!$E$16+1,1))</f>
        <v>285.8437404763045</v>
      </c>
      <c r="FK153" s="59">
        <f t="shared" si="156"/>
        <v>276.01618888357268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19.838919916852564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19.838919916852564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-1.7053025658242404E-13</v>
      </c>
      <c r="GA153" s="17">
        <f>FZ153*VLOOKUP('Données projet'!$B$17,Paramètres!$A$1:$I$89,3,0)*VLOOKUP('Données projet'!$B$17,Paramètres!$A$1:$I$89,5,0)</f>
        <v>-1.3567387213697657E-13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323.01113210765487</v>
      </c>
      <c r="GF153" s="59">
        <f t="shared" si="158"/>
        <v>311.68541696405975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22.774164747179984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22.774164747179984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2.8421709430404007E-14</v>
      </c>
      <c r="GV153" s="17">
        <f>GU153*VLOOKUP('Données projet'!$B$18,Paramètres!$A$1:$I$89,3,0)*VLOOKUP('Données projet'!$B$18,Paramètres!$A$1:$I$89,5,0)</f>
        <v>2.4829205358400945E-14</v>
      </c>
      <c r="GW153" s="13">
        <f t="shared" si="159"/>
        <v>4.3867331143352915E-13</v>
      </c>
      <c r="GX153" s="20">
        <f t="shared" si="136"/>
        <v>8.0726688341261168E-13</v>
      </c>
      <c r="GY153" s="59">
        <f t="shared" si="137"/>
        <v>286.69302227186114</v>
      </c>
      <c r="GZ153" s="59">
        <f ca="1">AVERAGE(OFFSET($GY$3,0,0,'Données projet'!$E$18+1,1))-AVERAGE(OFFSET($H$3,0,0,'Données projet'!$E$18+1,1))</f>
        <v>285.8437404763045</v>
      </c>
      <c r="HA153" s="59">
        <f t="shared" si="160"/>
        <v>276.01618888357268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19.838919916852564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19.838919916852564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-1.0286385077051818E-13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315.34103933739129</v>
      </c>
      <c r="T154" s="59">
        <f t="shared" si="142"/>
        <v>165.80901858372513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54.830144625212547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54.830144625212547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-2.0395418687257919E-13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317.328615425664</v>
      </c>
      <c r="AO154" s="59">
        <f t="shared" si="144"/>
        <v>324.95872842255744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28.95200839215326</v>
      </c>
      <c r="AV154" s="21">
        <f>EXP(-LN(2)/25)*AV153+(1-EXP(-LN(2)/25))/(LN(2)/25)*Calculateur!AQ154*Calculateur!AS154*VLOOKUP('Données projet'!$B$10,Paramètres!$A$1:$I$89,3,0)*0.475*44/12</f>
        <v>2.7143791799855146</v>
      </c>
      <c r="AW154" s="21">
        <f>EXP(-LN(2)/2)*AW153+(1-EXP(-LN(2)/2))/(LN(2)/2)*AQ154*AT154*VLOOKUP('Données projet'!$B$10,Paramètres!$A$1:$I$89,3,0)*0.475*44/12</f>
        <v>5.4055926642785729E-13</v>
      </c>
      <c r="AX154" s="21">
        <f t="shared" ref="AX154:AX203" si="166">SUM(AU154:AW154)</f>
        <v>31.666387572139314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-6.5483618527650828E-14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418.31716673276725</v>
      </c>
      <c r="BJ154" s="59">
        <f t="shared" si="146"/>
        <v>472.37891533957929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22.587624972168847</v>
      </c>
      <c r="BQ154" s="21">
        <f>EXP(-LN(2)/25)*BQ153+(1-EXP(-LN(2)/25))/(LN(2)/25)*Calculateur!BL154*Calculateur!BN154*VLOOKUP('Données projet'!$B$11,Paramètres!$A$1:$I$89,3,0)*0.475*44/12</f>
        <v>2.4760992362821086</v>
      </c>
      <c r="BR154" s="21">
        <f>EXP(-LN(2)/2)*BR153+(1-EXP(-LN(2)/2))/(LN(2)/2)*BL154*BO154*VLOOKUP('Données projet'!$B$11,Paramètres!$A$1:$I$89,3,0)*0.475*44/12</f>
        <v>8.3840278709658005E-13</v>
      </c>
      <c r="BS154" s="22">
        <f t="shared" ref="BS154:BS203" si="169">SUM(BP154:BR154)</f>
        <v>25.063724208451795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1.1368683772161603E-13</v>
      </c>
      <c r="BZ154" s="13">
        <f>BY154*VLOOKUP('Données projet'!$B$12,Paramètres!$A$1:$I$89,3,0)*VLOOKUP('Données projet'!$B$12,Paramètres!$A$1:$I$89,5,0)</f>
        <v>6.6506800067145386E-14</v>
      </c>
      <c r="CA154" s="13">
        <f t="shared" ref="CA154:CA203" si="170">EXP(-1.0587+0.8836*LN(BZ154)+0.284)</f>
        <v>1.0476989505385114E-12</v>
      </c>
      <c r="CB154" s="20">
        <f t="shared" ref="CB154:CB203" si="171">(BZ154+CA154)*0.475*44/12</f>
        <v>1.9405750156381857E-12</v>
      </c>
      <c r="CC154" s="59">
        <f t="shared" si="119"/>
        <v>286.80821682326729</v>
      </c>
      <c r="CD154" s="59">
        <f ca="1">AVERAGE(OFFSET($CC$3,0,0,'Données projet'!$E$12+1,1))-AVERAGE(OFFSET($H$3,0,0,'Données projet'!$E$12+1,1))</f>
        <v>184.11352167663844</v>
      </c>
      <c r="CE154" s="59">
        <f t="shared" si="148"/>
        <v>145.86653500981791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16.42040526058673</v>
      </c>
      <c r="CL154" s="21">
        <f>EXP(-LN(2)/25)*CL153+(1-EXP(-LN(2)/25))/(LN(2)/25)*Calculateur!CG154*Calculateur!CI154*VLOOKUP('Données projet'!$B$12,Paramètres!$A$1:$I$89,3,0)*0.475*44/12</f>
        <v>3.9286788866525018</v>
      </c>
      <c r="CM154" s="21">
        <f>EXP(-LN(2)/2)*CM153+(1-EXP(-LN(2)/2))/(LN(2)/2)*CG154*CJ154*VLOOKUP('Données projet'!$B$12,Paramètres!$A$1:$I$89,3,0)*0.475*44/12</f>
        <v>1.2440101835128053E-8</v>
      </c>
      <c r="CN154" s="22">
        <f t="shared" ref="CN154:CN203" si="172">SUM(CK154:CM154)</f>
        <v>20.349084159679332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2.8716666666666648</v>
      </c>
      <c r="CT154" s="12">
        <f>IF('Données projet'!$A$140&gt;35,CT153+CS154-DB153,IF(A154&lt;'Données projet'!$A$140,$CQ$205^A154,IF(A154='Données projet'!$A$140,'Données projet'!$B$140,CT153+CS154-DB153)))</f>
        <v>179.49166666666633</v>
      </c>
      <c r="CU154" s="17">
        <f>CT154*VLOOKUP('Données projet'!$B$13,Paramètres!$A$1:$I$89,3,0)*VLOOKUP('Données projet'!$B$13,Paramètres!$A$1:$I$89,5,0)</f>
        <v>86.335491666666513</v>
      </c>
      <c r="CV154" s="13">
        <f t="shared" ref="CV154:CV203" si="173">EXP(-1.0587+0.8836*LN(CU154)+0.284)</f>
        <v>23.679307056583596</v>
      </c>
      <c r="CW154" s="20">
        <f t="shared" ref="CW154:CW203" si="174">(CU154+CV154)*0.475*44/12</f>
        <v>191.60910777632728</v>
      </c>
      <c r="CX154" s="59">
        <f t="shared" si="122"/>
        <v>478.41732459959263</v>
      </c>
      <c r="CY154" s="59">
        <f ca="1">AVERAGE(OFFSET($CX$3,0,0,'Données projet'!$E$13+1,1))-AVERAGE(OFFSET($H$3,0,0,'Données projet'!$E$13+1,1))</f>
        <v>303.76035885073708</v>
      </c>
      <c r="CZ154" s="59">
        <f t="shared" si="150"/>
        <v>127.43112562890414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55.893796918911015</v>
      </c>
      <c r="DG154" s="21">
        <f>EXP(-LN(2)/25)*DG153+(1-EXP(-LN(2)/25))/(LN(2)/25)*Calculateur!DB154*Calculateur!DD154*VLOOKUP('Données projet'!$B$13,Paramètres!$A$1:$I$89,3,0)*0.475*44/12</f>
        <v>25.519312951090619</v>
      </c>
      <c r="DH154" s="21">
        <f>EXP(-LN(2)/2)*DH153+(1-EXP(-LN(2)/2))/(LN(2)/2)*DB154*DE154*VLOOKUP('Données projet'!$B$13,Paramètres!$A$1:$I$89,3,0)*0.475*44/12</f>
        <v>12.078251983781479</v>
      </c>
      <c r="DI154" s="22">
        <f t="shared" ref="DI154:DI203" si="175">SUM(DF154:DH154)</f>
        <v>93.491361853783118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5.6843418860808015E-14</v>
      </c>
      <c r="DP154" s="17">
        <f>DO154*VLOOKUP('Données projet'!$B$14,Paramètres!$A$1:$I$89,3,0)*VLOOKUP('Données projet'!$B$14,Paramètres!$A$1:$I$89,5,0)</f>
        <v>3.2810021366458389E-14</v>
      </c>
      <c r="DQ154" s="13">
        <f t="shared" ref="DQ154:DQ203" si="176">EXP(-1.0587+0.8836*LN(DP154)+0.284)</f>
        <v>5.6117125884464641E-13</v>
      </c>
      <c r="DR154" s="20">
        <f t="shared" ref="DR154:DR203" si="177">(DP154+DQ154)*0.475*44/12</f>
        <v>1.0345173963676741E-12</v>
      </c>
      <c r="DS154" s="59">
        <f t="shared" si="125"/>
        <v>286.80821682326638</v>
      </c>
      <c r="DT154" s="59">
        <f ca="1">AVERAGE(OFFSET($DS$3,0,0,'Données projet'!$E$14+1,1))-AVERAGE(OFFSET($H$3,0,0,'Données projet'!$E$14+1,1))</f>
        <v>243.65374431792841</v>
      </c>
      <c r="DU154" s="59">
        <f t="shared" si="152"/>
        <v>271.60754570002939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9.8192222001566893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9.8192222001566893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-4.5474735088646412E-13</v>
      </c>
      <c r="EK154" s="17">
        <f>EJ154*VLOOKUP('Données projet'!$B$15,Paramètres!$A$1:$I$89,3,0)*VLOOKUP('Données projet'!$B$15,Paramètres!$A$1:$I$89,5,0)</f>
        <v>-3.0504452297464016E-13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321.44781099085594</v>
      </c>
      <c r="EP154" s="59">
        <f t="shared" si="154"/>
        <v>201.22243186578183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61.516526788847443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61.516526788847443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2.8421709430404007E-14</v>
      </c>
      <c r="FF154" s="17">
        <f>FE154*VLOOKUP('Données projet'!$B$16,Paramètres!$A$1:$I$89,3,0)*VLOOKUP('Données projet'!$B$16,Paramètres!$A$1:$I$89,5,0)</f>
        <v>2.4829205358400945E-14</v>
      </c>
      <c r="FG154" s="13">
        <f t="shared" ref="FG154:FG203" si="182">EXP(-1.0587+0.8836*LN(FF154)+0.284)</f>
        <v>4.3867331143352915E-13</v>
      </c>
      <c r="FH154" s="20">
        <f t="shared" ref="FH154:FH203" si="183">(FF154+FG154)*0.475*44/12</f>
        <v>8.0726688341261168E-13</v>
      </c>
      <c r="FI154" s="59">
        <f t="shared" si="131"/>
        <v>286.80821682326615</v>
      </c>
      <c r="FJ154" s="59">
        <f ca="1">AVERAGE(OFFSET($FI$3,0,0,'Données projet'!$E$16+1,1))-AVERAGE(OFFSET($H$3,0,0,'Données projet'!$E$16+1,1))</f>
        <v>285.8437404763045</v>
      </c>
      <c r="FK154" s="59">
        <f t="shared" si="156"/>
        <v>276.01618888357268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19.449890797829404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19.449890797829404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-1.7053025658242404E-13</v>
      </c>
      <c r="GA154" s="17">
        <f>FZ154*VLOOKUP('Données projet'!$B$17,Paramètres!$A$1:$I$89,3,0)*VLOOKUP('Données projet'!$B$17,Paramètres!$A$1:$I$89,5,0)</f>
        <v>-1.3567387213697657E-13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323.01113210765487</v>
      </c>
      <c r="GF154" s="59">
        <f t="shared" si="158"/>
        <v>311.68541696405975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22.32757726735667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22.32757726735667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2.8421709430404007E-14</v>
      </c>
      <c r="GV154" s="17">
        <f>GU154*VLOOKUP('Données projet'!$B$18,Paramètres!$A$1:$I$89,3,0)*VLOOKUP('Données projet'!$B$18,Paramètres!$A$1:$I$89,5,0)</f>
        <v>2.4829205358400945E-14</v>
      </c>
      <c r="GW154" s="13">
        <f t="shared" ref="GW154:GW203" si="188">EXP(-1.0587+0.8836*LN(GV154)+0.284)</f>
        <v>4.3867331143352915E-13</v>
      </c>
      <c r="GX154" s="20">
        <f t="shared" ref="GX154:GX203" si="189">(GV154+GW154)*0.475*44/12</f>
        <v>8.0726688341261168E-13</v>
      </c>
      <c r="GY154" s="59">
        <f t="shared" si="137"/>
        <v>286.80821682326615</v>
      </c>
      <c r="GZ154" s="59">
        <f ca="1">AVERAGE(OFFSET($GY$3,0,0,'Données projet'!$E$18+1,1))-AVERAGE(OFFSET($H$3,0,0,'Données projet'!$E$18+1,1))</f>
        <v>285.8437404763045</v>
      </c>
      <c r="HA154" s="59">
        <f t="shared" si="160"/>
        <v>276.01618888357268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19.449890797829404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19.449890797829404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-1.0286385077051818E-13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315.34103933739129</v>
      </c>
      <c r="T155" s="59">
        <f t="shared" si="142"/>
        <v>165.80901858372513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53.754958932198122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53.754958932198122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-2.0395418687257919E-13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317.328615425664</v>
      </c>
      <c r="AO155" s="59">
        <f t="shared" si="144"/>
        <v>324.95872842255744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28.384277166564573</v>
      </c>
      <c r="AV155" s="21">
        <f>EXP(-LN(2)/25)*AV154+(1-EXP(-LN(2)/25))/(LN(2)/25)*Calculateur!AQ155*Calculateur!AS155*VLOOKUP('Données projet'!$B$10,Paramètres!$A$1:$I$89,3,0)*0.475*44/12</f>
        <v>2.6401543385658135</v>
      </c>
      <c r="AW155" s="21">
        <f>EXP(-LN(2)/2)*AW154+(1-EXP(-LN(2)/2))/(LN(2)/2)*AQ155*AT155*VLOOKUP('Données projet'!$B$10,Paramètres!$A$1:$I$89,3,0)*0.475*44/12</f>
        <v>3.8223312292436354E-13</v>
      </c>
      <c r="AX155" s="21">
        <f t="shared" si="166"/>
        <v>31.024431505130771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-6.5483618527650828E-14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418.31716673276725</v>
      </c>
      <c r="BJ155" s="59">
        <f t="shared" si="146"/>
        <v>472.37891533957929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22.144695423555476</v>
      </c>
      <c r="BQ155" s="21">
        <f>EXP(-LN(2)/25)*BQ154+(1-EXP(-LN(2)/25))/(LN(2)/25)*Calculateur!BL155*Calculateur!BN155*VLOOKUP('Données projet'!$B$11,Paramètres!$A$1:$I$89,3,0)*0.475*44/12</f>
        <v>2.4083901724535748</v>
      </c>
      <c r="BR155" s="21">
        <f>EXP(-LN(2)/2)*BR154+(1-EXP(-LN(2)/2))/(LN(2)/2)*BL155*BO155*VLOOKUP('Données projet'!$B$11,Paramètres!$A$1:$I$89,3,0)*0.475*44/12</f>
        <v>5.9284029612169301E-13</v>
      </c>
      <c r="BS155" s="22">
        <f t="shared" si="169"/>
        <v>24.553085596009645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1.1368683772161603E-13</v>
      </c>
      <c r="BZ155" s="13">
        <f>BY155*VLOOKUP('Données projet'!$B$12,Paramètres!$A$1:$I$89,3,0)*VLOOKUP('Données projet'!$B$12,Paramètres!$A$1:$I$89,5,0)</f>
        <v>6.6506800067145386E-14</v>
      </c>
      <c r="CA155" s="13">
        <f t="shared" si="170"/>
        <v>1.0476989505385114E-12</v>
      </c>
      <c r="CB155" s="20">
        <f t="shared" si="171"/>
        <v>1.9405750156381857E-12</v>
      </c>
      <c r="CC155" s="59">
        <f t="shared" si="119"/>
        <v>286.92141300674183</v>
      </c>
      <c r="CD155" s="59">
        <f ca="1">AVERAGE(OFFSET($CC$3,0,0,'Données projet'!$E$12+1,1))-AVERAGE(OFFSET($H$3,0,0,'Données projet'!$E$12+1,1))</f>
        <v>184.11352167663844</v>
      </c>
      <c r="CE155" s="59">
        <f t="shared" si="148"/>
        <v>145.86653500981791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16.098411128884887</v>
      </c>
      <c r="CL155" s="21">
        <f>EXP(-LN(2)/25)*CL154+(1-EXP(-LN(2)/25))/(LN(2)/25)*Calculateur!CG155*Calculateur!CI155*VLOOKUP('Données projet'!$B$12,Paramètres!$A$1:$I$89,3,0)*0.475*44/12</f>
        <v>3.8212489558967455</v>
      </c>
      <c r="CM155" s="21">
        <f>EXP(-LN(2)/2)*CM154+(1-EXP(-LN(2)/2))/(LN(2)/2)*CG155*CJ155*VLOOKUP('Données projet'!$B$12,Paramètres!$A$1:$I$89,3,0)*0.475*44/12</f>
        <v>8.7964803662702604E-9</v>
      </c>
      <c r="CN155" s="22">
        <f t="shared" si="172"/>
        <v>19.919660093578113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2.8716666666666648</v>
      </c>
      <c r="CT155" s="12">
        <f>IF('Données projet'!$A$140&gt;35,CT154+CS155-DB154,IF(A155&lt;'Données projet'!$A$140,$CQ$205^A155,IF(A155='Données projet'!$A$140,'Données projet'!$B$140,CT154+CS155-DB154)))</f>
        <v>182.363333333333</v>
      </c>
      <c r="CU155" s="17">
        <f>CT155*VLOOKUP('Données projet'!$B$13,Paramètres!$A$1:$I$89,3,0)*VLOOKUP('Données projet'!$B$13,Paramètres!$A$1:$I$89,5,0)</f>
        <v>87.716763333333176</v>
      </c>
      <c r="CV155" s="13">
        <f t="shared" si="173"/>
        <v>24.013742461472958</v>
      </c>
      <c r="CW155" s="20">
        <f t="shared" si="174"/>
        <v>194.59729759262066</v>
      </c>
      <c r="CX155" s="59">
        <f t="shared" si="122"/>
        <v>481.51871059936059</v>
      </c>
      <c r="CY155" s="59">
        <f ca="1">AVERAGE(OFFSET($CX$3,0,0,'Données projet'!$E$13+1,1))-AVERAGE(OFFSET($H$3,0,0,'Données projet'!$E$13+1,1))</f>
        <v>303.76035885073708</v>
      </c>
      <c r="CZ155" s="59">
        <f t="shared" si="150"/>
        <v>127.43112562890414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54.797753653180997</v>
      </c>
      <c r="DG155" s="21">
        <f>EXP(-LN(2)/25)*DG154+(1-EXP(-LN(2)/25))/(LN(2)/25)*Calculateur!DB155*Calculateur!DD155*VLOOKUP('Données projet'!$B$13,Paramètres!$A$1:$I$89,3,0)*0.475*44/12</f>
        <v>24.821485996440703</v>
      </c>
      <c r="DH155" s="21">
        <f>EXP(-LN(2)/2)*DH154+(1-EXP(-LN(2)/2))/(LN(2)/2)*DB155*DE155*VLOOKUP('Données projet'!$B$13,Paramètres!$A$1:$I$89,3,0)*0.475*44/12</f>
        <v>8.5406138826117548</v>
      </c>
      <c r="DI155" s="22">
        <f t="shared" si="175"/>
        <v>88.159853532233456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5.6843418860808015E-14</v>
      </c>
      <c r="DP155" s="17">
        <f>DO155*VLOOKUP('Données projet'!$B$14,Paramètres!$A$1:$I$89,3,0)*VLOOKUP('Données projet'!$B$14,Paramètres!$A$1:$I$89,5,0)</f>
        <v>3.2810021366458389E-14</v>
      </c>
      <c r="DQ155" s="13">
        <f t="shared" si="176"/>
        <v>5.6117125884464641E-13</v>
      </c>
      <c r="DR155" s="20">
        <f t="shared" si="177"/>
        <v>1.0345173963676741E-12</v>
      </c>
      <c r="DS155" s="59">
        <f t="shared" si="125"/>
        <v>286.92141300674092</v>
      </c>
      <c r="DT155" s="59">
        <f ca="1">AVERAGE(OFFSET($DS$3,0,0,'Données projet'!$E$14+1,1))-AVERAGE(OFFSET($H$3,0,0,'Données projet'!$E$14+1,1))</f>
        <v>243.65374431792841</v>
      </c>
      <c r="DU155" s="59">
        <f t="shared" si="152"/>
        <v>271.60754570002939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9.626673241945781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9.626673241945781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-4.5474735088646412E-13</v>
      </c>
      <c r="EK155" s="17">
        <f>EJ155*VLOOKUP('Données projet'!$B$15,Paramètres!$A$1:$I$89,3,0)*VLOOKUP('Données projet'!$B$15,Paramètres!$A$1:$I$89,5,0)</f>
        <v>-3.0504452297464016E-13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321.44781099085594</v>
      </c>
      <c r="EP155" s="59">
        <f t="shared" si="154"/>
        <v>201.22243186578183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60.310225219894555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60.310225219894555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2.8421709430404007E-14</v>
      </c>
      <c r="FF155" s="17">
        <f>FE155*VLOOKUP('Données projet'!$B$16,Paramètres!$A$1:$I$89,3,0)*VLOOKUP('Données projet'!$B$16,Paramètres!$A$1:$I$89,5,0)</f>
        <v>2.4829205358400945E-14</v>
      </c>
      <c r="FG155" s="13">
        <f t="shared" si="182"/>
        <v>4.3867331143352915E-13</v>
      </c>
      <c r="FH155" s="20">
        <f t="shared" si="183"/>
        <v>8.0726688341261168E-13</v>
      </c>
      <c r="FI155" s="59">
        <f t="shared" si="131"/>
        <v>286.92141300674069</v>
      </c>
      <c r="FJ155" s="59">
        <f ca="1">AVERAGE(OFFSET($FI$3,0,0,'Données projet'!$E$16+1,1))-AVERAGE(OFFSET($H$3,0,0,'Données projet'!$E$16+1,1))</f>
        <v>285.8437404763045</v>
      </c>
      <c r="FK155" s="59">
        <f t="shared" si="156"/>
        <v>276.01618888357268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19.068490302545957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19.068490302545957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-1.7053025658242404E-13</v>
      </c>
      <c r="GA155" s="17">
        <f>FZ155*VLOOKUP('Données projet'!$B$17,Paramètres!$A$1:$I$89,3,0)*VLOOKUP('Données projet'!$B$17,Paramètres!$A$1:$I$89,5,0)</f>
        <v>-1.3567387213697657E-13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323.01113210765487</v>
      </c>
      <c r="GF155" s="59">
        <f t="shared" si="158"/>
        <v>311.68541696405975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21.889747095621225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21.889747095621225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2.8421709430404007E-14</v>
      </c>
      <c r="GV155" s="17">
        <f>GU155*VLOOKUP('Données projet'!$B$18,Paramètres!$A$1:$I$89,3,0)*VLOOKUP('Données projet'!$B$18,Paramètres!$A$1:$I$89,5,0)</f>
        <v>2.4829205358400945E-14</v>
      </c>
      <c r="GW155" s="13">
        <f t="shared" si="188"/>
        <v>4.3867331143352915E-13</v>
      </c>
      <c r="GX155" s="20">
        <f t="shared" si="189"/>
        <v>8.0726688341261168E-13</v>
      </c>
      <c r="GY155" s="59">
        <f t="shared" si="137"/>
        <v>286.92141300674069</v>
      </c>
      <c r="GZ155" s="59">
        <f ca="1">AVERAGE(OFFSET($GY$3,0,0,'Données projet'!$E$18+1,1))-AVERAGE(OFFSET($H$3,0,0,'Données projet'!$E$18+1,1))</f>
        <v>285.8437404763045</v>
      </c>
      <c r="HA155" s="59">
        <f t="shared" si="160"/>
        <v>276.01618888357268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19.068490302545957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19.068490302545957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-1.0286385077051818E-13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315.34103933739129</v>
      </c>
      <c r="T156" s="59">
        <f t="shared" si="142"/>
        <v>165.80901858372513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52.700856974825186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52.700856974825186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-2.0395418687257919E-13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317.328615425664</v>
      </c>
      <c r="AO156" s="59">
        <f t="shared" si="144"/>
        <v>324.95872842255744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27.827678804027826</v>
      </c>
      <c r="AV156" s="21">
        <f>EXP(-LN(2)/25)*AV155+(1-EXP(-LN(2)/25))/(LN(2)/25)*Calculateur!AQ156*Calculateur!AS156*VLOOKUP('Données projet'!$B$10,Paramètres!$A$1:$I$89,3,0)*0.475*44/12</f>
        <v>2.567959179338049</v>
      </c>
      <c r="AW156" s="21">
        <f>EXP(-LN(2)/2)*AW155+(1-EXP(-LN(2)/2))/(LN(2)/2)*AQ156*AT156*VLOOKUP('Données projet'!$B$10,Paramètres!$A$1:$I$89,3,0)*0.475*44/12</f>
        <v>2.7027963321392865E-13</v>
      </c>
      <c r="AX156" s="21">
        <f t="shared" si="166"/>
        <v>30.395637983366147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-6.5483618527650828E-14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418.31716673276725</v>
      </c>
      <c r="BJ156" s="59">
        <f t="shared" si="146"/>
        <v>472.37891533957929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21.710451453230064</v>
      </c>
      <c r="BQ156" s="21">
        <f>EXP(-LN(2)/25)*BQ155+(1-EXP(-LN(2)/25))/(LN(2)/25)*Calculateur!BL156*Calculateur!BN156*VLOOKUP('Données projet'!$B$11,Paramètres!$A$1:$I$89,3,0)*0.475*44/12</f>
        <v>2.3425326165360971</v>
      </c>
      <c r="BR156" s="21">
        <f>EXP(-LN(2)/2)*BR155+(1-EXP(-LN(2)/2))/(LN(2)/2)*BL156*BO156*VLOOKUP('Données projet'!$B$11,Paramètres!$A$1:$I$89,3,0)*0.475*44/12</f>
        <v>4.1920139354829003E-13</v>
      </c>
      <c r="BS156" s="22">
        <f t="shared" si="169"/>
        <v>24.05298406976658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1.1368683772161603E-13</v>
      </c>
      <c r="BZ156" s="13">
        <f>BY156*VLOOKUP('Données projet'!$B$12,Paramètres!$A$1:$I$89,3,0)*VLOOKUP('Données projet'!$B$12,Paramètres!$A$1:$I$89,5,0)</f>
        <v>6.6506800067145386E-14</v>
      </c>
      <c r="CA156" s="13">
        <f t="shared" si="170"/>
        <v>1.0476989505385114E-12</v>
      </c>
      <c r="CB156" s="20">
        <f t="shared" si="171"/>
        <v>1.9405750156381857E-12</v>
      </c>
      <c r="CC156" s="59">
        <f t="shared" si="119"/>
        <v>287.03264548950193</v>
      </c>
      <c r="CD156" s="59">
        <f ca="1">AVERAGE(OFFSET($CC$3,0,0,'Données projet'!$E$12+1,1))-AVERAGE(OFFSET($H$3,0,0,'Données projet'!$E$12+1,1))</f>
        <v>184.11352167663844</v>
      </c>
      <c r="CE156" s="59">
        <f t="shared" si="148"/>
        <v>145.86653500981791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15.782731105708692</v>
      </c>
      <c r="CL156" s="21">
        <f>EXP(-LN(2)/25)*CL155+(1-EXP(-LN(2)/25))/(LN(2)/25)*Calculateur!CG156*Calculateur!CI156*VLOOKUP('Données projet'!$B$12,Paramètres!$A$1:$I$89,3,0)*0.475*44/12</f>
        <v>3.7167567022469998</v>
      </c>
      <c r="CM156" s="21">
        <f>EXP(-LN(2)/2)*CM155+(1-EXP(-LN(2)/2))/(LN(2)/2)*CG156*CJ156*VLOOKUP('Données projet'!$B$12,Paramètres!$A$1:$I$89,3,0)*0.475*44/12</f>
        <v>6.2200509175640265E-9</v>
      </c>
      <c r="CN156" s="22">
        <f t="shared" si="172"/>
        <v>19.499487814175744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2.8716666666666648</v>
      </c>
      <c r="CT156" s="12">
        <f>IF('Données projet'!$A$140&gt;35,CT155+CS156-DB155,IF(A156&lt;'Données projet'!$A$140,$CQ$205^A156,IF(A156='Données projet'!$A$140,'Données projet'!$B$140,CT155+CS156-DB155)))</f>
        <v>185.23499999999967</v>
      </c>
      <c r="CU156" s="17">
        <f>CT156*VLOOKUP('Données projet'!$B$13,Paramètres!$A$1:$I$89,3,0)*VLOOKUP('Données projet'!$B$13,Paramètres!$A$1:$I$89,5,0)</f>
        <v>89.09803499999984</v>
      </c>
      <c r="CV156" s="13">
        <f t="shared" si="173"/>
        <v>24.347565399279908</v>
      </c>
      <c r="CW156" s="20">
        <f t="shared" si="174"/>
        <v>197.58442069541221</v>
      </c>
      <c r="CX156" s="59">
        <f t="shared" si="122"/>
        <v>484.61706618491223</v>
      </c>
      <c r="CY156" s="59">
        <f ca="1">AVERAGE(OFFSET($CX$3,0,0,'Données projet'!$E$13+1,1))-AVERAGE(OFFSET($H$3,0,0,'Données projet'!$E$13+1,1))</f>
        <v>303.76035885073708</v>
      </c>
      <c r="CZ156" s="59">
        <f t="shared" si="150"/>
        <v>127.43112562890414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53.723203127371569</v>
      </c>
      <c r="DG156" s="21">
        <f>EXP(-LN(2)/25)*DG155+(1-EXP(-LN(2)/25))/(LN(2)/25)*Calculateur!DB156*Calculateur!DD156*VLOOKUP('Données projet'!$B$13,Paramètres!$A$1:$I$89,3,0)*0.475*44/12</f>
        <v>24.142741156562813</v>
      </c>
      <c r="DH156" s="21">
        <f>EXP(-LN(2)/2)*DH155+(1-EXP(-LN(2)/2))/(LN(2)/2)*DB156*DE156*VLOOKUP('Données projet'!$B$13,Paramètres!$A$1:$I$89,3,0)*0.475*44/12</f>
        <v>6.0391259918907405</v>
      </c>
      <c r="DI156" s="22">
        <f t="shared" si="175"/>
        <v>83.905070275825125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5.6843418860808015E-14</v>
      </c>
      <c r="DP156" s="17">
        <f>DO156*VLOOKUP('Données projet'!$B$14,Paramètres!$A$1:$I$89,3,0)*VLOOKUP('Données projet'!$B$14,Paramètres!$A$1:$I$89,5,0)</f>
        <v>3.2810021366458389E-14</v>
      </c>
      <c r="DQ156" s="13">
        <f t="shared" si="176"/>
        <v>5.6117125884464641E-13</v>
      </c>
      <c r="DR156" s="20">
        <f t="shared" si="177"/>
        <v>1.0345173963676741E-12</v>
      </c>
      <c r="DS156" s="59">
        <f t="shared" si="125"/>
        <v>287.03264548950102</v>
      </c>
      <c r="DT156" s="59">
        <f ca="1">AVERAGE(OFFSET($DS$3,0,0,'Données projet'!$E$14+1,1))-AVERAGE(OFFSET($H$3,0,0,'Données projet'!$E$14+1,1))</f>
        <v>243.65374431792841</v>
      </c>
      <c r="DU156" s="59">
        <f t="shared" si="152"/>
        <v>271.60754570002939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9.4379000513621207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9.4379000513621207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-4.5474735088646412E-13</v>
      </c>
      <c r="EK156" s="17">
        <f>EJ156*VLOOKUP('Données projet'!$B$15,Paramètres!$A$1:$I$89,3,0)*VLOOKUP('Données projet'!$B$15,Paramètres!$A$1:$I$89,5,0)</f>
        <v>-3.0504452297464016E-13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321.44781099085594</v>
      </c>
      <c r="EP156" s="59">
        <f t="shared" si="154"/>
        <v>201.22243186578183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59.12757848893753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59.12757848893753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2.8421709430404007E-14</v>
      </c>
      <c r="FF156" s="17">
        <f>FE156*VLOOKUP('Données projet'!$B$16,Paramètres!$A$1:$I$89,3,0)*VLOOKUP('Données projet'!$B$16,Paramètres!$A$1:$I$89,5,0)</f>
        <v>2.4829205358400945E-14</v>
      </c>
      <c r="FG156" s="13">
        <f t="shared" si="182"/>
        <v>4.3867331143352915E-13</v>
      </c>
      <c r="FH156" s="20">
        <f t="shared" si="183"/>
        <v>8.0726688341261168E-13</v>
      </c>
      <c r="FI156" s="59">
        <f t="shared" si="131"/>
        <v>287.03264548950079</v>
      </c>
      <c r="FJ156" s="59">
        <f ca="1">AVERAGE(OFFSET($FI$3,0,0,'Données projet'!$E$16+1,1))-AVERAGE(OFFSET($H$3,0,0,'Données projet'!$E$16+1,1))</f>
        <v>285.8437404763045</v>
      </c>
      <c r="FK156" s="59">
        <f t="shared" si="156"/>
        <v>276.01618888357268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18.694568838343685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18.694568838343685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-1.7053025658242404E-13</v>
      </c>
      <c r="GA156" s="17">
        <f>FZ156*VLOOKUP('Données projet'!$B$17,Paramètres!$A$1:$I$89,3,0)*VLOOKUP('Données projet'!$B$17,Paramètres!$A$1:$I$89,5,0)</f>
        <v>-1.3567387213697657E-13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323.01113210765487</v>
      </c>
      <c r="GF156" s="59">
        <f t="shared" si="158"/>
        <v>311.68541696405975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21.460502506503477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21.460502506503477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2.8421709430404007E-14</v>
      </c>
      <c r="GV156" s="17">
        <f>GU156*VLOOKUP('Données projet'!$B$18,Paramètres!$A$1:$I$89,3,0)*VLOOKUP('Données projet'!$B$18,Paramètres!$A$1:$I$89,5,0)</f>
        <v>2.4829205358400945E-14</v>
      </c>
      <c r="GW156" s="13">
        <f t="shared" si="188"/>
        <v>4.3867331143352915E-13</v>
      </c>
      <c r="GX156" s="20">
        <f t="shared" si="189"/>
        <v>8.0726688341261168E-13</v>
      </c>
      <c r="GY156" s="59">
        <f t="shared" si="137"/>
        <v>287.03264548950079</v>
      </c>
      <c r="GZ156" s="59">
        <f ca="1">AVERAGE(OFFSET($GY$3,0,0,'Données projet'!$E$18+1,1))-AVERAGE(OFFSET($H$3,0,0,'Données projet'!$E$18+1,1))</f>
        <v>285.8437404763045</v>
      </c>
      <c r="HA156" s="59">
        <f t="shared" si="160"/>
        <v>276.01618888357268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18.694568838343685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18.694568838343685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-1.0286385077051818E-13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315.34103933739129</v>
      </c>
      <c r="T157" s="59">
        <f t="shared" si="142"/>
        <v>165.80901858372513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51.667425313897631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51.667425313897631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-2.0395418687257919E-13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317.328615425664</v>
      </c>
      <c r="AO157" s="59">
        <f t="shared" si="144"/>
        <v>324.95872842255744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27.281994995888947</v>
      </c>
      <c r="AV157" s="21">
        <f>EXP(-LN(2)/25)*AV156+(1-EXP(-LN(2)/25))/(LN(2)/25)*Calculateur!AQ157*Calculateur!AS157*VLOOKUP('Données projet'!$B$10,Paramètres!$A$1:$I$89,3,0)*0.475*44/12</f>
        <v>2.4977382005359461</v>
      </c>
      <c r="AW157" s="21">
        <f>EXP(-LN(2)/2)*AW156+(1-EXP(-LN(2)/2))/(LN(2)/2)*AQ157*AT157*VLOOKUP('Données projet'!$B$10,Paramètres!$A$1:$I$89,3,0)*0.475*44/12</f>
        <v>1.9111656146218177E-13</v>
      </c>
      <c r="AX157" s="21">
        <f t="shared" si="166"/>
        <v>29.779733196425084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-6.5483618527650828E-14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418.31716673276725</v>
      </c>
      <c r="BJ157" s="59">
        <f t="shared" si="146"/>
        <v>472.37891533957929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21.284722742300062</v>
      </c>
      <c r="BQ157" s="21">
        <f>EXP(-LN(2)/25)*BQ156+(1-EXP(-LN(2)/25))/(LN(2)/25)*Calculateur!BL157*Calculateur!BN157*VLOOKUP('Données projet'!$B$11,Paramètres!$A$1:$I$89,3,0)*0.475*44/12</f>
        <v>2.278475938948481</v>
      </c>
      <c r="BR157" s="21">
        <f>EXP(-LN(2)/2)*BR156+(1-EXP(-LN(2)/2))/(LN(2)/2)*BL157*BO157*VLOOKUP('Données projet'!$B$11,Paramètres!$A$1:$I$89,3,0)*0.475*44/12</f>
        <v>2.9642014806084651E-13</v>
      </c>
      <c r="BS157" s="22">
        <f t="shared" si="169"/>
        <v>23.563198681248839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1.1368683772161603E-13</v>
      </c>
      <c r="BZ157" s="13">
        <f>BY157*VLOOKUP('Données projet'!$B$12,Paramètres!$A$1:$I$89,3,0)*VLOOKUP('Données projet'!$B$12,Paramètres!$A$1:$I$89,5,0)</f>
        <v>6.6506800067145386E-14</v>
      </c>
      <c r="CA157" s="13">
        <f t="shared" si="170"/>
        <v>1.0476989505385114E-12</v>
      </c>
      <c r="CB157" s="20">
        <f t="shared" si="171"/>
        <v>1.9405750156381857E-12</v>
      </c>
      <c r="CC157" s="59">
        <f t="shared" si="119"/>
        <v>287.14194833736468</v>
      </c>
      <c r="CD157" s="59">
        <f ca="1">AVERAGE(OFFSET($CC$3,0,0,'Données projet'!$E$12+1,1))-AVERAGE(OFFSET($H$3,0,0,'Données projet'!$E$12+1,1))</f>
        <v>184.11352167663844</v>
      </c>
      <c r="CE157" s="59">
        <f t="shared" si="148"/>
        <v>145.86653500981791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15.473241375241178</v>
      </c>
      <c r="CL157" s="21">
        <f>EXP(-LN(2)/25)*CL156+(1-EXP(-LN(2)/25))/(LN(2)/25)*Calculateur!CG157*Calculateur!CI157*VLOOKUP('Données projet'!$B$12,Paramètres!$A$1:$I$89,3,0)*0.475*44/12</f>
        <v>3.6151217947683154</v>
      </c>
      <c r="CM157" s="21">
        <f>EXP(-LN(2)/2)*CM156+(1-EXP(-LN(2)/2))/(LN(2)/2)*CG157*CJ157*VLOOKUP('Données projet'!$B$12,Paramètres!$A$1:$I$89,3,0)*0.475*44/12</f>
        <v>4.3982401831351302E-9</v>
      </c>
      <c r="CN157" s="22">
        <f t="shared" si="172"/>
        <v>19.088363174407736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2.8716666666666648</v>
      </c>
      <c r="CT157" s="12">
        <f>IF('Données projet'!$A$140&gt;35,CT156+CS157-DB156,IF(A157&lt;'Données projet'!$A$140,$CQ$205^A157,IF(A157='Données projet'!$A$140,'Données projet'!$B$140,CT156+CS157-DB156)))</f>
        <v>188.10666666666634</v>
      </c>
      <c r="CU157" s="17">
        <f>CT157*VLOOKUP('Données projet'!$B$13,Paramètres!$A$1:$I$89,3,0)*VLOOKUP('Données projet'!$B$13,Paramètres!$A$1:$I$89,5,0)</f>
        <v>90.479306666666517</v>
      </c>
      <c r="CV157" s="13">
        <f t="shared" si="173"/>
        <v>24.680786461488243</v>
      </c>
      <c r="CW157" s="20">
        <f t="shared" si="174"/>
        <v>200.57049553153618</v>
      </c>
      <c r="CX157" s="59">
        <f t="shared" si="122"/>
        <v>487.71244386889896</v>
      </c>
      <c r="CY157" s="59">
        <f ca="1">AVERAGE(OFFSET($CX$3,0,0,'Données projet'!$E$13+1,1))-AVERAGE(OFFSET($H$3,0,0,'Données projet'!$E$13+1,1))</f>
        <v>303.76035885073708</v>
      </c>
      <c r="CZ157" s="59">
        <f t="shared" si="150"/>
        <v>127.43112562890414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52.669723881962156</v>
      </c>
      <c r="DG157" s="21">
        <f>EXP(-LN(2)/25)*DG156+(1-EXP(-LN(2)/25))/(LN(2)/25)*Calculateur!DB157*Calculateur!DD157*VLOOKUP('Données projet'!$B$13,Paramètres!$A$1:$I$89,3,0)*0.475*44/12</f>
        <v>23.482556630025027</v>
      </c>
      <c r="DH157" s="21">
        <f>EXP(-LN(2)/2)*DH156+(1-EXP(-LN(2)/2))/(LN(2)/2)*DB157*DE157*VLOOKUP('Données projet'!$B$13,Paramètres!$A$1:$I$89,3,0)*0.475*44/12</f>
        <v>4.2703069413058783</v>
      </c>
      <c r="DI157" s="22">
        <f t="shared" si="175"/>
        <v>80.422587453293062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5.6843418860808015E-14</v>
      </c>
      <c r="DP157" s="17">
        <f>DO157*VLOOKUP('Données projet'!$B$14,Paramètres!$A$1:$I$89,3,0)*VLOOKUP('Données projet'!$B$14,Paramètres!$A$1:$I$89,5,0)</f>
        <v>3.2810021366458389E-14</v>
      </c>
      <c r="DQ157" s="13">
        <f t="shared" si="176"/>
        <v>5.6117125884464641E-13</v>
      </c>
      <c r="DR157" s="20">
        <f t="shared" si="177"/>
        <v>1.0345173963676741E-12</v>
      </c>
      <c r="DS157" s="59">
        <f t="shared" si="125"/>
        <v>287.14194833736377</v>
      </c>
      <c r="DT157" s="59">
        <f ca="1">AVERAGE(OFFSET($DS$3,0,0,'Données projet'!$E$14+1,1))-AVERAGE(OFFSET($H$3,0,0,'Données projet'!$E$14+1,1))</f>
        <v>243.65374431792841</v>
      </c>
      <c r="DU157" s="59">
        <f t="shared" si="152"/>
        <v>271.60754570002939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9.2528285879055279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9.2528285879055279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-4.5474735088646412E-13</v>
      </c>
      <c r="EK157" s="17">
        <f>EJ157*VLOOKUP('Données projet'!$B$15,Paramètres!$A$1:$I$89,3,0)*VLOOKUP('Données projet'!$B$15,Paramètres!$A$1:$I$89,5,0)</f>
        <v>-3.0504452297464016E-13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321.44781099085594</v>
      </c>
      <c r="EP157" s="59">
        <f t="shared" si="154"/>
        <v>201.22243186578183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57.968122739031294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57.968122739031294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2.8421709430404007E-14</v>
      </c>
      <c r="FF157" s="17">
        <f>FE157*VLOOKUP('Données projet'!$B$16,Paramètres!$A$1:$I$89,3,0)*VLOOKUP('Données projet'!$B$16,Paramètres!$A$1:$I$89,5,0)</f>
        <v>2.4829205358400945E-14</v>
      </c>
      <c r="FG157" s="13">
        <f t="shared" si="182"/>
        <v>4.3867331143352915E-13</v>
      </c>
      <c r="FH157" s="20">
        <f t="shared" si="183"/>
        <v>8.0726688341261168E-13</v>
      </c>
      <c r="FI157" s="59">
        <f t="shared" si="131"/>
        <v>287.14194833736354</v>
      </c>
      <c r="FJ157" s="59">
        <f ca="1">AVERAGE(OFFSET($FI$3,0,0,'Données projet'!$E$16+1,1))-AVERAGE(OFFSET($H$3,0,0,'Données projet'!$E$16+1,1))</f>
        <v>285.8437404763045</v>
      </c>
      <c r="FK157" s="59">
        <f t="shared" si="156"/>
        <v>276.01618888357268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18.327979745984848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18.327979745984848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-1.7053025658242404E-13</v>
      </c>
      <c r="GA157" s="17">
        <f>FZ157*VLOOKUP('Données projet'!$B$17,Paramètres!$A$1:$I$89,3,0)*VLOOKUP('Données projet'!$B$17,Paramètres!$A$1:$I$89,5,0)</f>
        <v>-1.3567387213697657E-13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323.01113210765487</v>
      </c>
      <c r="GF157" s="59">
        <f t="shared" si="158"/>
        <v>311.68541696405975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21.039675141964981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21.039675141964981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2.8421709430404007E-14</v>
      </c>
      <c r="GV157" s="17">
        <f>GU157*VLOOKUP('Données projet'!$B$18,Paramètres!$A$1:$I$89,3,0)*VLOOKUP('Données projet'!$B$18,Paramètres!$A$1:$I$89,5,0)</f>
        <v>2.4829205358400945E-14</v>
      </c>
      <c r="GW157" s="13">
        <f t="shared" si="188"/>
        <v>4.3867331143352915E-13</v>
      </c>
      <c r="GX157" s="20">
        <f t="shared" si="189"/>
        <v>8.0726688341261168E-13</v>
      </c>
      <c r="GY157" s="59">
        <f t="shared" si="137"/>
        <v>287.14194833736354</v>
      </c>
      <c r="GZ157" s="59">
        <f ca="1">AVERAGE(OFFSET($GY$3,0,0,'Données projet'!$E$18+1,1))-AVERAGE(OFFSET($H$3,0,0,'Données projet'!$E$18+1,1))</f>
        <v>285.8437404763045</v>
      </c>
      <c r="HA157" s="59">
        <f t="shared" si="160"/>
        <v>276.01618888357268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18.327979745984848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18.327979745984848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-1.0286385077051818E-13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315.34103933739129</v>
      </c>
      <c r="T158" s="59">
        <f t="shared" si="142"/>
        <v>165.80901858372513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50.65425861750979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50.65425861750979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-2.0395418687257919E-13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317.328615425664</v>
      </c>
      <c r="AO158" s="59">
        <f t="shared" si="144"/>
        <v>324.95872842255744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26.747011714393413</v>
      </c>
      <c r="AV158" s="21">
        <f>EXP(-LN(2)/25)*AV157+(1-EXP(-LN(2)/25))/(LN(2)/25)*Calculateur!AQ158*Calculateur!AS158*VLOOKUP('Données projet'!$B$10,Paramètres!$A$1:$I$89,3,0)*0.475*44/12</f>
        <v>2.4294374180919474</v>
      </c>
      <c r="AW158" s="21">
        <f>EXP(-LN(2)/2)*AW157+(1-EXP(-LN(2)/2))/(LN(2)/2)*AQ158*AT158*VLOOKUP('Données projet'!$B$10,Paramètres!$A$1:$I$89,3,0)*0.475*44/12</f>
        <v>1.3513981660696432E-13</v>
      </c>
      <c r="AX158" s="21">
        <f t="shared" si="166"/>
        <v>29.176449132485494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-6.5483618527650828E-14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418.31716673276725</v>
      </c>
      <c r="BJ158" s="59">
        <f t="shared" si="146"/>
        <v>472.37891533957929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20.867342311722524</v>
      </c>
      <c r="BQ158" s="21">
        <f>EXP(-LN(2)/25)*BQ157+(1-EXP(-LN(2)/25))/(LN(2)/25)*Calculateur!BL158*Calculateur!BN158*VLOOKUP('Données projet'!$B$11,Paramètres!$A$1:$I$89,3,0)*0.475*44/12</f>
        <v>2.2161708945780925</v>
      </c>
      <c r="BR158" s="21">
        <f>EXP(-LN(2)/2)*BR157+(1-EXP(-LN(2)/2))/(LN(2)/2)*BL158*BO158*VLOOKUP('Données projet'!$B$11,Paramètres!$A$1:$I$89,3,0)*0.475*44/12</f>
        <v>2.0960069677414501E-13</v>
      </c>
      <c r="BS158" s="22">
        <f t="shared" si="169"/>
        <v>23.083513206300825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1.1368683772161603E-13</v>
      </c>
      <c r="BZ158" s="13">
        <f>BY158*VLOOKUP('Données projet'!$B$12,Paramètres!$A$1:$I$89,3,0)*VLOOKUP('Données projet'!$B$12,Paramètres!$A$1:$I$89,5,0)</f>
        <v>6.6506800067145386E-14</v>
      </c>
      <c r="CA158" s="13">
        <f t="shared" si="170"/>
        <v>1.0476989505385114E-12</v>
      </c>
      <c r="CB158" s="20">
        <f t="shared" si="171"/>
        <v>1.9405750156381857E-12</v>
      </c>
      <c r="CC158" s="59">
        <f t="shared" si="119"/>
        <v>287.24935502518161</v>
      </c>
      <c r="CD158" s="59">
        <f ca="1">AVERAGE(OFFSET($CC$3,0,0,'Données projet'!$E$12+1,1))-AVERAGE(OFFSET($H$3,0,0,'Données projet'!$E$12+1,1))</f>
        <v>184.11352167663844</v>
      </c>
      <c r="CE158" s="59">
        <f t="shared" si="148"/>
        <v>145.86653500981791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15.169820549618038</v>
      </c>
      <c r="CL158" s="21">
        <f>EXP(-LN(2)/25)*CL157+(1-EXP(-LN(2)/25))/(LN(2)/25)*Calculateur!CG158*Calculateur!CI158*VLOOKUP('Données projet'!$B$12,Paramètres!$A$1:$I$89,3,0)*0.475*44/12</f>
        <v>3.5162660991793833</v>
      </c>
      <c r="CM158" s="21">
        <f>EXP(-LN(2)/2)*CM157+(1-EXP(-LN(2)/2))/(LN(2)/2)*CG158*CJ158*VLOOKUP('Données projet'!$B$12,Paramètres!$A$1:$I$89,3,0)*0.475*44/12</f>
        <v>3.1100254587820133E-9</v>
      </c>
      <c r="CN158" s="22">
        <f t="shared" si="172"/>
        <v>18.686086651907445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2.8716666666666648</v>
      </c>
      <c r="CT158" s="12">
        <f>IF('Données projet'!$A$140&gt;35,CT157+CS158-DB157,IF(A158&lt;'Données projet'!$A$140,$CQ$205^A158,IF(A158='Données projet'!$A$140,'Données projet'!$B$140,CT157+CS158-DB157)))</f>
        <v>190.97833333333301</v>
      </c>
      <c r="CU158" s="17">
        <f>CT158*VLOOKUP('Données projet'!$B$13,Paramètres!$A$1:$I$89,3,0)*VLOOKUP('Données projet'!$B$13,Paramètres!$A$1:$I$89,5,0)</f>
        <v>91.86057833333318</v>
      </c>
      <c r="CV158" s="13">
        <f t="shared" si="173"/>
        <v>25.013415897642496</v>
      </c>
      <c r="CW158" s="20">
        <f t="shared" si="174"/>
        <v>203.55553995228263</v>
      </c>
      <c r="CX158" s="59">
        <f t="shared" si="122"/>
        <v>490.80489497746231</v>
      </c>
      <c r="CY158" s="59">
        <f ca="1">AVERAGE(OFFSET($CX$3,0,0,'Données projet'!$E$13+1,1))-AVERAGE(OFFSET($H$3,0,0,'Données projet'!$E$13+1,1))</f>
        <v>303.76035885073708</v>
      </c>
      <c r="CZ158" s="59">
        <f t="shared" si="150"/>
        <v>127.43112562890414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51.636902721996329</v>
      </c>
      <c r="DG158" s="21">
        <f>EXP(-LN(2)/25)*DG157+(1-EXP(-LN(2)/25))/(LN(2)/25)*Calculateur!DB158*Calculateur!DD158*VLOOKUP('Données projet'!$B$13,Paramètres!$A$1:$I$89,3,0)*0.475*44/12</f>
        <v>22.84042488408301</v>
      </c>
      <c r="DH158" s="21">
        <f>EXP(-LN(2)/2)*DH157+(1-EXP(-LN(2)/2))/(LN(2)/2)*DB158*DE158*VLOOKUP('Données projet'!$B$13,Paramètres!$A$1:$I$89,3,0)*0.475*44/12</f>
        <v>3.0195629959453711</v>
      </c>
      <c r="DI158" s="22">
        <f t="shared" si="175"/>
        <v>77.496890602024706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5.6843418860808015E-14</v>
      </c>
      <c r="DP158" s="17">
        <f>DO158*VLOOKUP('Données projet'!$B$14,Paramètres!$A$1:$I$89,3,0)*VLOOKUP('Données projet'!$B$14,Paramètres!$A$1:$I$89,5,0)</f>
        <v>3.2810021366458389E-14</v>
      </c>
      <c r="DQ158" s="13">
        <f t="shared" si="176"/>
        <v>5.6117125884464641E-13</v>
      </c>
      <c r="DR158" s="20">
        <f t="shared" si="177"/>
        <v>1.0345173963676741E-12</v>
      </c>
      <c r="DS158" s="59">
        <f t="shared" si="125"/>
        <v>287.24935502518071</v>
      </c>
      <c r="DT158" s="59">
        <f ca="1">AVERAGE(OFFSET($DS$3,0,0,'Données projet'!$E$14+1,1))-AVERAGE(OFFSET($H$3,0,0,'Données projet'!$E$14+1,1))</f>
        <v>243.65374431792841</v>
      </c>
      <c r="DU158" s="59">
        <f t="shared" si="152"/>
        <v>271.60754570002939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9.0713862629648734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9.0713862629648734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-4.5474735088646412E-13</v>
      </c>
      <c r="EK158" s="17">
        <f>EJ158*VLOOKUP('Données projet'!$B$15,Paramètres!$A$1:$I$89,3,0)*VLOOKUP('Données projet'!$B$15,Paramètres!$A$1:$I$89,5,0)</f>
        <v>-3.0504452297464016E-13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321.44781099085594</v>
      </c>
      <c r="EP158" s="59">
        <f t="shared" si="154"/>
        <v>201.22243186578183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56.83140320918254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56.83140320918254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2.8421709430404007E-14</v>
      </c>
      <c r="FF158" s="17">
        <f>FE158*VLOOKUP('Données projet'!$B$16,Paramètres!$A$1:$I$89,3,0)*VLOOKUP('Données projet'!$B$16,Paramètres!$A$1:$I$89,5,0)</f>
        <v>2.4829205358400945E-14</v>
      </c>
      <c r="FG158" s="13">
        <f t="shared" si="182"/>
        <v>4.3867331143352915E-13</v>
      </c>
      <c r="FH158" s="20">
        <f t="shared" si="183"/>
        <v>8.0726688341261168E-13</v>
      </c>
      <c r="FI158" s="59">
        <f t="shared" si="131"/>
        <v>287.24935502518048</v>
      </c>
      <c r="FJ158" s="59">
        <f ca="1">AVERAGE(OFFSET($FI$3,0,0,'Données projet'!$E$16+1,1))-AVERAGE(OFFSET($H$3,0,0,'Données projet'!$E$16+1,1))</f>
        <v>285.8437404763045</v>
      </c>
      <c r="FK158" s="59">
        <f t="shared" si="156"/>
        <v>276.01618888357268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17.968579242129898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17.968579242129898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-1.7053025658242404E-13</v>
      </c>
      <c r="GA158" s="17">
        <f>FZ158*VLOOKUP('Données projet'!$B$17,Paramètres!$A$1:$I$89,3,0)*VLOOKUP('Données projet'!$B$17,Paramètres!$A$1:$I$89,5,0)</f>
        <v>-1.3567387213697657E-13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323.01113210765487</v>
      </c>
      <c r="GF158" s="59">
        <f t="shared" si="158"/>
        <v>311.68541696405975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20.627099945365739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20.627099945365739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2.8421709430404007E-14</v>
      </c>
      <c r="GV158" s="17">
        <f>GU158*VLOOKUP('Données projet'!$B$18,Paramètres!$A$1:$I$89,3,0)*VLOOKUP('Données projet'!$B$18,Paramètres!$A$1:$I$89,5,0)</f>
        <v>2.4829205358400945E-14</v>
      </c>
      <c r="GW158" s="13">
        <f t="shared" si="188"/>
        <v>4.3867331143352915E-13</v>
      </c>
      <c r="GX158" s="20">
        <f t="shared" si="189"/>
        <v>8.0726688341261168E-13</v>
      </c>
      <c r="GY158" s="59">
        <f t="shared" si="137"/>
        <v>287.24935502518048</v>
      </c>
      <c r="GZ158" s="59">
        <f ca="1">AVERAGE(OFFSET($GY$3,0,0,'Données projet'!$E$18+1,1))-AVERAGE(OFFSET($H$3,0,0,'Données projet'!$E$18+1,1))</f>
        <v>285.8437404763045</v>
      </c>
      <c r="HA158" s="59">
        <f t="shared" si="160"/>
        <v>276.01618888357268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17.968579242129898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17.968579242129898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-1.0286385077051818E-13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315.34103933739129</v>
      </c>
      <c r="T159" s="59">
        <f t="shared" si="142"/>
        <v>165.80901858372513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49.660959502067449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49.660959502067449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-2.0395418687257919E-13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317.328615425664</v>
      </c>
      <c r="AO159" s="59">
        <f t="shared" si="144"/>
        <v>324.95872842255744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26.222519128740423</v>
      </c>
      <c r="AV159" s="21">
        <f>EXP(-LN(2)/25)*AV158+(1-EXP(-LN(2)/25))/(LN(2)/25)*Calculateur!AQ159*Calculateur!AS159*VLOOKUP('Données projet'!$B$10,Paramètres!$A$1:$I$89,3,0)*0.475*44/12</f>
        <v>2.363004324135662</v>
      </c>
      <c r="AW159" s="21">
        <f>EXP(-LN(2)/2)*AW158+(1-EXP(-LN(2)/2))/(LN(2)/2)*AQ159*AT159*VLOOKUP('Données projet'!$B$10,Paramètres!$A$1:$I$89,3,0)*0.475*44/12</f>
        <v>9.5558280731090885E-14</v>
      </c>
      <c r="AX159" s="21">
        <f t="shared" si="166"/>
        <v>28.585523452876181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-6.5483618527650828E-14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418.31716673276725</v>
      </c>
      <c r="BJ159" s="59">
        <f t="shared" si="146"/>
        <v>472.37891533957929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20.458146456811686</v>
      </c>
      <c r="BQ159" s="21">
        <f>EXP(-LN(2)/25)*BQ158+(1-EXP(-LN(2)/25))/(LN(2)/25)*Calculateur!BL159*Calculateur!BN159*VLOOKUP('Données projet'!$B$11,Paramètres!$A$1:$I$89,3,0)*0.475*44/12</f>
        <v>2.1555695849224925</v>
      </c>
      <c r="BR159" s="21">
        <f>EXP(-LN(2)/2)*BR158+(1-EXP(-LN(2)/2))/(LN(2)/2)*BL159*BO159*VLOOKUP('Données projet'!$B$11,Paramètres!$A$1:$I$89,3,0)*0.475*44/12</f>
        <v>1.4821007403042325E-13</v>
      </c>
      <c r="BS159" s="22">
        <f t="shared" si="169"/>
        <v>22.613716041734328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1.1368683772161603E-13</v>
      </c>
      <c r="BZ159" s="13">
        <f>BY159*VLOOKUP('Données projet'!$B$12,Paramètres!$A$1:$I$89,3,0)*VLOOKUP('Données projet'!$B$12,Paramètres!$A$1:$I$89,5,0)</f>
        <v>6.6506800067145386E-14</v>
      </c>
      <c r="CA159" s="13">
        <f t="shared" si="170"/>
        <v>1.0476989505385114E-12</v>
      </c>
      <c r="CB159" s="20">
        <f t="shared" si="171"/>
        <v>1.9405750156381857E-12</v>
      </c>
      <c r="CC159" s="59">
        <f t="shared" si="119"/>
        <v>287.35489844709025</v>
      </c>
      <c r="CD159" s="59">
        <f ca="1">AVERAGE(OFFSET($CC$3,0,0,'Données projet'!$E$12+1,1))-AVERAGE(OFFSET($H$3,0,0,'Données projet'!$E$12+1,1))</f>
        <v>184.11352167663844</v>
      </c>
      <c r="CE159" s="59">
        <f t="shared" si="148"/>
        <v>145.86653500981791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14.872349621316937</v>
      </c>
      <c r="CL159" s="21">
        <f>EXP(-LN(2)/25)*CL158+(1-EXP(-LN(2)/25))/(LN(2)/25)*Calculateur!CG159*Calculateur!CI159*VLOOKUP('Données projet'!$B$12,Paramètres!$A$1:$I$89,3,0)*0.475*44/12</f>
        <v>3.4201136177849256</v>
      </c>
      <c r="CM159" s="21">
        <f>EXP(-LN(2)/2)*CM158+(1-EXP(-LN(2)/2))/(LN(2)/2)*CG159*CJ159*VLOOKUP('Données projet'!$B$12,Paramètres!$A$1:$I$89,3,0)*0.475*44/12</f>
        <v>2.1991200915675651E-9</v>
      </c>
      <c r="CN159" s="22">
        <f t="shared" si="172"/>
        <v>18.292463241300982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>
        <f>VLOOKUP(A159,'Données projet'!$A$139:$I$159,2,0)</f>
        <v>193.85</v>
      </c>
      <c r="CR159" s="12">
        <f>VLOOKUP(A159,'Données projet'!$A$139:$I$159,9,0)</f>
        <v>2.8716666666666648</v>
      </c>
      <c r="CS159" s="12">
        <f t="array" ref="CS159">INDEX(CR:CR,MIN(IF(ISNUMBER(CR159:CR355),ROW(CR159:CR355),"")))</f>
        <v>2.8716666666666648</v>
      </c>
      <c r="CT159" s="12">
        <f>IF('Données projet'!$A$140&gt;35,CT158+CS159-DB158,IF(A159&lt;'Données projet'!$A$140,$CQ$205^A159,IF(A159='Données projet'!$A$140,'Données projet'!$B$140,CT158+CS159-DB158)))</f>
        <v>193.84999999999968</v>
      </c>
      <c r="CU159" s="17">
        <f>CT159*VLOOKUP('Données projet'!$B$13,Paramètres!$A$1:$I$89,3,0)*VLOOKUP('Données projet'!$B$13,Paramètres!$A$1:$I$89,5,0)</f>
        <v>93.241849999999843</v>
      </c>
      <c r="CV159" s="13">
        <f t="shared" si="173"/>
        <v>25.345463631359632</v>
      </c>
      <c r="CW159" s="20">
        <f t="shared" si="174"/>
        <v>206.53957124128442</v>
      </c>
      <c r="CX159" s="59">
        <f t="shared" si="122"/>
        <v>493.89446968837274</v>
      </c>
      <c r="CY159" s="59">
        <f ca="1">AVERAGE(OFFSET($CX$3,0,0,'Données projet'!$E$13+1,1))-AVERAGE(OFFSET($H$3,0,0,'Données projet'!$E$13+1,1))</f>
        <v>303.76035885073708</v>
      </c>
      <c r="CZ159" s="59">
        <f t="shared" si="150"/>
        <v>127.43112562890414</v>
      </c>
      <c r="DA159" s="15">
        <f>IF(ISNA(VLOOKUP(A159,'Données projet'!$A$139:$I$159,3,0)),0,VLOOKUP(A159,'Données projet'!$A$139:$I$159,3,0))</f>
        <v>17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0.33</v>
      </c>
      <c r="DD159" s="16">
        <f>IF(ISNA(VLOOKUP(A159,'Données projet'!$A$139:$I$159,6,0)),0%,VLOOKUP(A159,'Données projet'!$A$139:$I$159,6,0)*VLOOKUP('Données projet'!$B$13,Paramètres!$A$1:$I$89,7,0))</f>
        <v>0.12100000000000001</v>
      </c>
      <c r="DE159" s="16">
        <f>IF(ISNA(VLOOKUP(A159,'Données projet'!$A$139:$I$159,7,0)),0%,VLOOKUP(A159,'Données projet'!$A$139:$I$159,7,0))</f>
        <v>0.18</v>
      </c>
      <c r="DF159" s="21">
        <f>EXP(-LN(2)/35)*DF158+(1-EXP(-LN(2)/35))/(LN(2)/35)*DB159*DC159*VLOOKUP('Données projet'!$B$13,Paramètres!$A$1:$I$89,3,0)*0.475*44/12</f>
        <v>50.624334555018727</v>
      </c>
      <c r="DG159" s="21">
        <f>EXP(-LN(2)/25)*DG158+(1-EXP(-LN(2)/25))/(LN(2)/25)*Calculateur!DB159*Calculateur!DD159*VLOOKUP('Données projet'!$B$13,Paramètres!$A$1:$I$89,3,0)*0.475*44/12</f>
        <v>22.215852264502018</v>
      </c>
      <c r="DH159" s="21">
        <f>EXP(-LN(2)/2)*DH158+(1-EXP(-LN(2)/2))/(LN(2)/2)*DB159*DE159*VLOOKUP('Données projet'!$B$13,Paramètres!$A$1:$I$89,3,0)*0.475*44/12</f>
        <v>2.1351534706529396</v>
      </c>
      <c r="DI159" s="22">
        <f t="shared" si="175"/>
        <v>74.975340290173676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5.6843418860808015E-14</v>
      </c>
      <c r="DP159" s="17">
        <f>DO159*VLOOKUP('Données projet'!$B$14,Paramètres!$A$1:$I$89,3,0)*VLOOKUP('Données projet'!$B$14,Paramètres!$A$1:$I$89,5,0)</f>
        <v>3.2810021366458389E-14</v>
      </c>
      <c r="DQ159" s="13">
        <f t="shared" si="176"/>
        <v>5.6117125884464641E-13</v>
      </c>
      <c r="DR159" s="20">
        <f t="shared" si="177"/>
        <v>1.0345173963676741E-12</v>
      </c>
      <c r="DS159" s="59">
        <f t="shared" si="125"/>
        <v>287.35489844708934</v>
      </c>
      <c r="DT159" s="59">
        <f ca="1">AVERAGE(OFFSET($DS$3,0,0,'Données projet'!$E$14+1,1))-AVERAGE(OFFSET($H$3,0,0,'Données projet'!$E$14+1,1))</f>
        <v>243.65374431792841</v>
      </c>
      <c r="DU159" s="59">
        <f t="shared" si="152"/>
        <v>271.60754570002939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8.8935019113474141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8.8935019113474141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-4.5474735088646412E-13</v>
      </c>
      <c r="EK159" s="17">
        <f>EJ159*VLOOKUP('Données projet'!$B$15,Paramètres!$A$1:$I$89,3,0)*VLOOKUP('Données projet'!$B$15,Paramètres!$A$1:$I$89,5,0)</f>
        <v>-3.0504452297464016E-13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321.44781099085594</v>
      </c>
      <c r="EP159" s="59">
        <f t="shared" si="154"/>
        <v>201.22243186578183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55.71697405598367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55.71697405598367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2.8421709430404007E-14</v>
      </c>
      <c r="FF159" s="17">
        <f>FE159*VLOOKUP('Données projet'!$B$16,Paramètres!$A$1:$I$89,3,0)*VLOOKUP('Données projet'!$B$16,Paramètres!$A$1:$I$89,5,0)</f>
        <v>2.4829205358400945E-14</v>
      </c>
      <c r="FG159" s="13">
        <f t="shared" si="182"/>
        <v>4.3867331143352915E-13</v>
      </c>
      <c r="FH159" s="20">
        <f t="shared" si="183"/>
        <v>8.0726688341261168E-13</v>
      </c>
      <c r="FI159" s="59">
        <f t="shared" si="131"/>
        <v>287.35489844708911</v>
      </c>
      <c r="FJ159" s="59">
        <f ca="1">AVERAGE(OFFSET($FI$3,0,0,'Données projet'!$E$16+1,1))-AVERAGE(OFFSET($H$3,0,0,'Données projet'!$E$16+1,1))</f>
        <v>285.8437404763045</v>
      </c>
      <c r="FK159" s="59">
        <f t="shared" si="156"/>
        <v>276.01618888357268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17.616226362942882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17.616226362942882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-1.7053025658242404E-13</v>
      </c>
      <c r="GA159" s="17">
        <f>FZ159*VLOOKUP('Données projet'!$B$17,Paramètres!$A$1:$I$89,3,0)*VLOOKUP('Données projet'!$B$17,Paramètres!$A$1:$I$89,5,0)</f>
        <v>-1.3567387213697657E-13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323.01113210765487</v>
      </c>
      <c r="GF159" s="59">
        <f t="shared" si="158"/>
        <v>311.68541696405975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20.222615096725786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20.222615096725786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2.8421709430404007E-14</v>
      </c>
      <c r="GV159" s="17">
        <f>GU159*VLOOKUP('Données projet'!$B$18,Paramètres!$A$1:$I$89,3,0)*VLOOKUP('Données projet'!$B$18,Paramètres!$A$1:$I$89,5,0)</f>
        <v>2.4829205358400945E-14</v>
      </c>
      <c r="GW159" s="13">
        <f t="shared" si="188"/>
        <v>4.3867331143352915E-13</v>
      </c>
      <c r="GX159" s="20">
        <f t="shared" si="189"/>
        <v>8.0726688341261168E-13</v>
      </c>
      <c r="GY159" s="59">
        <f t="shared" si="137"/>
        <v>287.35489844708911</v>
      </c>
      <c r="GZ159" s="59">
        <f ca="1">AVERAGE(OFFSET($GY$3,0,0,'Données projet'!$E$18+1,1))-AVERAGE(OFFSET($H$3,0,0,'Données projet'!$E$18+1,1))</f>
        <v>285.8437404763045</v>
      </c>
      <c r="HA159" s="59">
        <f t="shared" si="160"/>
        <v>276.01618888357268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17.616226362942882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17.616226362942882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-1.0286385077051818E-13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315.34103933739129</v>
      </c>
      <c r="T160" s="59">
        <f t="shared" si="142"/>
        <v>165.80901858372513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48.687138376426297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48.687138376426297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-2.0395418687257919E-13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317.328615425664</v>
      </c>
      <c r="AO160" s="59">
        <f t="shared" si="144"/>
        <v>324.95872842255744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25.708311522783198</v>
      </c>
      <c r="AV160" s="21">
        <f>EXP(-LN(2)/25)*AV159+(1-EXP(-LN(2)/25))/(LN(2)/25)*Calculateur!AQ160*Calculateur!AS160*VLOOKUP('Données projet'!$B$10,Paramètres!$A$1:$I$89,3,0)*0.475*44/12</f>
        <v>2.2983878466271754</v>
      </c>
      <c r="AW160" s="21">
        <f>EXP(-LN(2)/2)*AW159+(1-EXP(-LN(2)/2))/(LN(2)/2)*AQ160*AT160*VLOOKUP('Données projet'!$B$10,Paramètres!$A$1:$I$89,3,0)*0.475*44/12</f>
        <v>6.7569908303482162E-14</v>
      </c>
      <c r="AX160" s="21">
        <f t="shared" si="166"/>
        <v>28.006699369410441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-6.5483618527650828E-14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418.31716673276725</v>
      </c>
      <c r="BJ160" s="59">
        <f t="shared" si="146"/>
        <v>472.37891533957929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20.056974683030823</v>
      </c>
      <c r="BQ160" s="21">
        <f>EXP(-LN(2)/25)*BQ159+(1-EXP(-LN(2)/25))/(LN(2)/25)*Calculateur!BL160*Calculateur!BN160*VLOOKUP('Données projet'!$B$11,Paramètres!$A$1:$I$89,3,0)*0.475*44/12</f>
        <v>2.0966254212663089</v>
      </c>
      <c r="BR160" s="21">
        <f>EXP(-LN(2)/2)*BR159+(1-EXP(-LN(2)/2))/(LN(2)/2)*BL160*BO160*VLOOKUP('Données projet'!$B$11,Paramètres!$A$1:$I$89,3,0)*0.475*44/12</f>
        <v>1.0480034838707251E-13</v>
      </c>
      <c r="BS160" s="22">
        <f t="shared" si="169"/>
        <v>22.153600104297237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1.1368683772161603E-13</v>
      </c>
      <c r="BZ160" s="13">
        <f>BY160*VLOOKUP('Données projet'!$B$12,Paramètres!$A$1:$I$89,3,0)*VLOOKUP('Données projet'!$B$12,Paramètres!$A$1:$I$89,5,0)</f>
        <v>6.6506800067145386E-14</v>
      </c>
      <c r="CA160" s="13">
        <f t="shared" si="170"/>
        <v>1.0476989505385114E-12</v>
      </c>
      <c r="CB160" s="20">
        <f t="shared" si="171"/>
        <v>1.9405750156381857E-12</v>
      </c>
      <c r="CC160" s="59">
        <f t="shared" si="119"/>
        <v>287.45861092658851</v>
      </c>
      <c r="CD160" s="59">
        <f ca="1">AVERAGE(OFFSET($CC$3,0,0,'Données projet'!$E$12+1,1))-AVERAGE(OFFSET($H$3,0,0,'Données projet'!$E$12+1,1))</f>
        <v>184.11352167663844</v>
      </c>
      <c r="CE160" s="59">
        <f t="shared" si="148"/>
        <v>145.86653500981791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14.580711916480471</v>
      </c>
      <c r="CL160" s="21">
        <f>EXP(-LN(2)/25)*CL159+(1-EXP(-LN(2)/25))/(LN(2)/25)*Calculateur!CG160*Calculateur!CI160*VLOOKUP('Données projet'!$B$12,Paramètres!$A$1:$I$89,3,0)*0.475*44/12</f>
        <v>3.3265904310506382</v>
      </c>
      <c r="CM160" s="21">
        <f>EXP(-LN(2)/2)*CM159+(1-EXP(-LN(2)/2))/(LN(2)/2)*CG160*CJ160*VLOOKUP('Données projet'!$B$12,Paramètres!$A$1:$I$89,3,0)*0.475*44/12</f>
        <v>1.5550127293910066E-9</v>
      </c>
      <c r="CN160" s="22">
        <f t="shared" si="172"/>
        <v>17.90730234908612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2.3111111111111122</v>
      </c>
      <c r="CT160" s="12">
        <f>IF('Données projet'!$A$140&gt;35,CT159+CS160-DB159,IF(A160&lt;'Données projet'!$A$140,$CQ$205^A160,IF(A160='Données projet'!$A$140,'Données projet'!$B$140,CT159+CS160-DB159)))</f>
        <v>196.16111111111078</v>
      </c>
      <c r="CU160" s="17">
        <f>CT160*VLOOKUP('Données projet'!$B$13,Paramètres!$A$1:$I$89,3,0)*VLOOKUP('Données projet'!$B$13,Paramètres!$A$1:$I$89,5,0)</f>
        <v>94.353494444444294</v>
      </c>
      <c r="CV160" s="13">
        <f t="shared" si="173"/>
        <v>25.612279004271446</v>
      </c>
      <c r="CW160" s="20">
        <f t="shared" si="174"/>
        <v>208.94038875651324</v>
      </c>
      <c r="CX160" s="59">
        <f t="shared" si="122"/>
        <v>496.39899968309982</v>
      </c>
      <c r="CY160" s="59">
        <f ca="1">AVERAGE(OFFSET($CX$3,0,0,'Données projet'!$E$13+1,1))-AVERAGE(OFFSET($H$3,0,0,'Données projet'!$E$13+1,1))</f>
        <v>303.76035885073708</v>
      </c>
      <c r="CZ160" s="59">
        <f t="shared" si="150"/>
        <v>127.43112562890414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49.631622232189962</v>
      </c>
      <c r="DG160" s="21">
        <f>EXP(-LN(2)/25)*DG159+(1-EXP(-LN(2)/25))/(LN(2)/25)*Calculateur!DB160*Calculateur!DD160*VLOOKUP('Données projet'!$B$13,Paramètres!$A$1:$I$89,3,0)*0.475*44/12</f>
        <v>21.608358616048314</v>
      </c>
      <c r="DH160" s="21">
        <f>EXP(-LN(2)/2)*DH159+(1-EXP(-LN(2)/2))/(LN(2)/2)*DB160*DE160*VLOOKUP('Données projet'!$B$13,Paramètres!$A$1:$I$89,3,0)*0.475*44/12</f>
        <v>1.5097814979726858</v>
      </c>
      <c r="DI160" s="22">
        <f t="shared" si="175"/>
        <v>72.749762346210957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5.6843418860808015E-14</v>
      </c>
      <c r="DP160" s="17">
        <f>DO160*VLOOKUP('Données projet'!$B$14,Paramètres!$A$1:$I$89,3,0)*VLOOKUP('Données projet'!$B$14,Paramètres!$A$1:$I$89,5,0)</f>
        <v>3.2810021366458389E-14</v>
      </c>
      <c r="DQ160" s="13">
        <f t="shared" si="176"/>
        <v>5.6117125884464641E-13</v>
      </c>
      <c r="DR160" s="20">
        <f t="shared" si="177"/>
        <v>1.0345173963676741E-12</v>
      </c>
      <c r="DS160" s="59">
        <f t="shared" si="125"/>
        <v>287.4586109265876</v>
      </c>
      <c r="DT160" s="59">
        <f ca="1">AVERAGE(OFFSET($DS$3,0,0,'Données projet'!$E$14+1,1))-AVERAGE(OFFSET($H$3,0,0,'Données projet'!$E$14+1,1))</f>
        <v>243.65374431792841</v>
      </c>
      <c r="DU160" s="59">
        <f t="shared" si="152"/>
        <v>271.60754570002939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8.7191057633664322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8.7191057633664322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-4.5474735088646412E-13</v>
      </c>
      <c r="EK160" s="17">
        <f>EJ160*VLOOKUP('Données projet'!$B$15,Paramètres!$A$1:$I$89,3,0)*VLOOKUP('Données projet'!$B$15,Paramètres!$A$1:$I$89,5,0)</f>
        <v>-3.0504452297464016E-13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321.44781099085594</v>
      </c>
      <c r="EP160" s="59">
        <f t="shared" si="154"/>
        <v>201.22243186578183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54.624398178744364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54.624398178744364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2.8421709430404007E-14</v>
      </c>
      <c r="FF160" s="17">
        <f>FE160*VLOOKUP('Données projet'!$B$16,Paramètres!$A$1:$I$89,3,0)*VLOOKUP('Données projet'!$B$16,Paramètres!$A$1:$I$89,5,0)</f>
        <v>2.4829205358400945E-14</v>
      </c>
      <c r="FG160" s="13">
        <f t="shared" si="182"/>
        <v>4.3867331143352915E-13</v>
      </c>
      <c r="FH160" s="20">
        <f t="shared" si="183"/>
        <v>8.0726688341261168E-13</v>
      </c>
      <c r="FI160" s="59">
        <f t="shared" si="131"/>
        <v>287.45861092658737</v>
      </c>
      <c r="FJ160" s="59">
        <f ca="1">AVERAGE(OFFSET($FI$3,0,0,'Données projet'!$E$16+1,1))-AVERAGE(OFFSET($H$3,0,0,'Données projet'!$E$16+1,1))</f>
        <v>285.8437404763045</v>
      </c>
      <c r="FK160" s="59">
        <f t="shared" si="156"/>
        <v>276.01618888357268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17.270782908802691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17.270782908802691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-1.7053025658242404E-13</v>
      </c>
      <c r="GA160" s="17">
        <f>FZ160*VLOOKUP('Données projet'!$B$17,Paramètres!$A$1:$I$89,3,0)*VLOOKUP('Données projet'!$B$17,Paramètres!$A$1:$I$89,5,0)</f>
        <v>-1.3567387213697657E-13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323.01113210765487</v>
      </c>
      <c r="GF160" s="59">
        <f t="shared" si="158"/>
        <v>311.68541696405975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19.826061949256264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19.826061949256264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2.8421709430404007E-14</v>
      </c>
      <c r="GV160" s="17">
        <f>GU160*VLOOKUP('Données projet'!$B$18,Paramètres!$A$1:$I$89,3,0)*VLOOKUP('Données projet'!$B$18,Paramètres!$A$1:$I$89,5,0)</f>
        <v>2.4829205358400945E-14</v>
      </c>
      <c r="GW160" s="13">
        <f t="shared" si="188"/>
        <v>4.3867331143352915E-13</v>
      </c>
      <c r="GX160" s="20">
        <f t="shared" si="189"/>
        <v>8.0726688341261168E-13</v>
      </c>
      <c r="GY160" s="59">
        <f t="shared" si="137"/>
        <v>287.45861092658737</v>
      </c>
      <c r="GZ160" s="59">
        <f ca="1">AVERAGE(OFFSET($GY$3,0,0,'Données projet'!$E$18+1,1))-AVERAGE(OFFSET($H$3,0,0,'Données projet'!$E$18+1,1))</f>
        <v>285.8437404763045</v>
      </c>
      <c r="HA160" s="59">
        <f t="shared" si="160"/>
        <v>276.01618888357268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17.270782908802691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17.270782908802691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-1.0286385077051818E-13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315.34103933739129</v>
      </c>
      <c r="T161" s="59">
        <f t="shared" si="142"/>
        <v>165.80901858372513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47.732413289086729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47.732413289086729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-2.0395418687257919E-13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317.328615425664</v>
      </c>
      <c r="AO161" s="59">
        <f t="shared" si="144"/>
        <v>324.95872842255744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25.204187214343126</v>
      </c>
      <c r="AV161" s="21">
        <f>EXP(-LN(2)/25)*AV160+(1-EXP(-LN(2)/25))/(LN(2)/25)*Calculateur!AQ161*Calculateur!AS161*VLOOKUP('Données projet'!$B$10,Paramètres!$A$1:$I$89,3,0)*0.475*44/12</f>
        <v>2.2355383100941917</v>
      </c>
      <c r="AW161" s="21">
        <f>EXP(-LN(2)/2)*AW160+(1-EXP(-LN(2)/2))/(LN(2)/2)*AQ161*AT161*VLOOKUP('Données projet'!$B$10,Paramètres!$A$1:$I$89,3,0)*0.475*44/12</f>
        <v>4.7779140365545442E-14</v>
      </c>
      <c r="AX161" s="21">
        <f t="shared" si="166"/>
        <v>27.439725524437364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-6.5483618527650828E-14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418.31716673276725</v>
      </c>
      <c r="BJ161" s="59">
        <f t="shared" si="146"/>
        <v>472.37891533957929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19.663669643043182</v>
      </c>
      <c r="BQ161" s="21">
        <f>EXP(-LN(2)/25)*BQ160+(1-EXP(-LN(2)/25))/(LN(2)/25)*Calculateur!BL161*Calculateur!BN161*VLOOKUP('Données projet'!$B$11,Paramètres!$A$1:$I$89,3,0)*0.475*44/12</f>
        <v>2.0392930888650427</v>
      </c>
      <c r="BR161" s="21">
        <f>EXP(-LN(2)/2)*BR160+(1-EXP(-LN(2)/2))/(LN(2)/2)*BL161*BO161*VLOOKUP('Données projet'!$B$11,Paramètres!$A$1:$I$89,3,0)*0.475*44/12</f>
        <v>7.4105037015211627E-14</v>
      </c>
      <c r="BS161" s="22">
        <f t="shared" si="169"/>
        <v>21.7029627319083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1.1368683772161603E-13</v>
      </c>
      <c r="BZ161" s="13">
        <f>BY161*VLOOKUP('Données projet'!$B$12,Paramètres!$A$1:$I$89,3,0)*VLOOKUP('Données projet'!$B$12,Paramètres!$A$1:$I$89,5,0)</f>
        <v>6.6506800067145386E-14</v>
      </c>
      <c r="CA161" s="13">
        <f t="shared" si="170"/>
        <v>1.0476989505385114E-12</v>
      </c>
      <c r="CB161" s="20">
        <f t="shared" si="171"/>
        <v>1.9405750156381857E-12</v>
      </c>
      <c r="CC161" s="59">
        <f t="shared" si="119"/>
        <v>287.56052422643393</v>
      </c>
      <c r="CD161" s="59">
        <f ca="1">AVERAGE(OFFSET($CC$3,0,0,'Données projet'!$E$12+1,1))-AVERAGE(OFFSET($H$3,0,0,'Données projet'!$E$12+1,1))</f>
        <v>184.11352167663844</v>
      </c>
      <c r="CE161" s="59">
        <f t="shared" si="148"/>
        <v>145.86653500981791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14.294793049154412</v>
      </c>
      <c r="CL161" s="21">
        <f>EXP(-LN(2)/25)*CL160+(1-EXP(-LN(2)/25))/(LN(2)/25)*Calculateur!CG161*Calculateur!CI161*VLOOKUP('Données projet'!$B$12,Paramètres!$A$1:$I$89,3,0)*0.475*44/12</f>
        <v>3.2356246407757707</v>
      </c>
      <c r="CM161" s="21">
        <f>EXP(-LN(2)/2)*CM160+(1-EXP(-LN(2)/2))/(LN(2)/2)*CG161*CJ161*VLOOKUP('Données projet'!$B$12,Paramètres!$A$1:$I$89,3,0)*0.475*44/12</f>
        <v>1.0995600457837826E-9</v>
      </c>
      <c r="CN161" s="22">
        <f t="shared" si="172"/>
        <v>17.530417691029744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2.3111111111111122</v>
      </c>
      <c r="CT161" s="12">
        <f>IF('Données projet'!$A$140&gt;35,CT160+CS161-DB160,IF(A161&lt;'Données projet'!$A$140,$CQ$205^A161,IF(A161='Données projet'!$A$140,'Données projet'!$B$140,CT160+CS161-DB160)))</f>
        <v>198.47222222222189</v>
      </c>
      <c r="CU161" s="17">
        <f>CT161*VLOOKUP('Données projet'!$B$13,Paramètres!$A$1:$I$89,3,0)*VLOOKUP('Données projet'!$B$13,Paramètres!$A$1:$I$89,5,0)</f>
        <v>95.465138888888717</v>
      </c>
      <c r="CV161" s="13">
        <f t="shared" si="173"/>
        <v>25.878728711161266</v>
      </c>
      <c r="CW161" s="20">
        <f t="shared" si="174"/>
        <v>211.34056940342035</v>
      </c>
      <c r="CX161" s="59">
        <f t="shared" si="122"/>
        <v>498.90109362985231</v>
      </c>
      <c r="CY161" s="59">
        <f ca="1">AVERAGE(OFFSET($CX$3,0,0,'Données projet'!$E$13+1,1))-AVERAGE(OFFSET($H$3,0,0,'Données projet'!$E$13+1,1))</f>
        <v>303.76035885073708</v>
      </c>
      <c r="CZ161" s="59">
        <f t="shared" si="150"/>
        <v>127.43112562890414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48.658376392517134</v>
      </c>
      <c r="DG161" s="21">
        <f>EXP(-LN(2)/25)*DG160+(1-EXP(-LN(2)/25))/(LN(2)/25)*Calculateur!DB161*Calculateur!DD161*VLOOKUP('Données projet'!$B$13,Paramètres!$A$1:$I$89,3,0)*0.475*44/12</f>
        <v>21.01747691335828</v>
      </c>
      <c r="DH161" s="21">
        <f>EXP(-LN(2)/2)*DH160+(1-EXP(-LN(2)/2))/(LN(2)/2)*DB161*DE161*VLOOKUP('Données projet'!$B$13,Paramètres!$A$1:$I$89,3,0)*0.475*44/12</f>
        <v>1.06757673532647</v>
      </c>
      <c r="DI161" s="22">
        <f t="shared" si="175"/>
        <v>70.74343004120189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5.6843418860808015E-14</v>
      </c>
      <c r="DP161" s="17">
        <f>DO161*VLOOKUP('Données projet'!$B$14,Paramètres!$A$1:$I$89,3,0)*VLOOKUP('Données projet'!$B$14,Paramètres!$A$1:$I$89,5,0)</f>
        <v>3.2810021366458389E-14</v>
      </c>
      <c r="DQ161" s="13">
        <f t="shared" si="176"/>
        <v>5.6117125884464641E-13</v>
      </c>
      <c r="DR161" s="20">
        <f t="shared" si="177"/>
        <v>1.0345173963676741E-12</v>
      </c>
      <c r="DS161" s="59">
        <f t="shared" si="125"/>
        <v>287.56052422643302</v>
      </c>
      <c r="DT161" s="59">
        <f ca="1">AVERAGE(OFFSET($DS$3,0,0,'Données projet'!$E$14+1,1))-AVERAGE(OFFSET($H$3,0,0,'Données projet'!$E$14+1,1))</f>
        <v>243.65374431792841</v>
      </c>
      <c r="DU161" s="59">
        <f t="shared" si="152"/>
        <v>271.60754570002939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8.5481294174762112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8.5481294174762112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-4.5474735088646412E-13</v>
      </c>
      <c r="EK161" s="17">
        <f>EJ161*VLOOKUP('Données projet'!$B$15,Paramètres!$A$1:$I$89,3,0)*VLOOKUP('Données projet'!$B$15,Paramètres!$A$1:$I$89,5,0)</f>
        <v>-3.0504452297464016E-13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321.44781099085594</v>
      </c>
      <c r="EP161" s="59">
        <f t="shared" si="154"/>
        <v>201.22243186578183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53.553247048052235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53.553247048052235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2.8421709430404007E-14</v>
      </c>
      <c r="FF161" s="17">
        <f>FE161*VLOOKUP('Données projet'!$B$16,Paramètres!$A$1:$I$89,3,0)*VLOOKUP('Données projet'!$B$16,Paramètres!$A$1:$I$89,5,0)</f>
        <v>2.4829205358400945E-14</v>
      </c>
      <c r="FG161" s="13">
        <f t="shared" si="182"/>
        <v>4.3867331143352915E-13</v>
      </c>
      <c r="FH161" s="20">
        <f t="shared" si="183"/>
        <v>8.0726688341261168E-13</v>
      </c>
      <c r="FI161" s="59">
        <f t="shared" si="131"/>
        <v>287.56052422643279</v>
      </c>
      <c r="FJ161" s="59">
        <f ca="1">AVERAGE(OFFSET($FI$3,0,0,'Données projet'!$E$16+1,1))-AVERAGE(OFFSET($H$3,0,0,'Données projet'!$E$16+1,1))</f>
        <v>285.8437404763045</v>
      </c>
      <c r="FK161" s="59">
        <f t="shared" si="156"/>
        <v>276.01618888357268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16.932113390098486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16.932113390098486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-1.7053025658242404E-13</v>
      </c>
      <c r="GA161" s="17">
        <f>FZ161*VLOOKUP('Données projet'!$B$17,Paramètres!$A$1:$I$89,3,0)*VLOOKUP('Données projet'!$B$17,Paramètres!$A$1:$I$89,5,0)</f>
        <v>-1.3567387213697657E-13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323.01113210765487</v>
      </c>
      <c r="GF161" s="59">
        <f t="shared" si="158"/>
        <v>311.68541696405975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19.437284967135081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19.437284967135081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2.8421709430404007E-14</v>
      </c>
      <c r="GV161" s="17">
        <f>GU161*VLOOKUP('Données projet'!$B$18,Paramètres!$A$1:$I$89,3,0)*VLOOKUP('Données projet'!$B$18,Paramètres!$A$1:$I$89,5,0)</f>
        <v>2.4829205358400945E-14</v>
      </c>
      <c r="GW161" s="13">
        <f t="shared" si="188"/>
        <v>4.3867331143352915E-13</v>
      </c>
      <c r="GX161" s="20">
        <f t="shared" si="189"/>
        <v>8.0726688341261168E-13</v>
      </c>
      <c r="GY161" s="59">
        <f t="shared" si="137"/>
        <v>287.56052422643279</v>
      </c>
      <c r="GZ161" s="59">
        <f ca="1">AVERAGE(OFFSET($GY$3,0,0,'Données projet'!$E$18+1,1))-AVERAGE(OFFSET($H$3,0,0,'Données projet'!$E$18+1,1))</f>
        <v>285.8437404763045</v>
      </c>
      <c r="HA161" s="59">
        <f t="shared" si="160"/>
        <v>276.01618888357268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16.932113390098486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16.932113390098486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-1.0286385077051818E-13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315.34103933739129</v>
      </c>
      <c r="T162" s="59">
        <f t="shared" si="142"/>
        <v>165.80901858372513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46.796409778385083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46.796409778385083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-2.0395418687257919E-13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317.328615425664</v>
      </c>
      <c r="AO162" s="59">
        <f t="shared" si="144"/>
        <v>324.95872842255744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24.709948476106096</v>
      </c>
      <c r="AV162" s="21">
        <f>EXP(-LN(2)/25)*AV161+(1-EXP(-LN(2)/25))/(LN(2)/25)*Calculateur!AQ162*Calculateur!AS162*VLOOKUP('Données projet'!$B$10,Paramètres!$A$1:$I$89,3,0)*0.475*44/12</f>
        <v>2.1744073974428155</v>
      </c>
      <c r="AW162" s="21">
        <f>EXP(-LN(2)/2)*AW161+(1-EXP(-LN(2)/2))/(LN(2)/2)*AQ162*AT162*VLOOKUP('Données projet'!$B$10,Paramètres!$A$1:$I$89,3,0)*0.475*44/12</f>
        <v>3.3784954151741081E-14</v>
      </c>
      <c r="AX162" s="21">
        <f t="shared" si="166"/>
        <v>26.884355873548948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-6.5483618527650828E-14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418.31716673276725</v>
      </c>
      <c r="BJ162" s="59">
        <f t="shared" si="146"/>
        <v>472.37891533957929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19.278077074997313</v>
      </c>
      <c r="BQ162" s="21">
        <f>EXP(-LN(2)/25)*BQ161+(1-EXP(-LN(2)/25))/(LN(2)/25)*Calculateur!BL162*Calculateur!BN162*VLOOKUP('Données projet'!$B$11,Paramètres!$A$1:$I$89,3,0)*0.475*44/12</f>
        <v>1.9835285121082653</v>
      </c>
      <c r="BR162" s="21">
        <f>EXP(-LN(2)/2)*BR161+(1-EXP(-LN(2)/2))/(LN(2)/2)*BL162*BO162*VLOOKUP('Données projet'!$B$11,Paramètres!$A$1:$I$89,3,0)*0.475*44/12</f>
        <v>5.2400174193536253E-14</v>
      </c>
      <c r="BS162" s="22">
        <f t="shared" si="169"/>
        <v>21.261605587105631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1.1368683772161603E-13</v>
      </c>
      <c r="BZ162" s="13">
        <f>BY162*VLOOKUP('Données projet'!$B$12,Paramètres!$A$1:$I$89,3,0)*VLOOKUP('Données projet'!$B$12,Paramètres!$A$1:$I$89,5,0)</f>
        <v>6.6506800067145386E-14</v>
      </c>
      <c r="CA162" s="13">
        <f t="shared" si="170"/>
        <v>1.0476989505385114E-12</v>
      </c>
      <c r="CB162" s="20">
        <f t="shared" si="171"/>
        <v>1.9405750156381857E-12</v>
      </c>
      <c r="CC162" s="59">
        <f t="shared" si="119"/>
        <v>287.6606695583709</v>
      </c>
      <c r="CD162" s="59">
        <f ca="1">AVERAGE(OFFSET($CC$3,0,0,'Données projet'!$E$12+1,1))-AVERAGE(OFFSET($H$3,0,0,'Données projet'!$E$12+1,1))</f>
        <v>184.11352167663844</v>
      </c>
      <c r="CE162" s="59">
        <f t="shared" si="148"/>
        <v>145.86653500981791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14.014480876423328</v>
      </c>
      <c r="CL162" s="21">
        <f>EXP(-LN(2)/25)*CL161+(1-EXP(-LN(2)/25))/(LN(2)/25)*Calculateur!CG162*Calculateur!CI162*VLOOKUP('Données projet'!$B$12,Paramètres!$A$1:$I$89,3,0)*0.475*44/12</f>
        <v>3.1471463148196523</v>
      </c>
      <c r="CM162" s="21">
        <f>EXP(-LN(2)/2)*CM161+(1-EXP(-LN(2)/2))/(LN(2)/2)*CG162*CJ162*VLOOKUP('Données projet'!$B$12,Paramètres!$A$1:$I$89,3,0)*0.475*44/12</f>
        <v>7.7750636469550331E-10</v>
      </c>
      <c r="CN162" s="22">
        <f t="shared" si="172"/>
        <v>17.161627192020486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2.3111111111111122</v>
      </c>
      <c r="CT162" s="12">
        <f>IF('Données projet'!$A$140&gt;35,CT161+CS162-DB161,IF(A162&lt;'Données projet'!$A$140,$CQ$205^A162,IF(A162='Données projet'!$A$140,'Données projet'!$B$140,CT161+CS162-DB161)))</f>
        <v>200.78333333333299</v>
      </c>
      <c r="CU162" s="17">
        <f>CT162*VLOOKUP('Données projet'!$B$13,Paramètres!$A$1:$I$89,3,0)*VLOOKUP('Données projet'!$B$13,Paramètres!$A$1:$I$89,5,0)</f>
        <v>96.576783333333168</v>
      </c>
      <c r="CV162" s="13">
        <f t="shared" si="173"/>
        <v>26.144817502656448</v>
      </c>
      <c r="CW162" s="20">
        <f t="shared" si="174"/>
        <v>213.74012145601523</v>
      </c>
      <c r="CX162" s="59">
        <f t="shared" si="122"/>
        <v>501.4007910143842</v>
      </c>
      <c r="CY162" s="59">
        <f ca="1">AVERAGE(OFFSET($CX$3,0,0,'Données projet'!$E$13+1,1))-AVERAGE(OFFSET($H$3,0,0,'Données projet'!$E$13+1,1))</f>
        <v>303.76035885073708</v>
      </c>
      <c r="CZ162" s="59">
        <f t="shared" si="150"/>
        <v>127.43112562890414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47.704215310138949</v>
      </c>
      <c r="DG162" s="21">
        <f>EXP(-LN(2)/25)*DG161+(1-EXP(-LN(2)/25))/(LN(2)/25)*Calculateur!DB162*Calculateur!DD162*VLOOKUP('Données projet'!$B$13,Paramètres!$A$1:$I$89,3,0)*0.475*44/12</f>
        <v>20.442752901901422</v>
      </c>
      <c r="DH162" s="21">
        <f>EXP(-LN(2)/2)*DH161+(1-EXP(-LN(2)/2))/(LN(2)/2)*DB162*DE162*VLOOKUP('Données projet'!$B$13,Paramètres!$A$1:$I$89,3,0)*0.475*44/12</f>
        <v>0.75489074898634301</v>
      </c>
      <c r="DI162" s="22">
        <f t="shared" si="175"/>
        <v>68.901858961026718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5.6843418860808015E-14</v>
      </c>
      <c r="DP162" s="17">
        <f>DO162*VLOOKUP('Données projet'!$B$14,Paramètres!$A$1:$I$89,3,0)*VLOOKUP('Données projet'!$B$14,Paramètres!$A$1:$I$89,5,0)</f>
        <v>3.2810021366458389E-14</v>
      </c>
      <c r="DQ162" s="13">
        <f t="shared" si="176"/>
        <v>5.6117125884464641E-13</v>
      </c>
      <c r="DR162" s="20">
        <f t="shared" si="177"/>
        <v>1.0345173963676741E-12</v>
      </c>
      <c r="DS162" s="59">
        <f t="shared" si="125"/>
        <v>287.66066955836999</v>
      </c>
      <c r="DT162" s="59">
        <f ca="1">AVERAGE(OFFSET($DS$3,0,0,'Données projet'!$E$14+1,1))-AVERAGE(OFFSET($H$3,0,0,'Données projet'!$E$14+1,1))</f>
        <v>243.65374431792841</v>
      </c>
      <c r="DU162" s="59">
        <f t="shared" si="152"/>
        <v>271.60754570002939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8.380505813443623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8.380505813443623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-4.5474735088646412E-13</v>
      </c>
      <c r="EK162" s="17">
        <f>EJ162*VLOOKUP('Données projet'!$B$15,Paramètres!$A$1:$I$89,3,0)*VLOOKUP('Données projet'!$B$15,Paramètres!$A$1:$I$89,5,0)</f>
        <v>-3.0504452297464016E-13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321.44781099085594</v>
      </c>
      <c r="EP162" s="59">
        <f t="shared" si="154"/>
        <v>201.22243186578183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52.503100537695303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52.503100537695303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2.8421709430404007E-14</v>
      </c>
      <c r="FF162" s="17">
        <f>FE162*VLOOKUP('Données projet'!$B$16,Paramètres!$A$1:$I$89,3,0)*VLOOKUP('Données projet'!$B$16,Paramètres!$A$1:$I$89,5,0)</f>
        <v>2.4829205358400945E-14</v>
      </c>
      <c r="FG162" s="13">
        <f t="shared" si="182"/>
        <v>4.3867331143352915E-13</v>
      </c>
      <c r="FH162" s="20">
        <f t="shared" si="183"/>
        <v>8.0726688341261168E-13</v>
      </c>
      <c r="FI162" s="59">
        <f t="shared" si="131"/>
        <v>287.66066955836976</v>
      </c>
      <c r="FJ162" s="59">
        <f ca="1">AVERAGE(OFFSET($FI$3,0,0,'Données projet'!$E$16+1,1))-AVERAGE(OFFSET($H$3,0,0,'Données projet'!$E$16+1,1))</f>
        <v>285.8437404763045</v>
      </c>
      <c r="FK162" s="59">
        <f t="shared" si="156"/>
        <v>276.01618888357268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16.600084974088059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16.600084974088059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-1.7053025658242404E-13</v>
      </c>
      <c r="GA162" s="17">
        <f>FZ162*VLOOKUP('Données projet'!$B$17,Paramètres!$A$1:$I$89,3,0)*VLOOKUP('Données projet'!$B$17,Paramètres!$A$1:$I$89,5,0)</f>
        <v>-1.3567387213697657E-13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323.01113210765487</v>
      </c>
      <c r="GF162" s="59">
        <f t="shared" si="158"/>
        <v>311.68541696405975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19.05613166450275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19.05613166450275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2.8421709430404007E-14</v>
      </c>
      <c r="GV162" s="17">
        <f>GU162*VLOOKUP('Données projet'!$B$18,Paramètres!$A$1:$I$89,3,0)*VLOOKUP('Données projet'!$B$18,Paramètres!$A$1:$I$89,5,0)</f>
        <v>2.4829205358400945E-14</v>
      </c>
      <c r="GW162" s="13">
        <f t="shared" si="188"/>
        <v>4.3867331143352915E-13</v>
      </c>
      <c r="GX162" s="20">
        <f t="shared" si="189"/>
        <v>8.0726688341261168E-13</v>
      </c>
      <c r="GY162" s="59">
        <f t="shared" si="137"/>
        <v>287.66066955836976</v>
      </c>
      <c r="GZ162" s="59">
        <f ca="1">AVERAGE(OFFSET($GY$3,0,0,'Données projet'!$E$18+1,1))-AVERAGE(OFFSET($H$3,0,0,'Données projet'!$E$18+1,1))</f>
        <v>285.8437404763045</v>
      </c>
      <c r="HA162" s="59">
        <f t="shared" si="160"/>
        <v>276.01618888357268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16.600084974088059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16.600084974088059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-1.0286385077051818E-13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315.34103933739129</v>
      </c>
      <c r="T163" s="59">
        <f t="shared" si="142"/>
        <v>165.80901858372513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45.878760725622527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45.878760725622527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-2.0395418687257919E-13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317.328615425664</v>
      </c>
      <c r="AO163" s="59">
        <f t="shared" si="144"/>
        <v>324.95872842255744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24.225401458070031</v>
      </c>
      <c r="AV163" s="21">
        <f>EXP(-LN(2)/25)*AV162+(1-EXP(-LN(2)/25))/(LN(2)/25)*Calculateur!AQ163*Calculateur!AS163*VLOOKUP('Données projet'!$B$10,Paramètres!$A$1:$I$89,3,0)*0.475*44/12</f>
        <v>2.1149481128126264</v>
      </c>
      <c r="AW163" s="21">
        <f>EXP(-LN(2)/2)*AW162+(1-EXP(-LN(2)/2))/(LN(2)/2)*AQ163*AT163*VLOOKUP('Données projet'!$B$10,Paramètres!$A$1:$I$89,3,0)*0.475*44/12</f>
        <v>2.3889570182772721E-14</v>
      </c>
      <c r="AX163" s="21">
        <f t="shared" si="166"/>
        <v>26.340349570882683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-6.5483618527650828E-14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418.31716673276725</v>
      </c>
      <c r="BJ163" s="59">
        <f t="shared" si="146"/>
        <v>472.37891533957929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18.900045742022581</v>
      </c>
      <c r="BQ163" s="21">
        <f>EXP(-LN(2)/25)*BQ162+(1-EXP(-LN(2)/25))/(LN(2)/25)*Calculateur!BL163*Calculateur!BN163*VLOOKUP('Données projet'!$B$11,Paramètres!$A$1:$I$89,3,0)*0.475*44/12</f>
        <v>1.9292888206354337</v>
      </c>
      <c r="BR163" s="21">
        <f>EXP(-LN(2)/2)*BR162+(1-EXP(-LN(2)/2))/(LN(2)/2)*BL163*BO163*VLOOKUP('Données projet'!$B$11,Paramètres!$A$1:$I$89,3,0)*0.475*44/12</f>
        <v>3.7052518507605813E-14</v>
      </c>
      <c r="BS163" s="22">
        <f t="shared" si="169"/>
        <v>20.829334562658051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1.1368683772161603E-13</v>
      </c>
      <c r="BZ163" s="13">
        <f>BY163*VLOOKUP('Données projet'!$B$12,Paramètres!$A$1:$I$89,3,0)*VLOOKUP('Données projet'!$B$12,Paramètres!$A$1:$I$89,5,0)</f>
        <v>6.6506800067145386E-14</v>
      </c>
      <c r="CA163" s="13">
        <f t="shared" si="170"/>
        <v>1.0476989505385114E-12</v>
      </c>
      <c r="CB163" s="20">
        <f t="shared" si="171"/>
        <v>1.9405750156381857E-12</v>
      </c>
      <c r="CC163" s="59">
        <f t="shared" si="119"/>
        <v>287.75907759269029</v>
      </c>
      <c r="CD163" s="59">
        <f ca="1">AVERAGE(OFFSET($CC$3,0,0,'Données projet'!$E$12+1,1))-AVERAGE(OFFSET($H$3,0,0,'Données projet'!$E$12+1,1))</f>
        <v>184.11352167663844</v>
      </c>
      <c r="CE163" s="59">
        <f t="shared" si="148"/>
        <v>145.86653500981791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13.739665454425957</v>
      </c>
      <c r="CL163" s="21">
        <f>EXP(-LN(2)/25)*CL162+(1-EXP(-LN(2)/25))/(LN(2)/25)*Calculateur!CG163*Calculateur!CI163*VLOOKUP('Données projet'!$B$12,Paramètres!$A$1:$I$89,3,0)*0.475*44/12</f>
        <v>3.0610874333396771</v>
      </c>
      <c r="CM163" s="21">
        <f>EXP(-LN(2)/2)*CM162+(1-EXP(-LN(2)/2))/(LN(2)/2)*CG163*CJ163*VLOOKUP('Données projet'!$B$12,Paramètres!$A$1:$I$89,3,0)*0.475*44/12</f>
        <v>5.4978002289189128E-10</v>
      </c>
      <c r="CN163" s="22">
        <f t="shared" si="172"/>
        <v>16.800752888315412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2.3111111111111122</v>
      </c>
      <c r="CT163" s="12">
        <f>IF('Données projet'!$A$140&gt;35,CT162+CS163-DB162,IF(A163&lt;'Données projet'!$A$140,$CQ$205^A163,IF(A163='Données projet'!$A$140,'Données projet'!$B$140,CT162+CS163-DB162)))</f>
        <v>203.09444444444409</v>
      </c>
      <c r="CU163" s="17">
        <f>CT163*VLOOKUP('Données projet'!$B$13,Paramètres!$A$1:$I$89,3,0)*VLOOKUP('Données projet'!$B$13,Paramètres!$A$1:$I$89,5,0)</f>
        <v>97.688427777777619</v>
      </c>
      <c r="CV163" s="13">
        <f t="shared" si="173"/>
        <v>26.410550013725384</v>
      </c>
      <c r="CW163" s="20">
        <f t="shared" si="174"/>
        <v>216.13905298686771</v>
      </c>
      <c r="CX163" s="59">
        <f t="shared" si="122"/>
        <v>503.8981305795561</v>
      </c>
      <c r="CY163" s="59">
        <f ca="1">AVERAGE(OFFSET($CX$3,0,0,'Données projet'!$E$13+1,1))-AVERAGE(OFFSET($H$3,0,0,'Données projet'!$E$13+1,1))</f>
        <v>303.76035885073708</v>
      </c>
      <c r="CZ163" s="59">
        <f t="shared" si="150"/>
        <v>127.43112562890414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46.768764744605406</v>
      </c>
      <c r="DG163" s="21">
        <f>EXP(-LN(2)/25)*DG162+(1-EXP(-LN(2)/25))/(LN(2)/25)*Calculateur!DB163*Calculateur!DD163*VLOOKUP('Données projet'!$B$13,Paramètres!$A$1:$I$89,3,0)*0.475*44/12</f>
        <v>19.883744748761274</v>
      </c>
      <c r="DH163" s="21">
        <f>EXP(-LN(2)/2)*DH162+(1-EXP(-LN(2)/2))/(LN(2)/2)*DB163*DE163*VLOOKUP('Données projet'!$B$13,Paramètres!$A$1:$I$89,3,0)*0.475*44/12</f>
        <v>0.53378836766323501</v>
      </c>
      <c r="DI163" s="22">
        <f t="shared" si="175"/>
        <v>67.186297861029914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5.6843418860808015E-14</v>
      </c>
      <c r="DP163" s="17">
        <f>DO163*VLOOKUP('Données projet'!$B$14,Paramètres!$A$1:$I$89,3,0)*VLOOKUP('Données projet'!$B$14,Paramètres!$A$1:$I$89,5,0)</f>
        <v>3.2810021366458389E-14</v>
      </c>
      <c r="DQ163" s="13">
        <f t="shared" si="176"/>
        <v>5.6117125884464641E-13</v>
      </c>
      <c r="DR163" s="20">
        <f t="shared" si="177"/>
        <v>1.0345173963676741E-12</v>
      </c>
      <c r="DS163" s="59">
        <f t="shared" si="125"/>
        <v>287.75907759268938</v>
      </c>
      <c r="DT163" s="59">
        <f ca="1">AVERAGE(OFFSET($DS$3,0,0,'Données projet'!$E$14+1,1))-AVERAGE(OFFSET($H$3,0,0,'Données projet'!$E$14+1,1))</f>
        <v>243.65374431792841</v>
      </c>
      <c r="DU163" s="59">
        <f t="shared" si="152"/>
        <v>271.60754570002939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8.2161692060458105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8.2161692060458105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-4.5474735088646412E-13</v>
      </c>
      <c r="EK163" s="17">
        <f>EJ163*VLOOKUP('Données projet'!$B$15,Paramètres!$A$1:$I$89,3,0)*VLOOKUP('Données projet'!$B$15,Paramètres!$A$1:$I$89,5,0)</f>
        <v>-3.0504452297464016E-13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321.44781099085594</v>
      </c>
      <c r="EP163" s="59">
        <f t="shared" si="154"/>
        <v>201.22243186578183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51.473546759880342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51.473546759880342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2.8421709430404007E-14</v>
      </c>
      <c r="FF163" s="17">
        <f>FE163*VLOOKUP('Données projet'!$B$16,Paramètres!$A$1:$I$89,3,0)*VLOOKUP('Données projet'!$B$16,Paramètres!$A$1:$I$89,5,0)</f>
        <v>2.4829205358400945E-14</v>
      </c>
      <c r="FG163" s="13">
        <f t="shared" si="182"/>
        <v>4.3867331143352915E-13</v>
      </c>
      <c r="FH163" s="20">
        <f t="shared" si="183"/>
        <v>8.0726688341261168E-13</v>
      </c>
      <c r="FI163" s="59">
        <f t="shared" si="131"/>
        <v>287.75907759268915</v>
      </c>
      <c r="FJ163" s="59">
        <f ca="1">AVERAGE(OFFSET($FI$3,0,0,'Données projet'!$E$16+1,1))-AVERAGE(OFFSET($H$3,0,0,'Données projet'!$E$16+1,1))</f>
        <v>285.8437404763045</v>
      </c>
      <c r="FK163" s="59">
        <f t="shared" si="156"/>
        <v>276.01618888357268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16.274567432798261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16.274567432798261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-1.7053025658242404E-13</v>
      </c>
      <c r="GA163" s="17">
        <f>FZ163*VLOOKUP('Données projet'!$B$17,Paramètres!$A$1:$I$89,3,0)*VLOOKUP('Données projet'!$B$17,Paramètres!$A$1:$I$89,5,0)</f>
        <v>-1.3567387213697657E-13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323.01113210765487</v>
      </c>
      <c r="GF163" s="59">
        <f t="shared" si="158"/>
        <v>311.68541696405975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18.682452545654481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18.682452545654481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2.8421709430404007E-14</v>
      </c>
      <c r="GV163" s="17">
        <f>GU163*VLOOKUP('Données projet'!$B$18,Paramètres!$A$1:$I$89,3,0)*VLOOKUP('Données projet'!$B$18,Paramètres!$A$1:$I$89,5,0)</f>
        <v>2.4829205358400945E-14</v>
      </c>
      <c r="GW163" s="13">
        <f t="shared" si="188"/>
        <v>4.3867331143352915E-13</v>
      </c>
      <c r="GX163" s="20">
        <f t="shared" si="189"/>
        <v>8.0726688341261168E-13</v>
      </c>
      <c r="GY163" s="59">
        <f t="shared" si="137"/>
        <v>287.75907759268915</v>
      </c>
      <c r="GZ163" s="59">
        <f ca="1">AVERAGE(OFFSET($GY$3,0,0,'Données projet'!$E$18+1,1))-AVERAGE(OFFSET($H$3,0,0,'Données projet'!$E$18+1,1))</f>
        <v>285.8437404763045</v>
      </c>
      <c r="HA163" s="59">
        <f t="shared" si="160"/>
        <v>276.01618888357268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16.274567432798261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16.274567432798261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-1.0286385077051818E-13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315.34103933739129</v>
      </c>
      <c r="T164" s="59">
        <f t="shared" si="142"/>
        <v>165.80901858372513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44.97910621107399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44.97910621107399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-2.0395418687257919E-13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317.328615425664</v>
      </c>
      <c r="AO164" s="59">
        <f t="shared" si="144"/>
        <v>324.95872842255744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23.750356111513156</v>
      </c>
      <c r="AV164" s="21">
        <f>EXP(-LN(2)/25)*AV163+(1-EXP(-LN(2)/25))/(LN(2)/25)*Calculateur!AQ164*Calculateur!AS164*VLOOKUP('Données projet'!$B$10,Paramètres!$A$1:$I$89,3,0)*0.475*44/12</f>
        <v>2.0571147454474779</v>
      </c>
      <c r="AW164" s="21">
        <f>EXP(-LN(2)/2)*AW163+(1-EXP(-LN(2)/2))/(LN(2)/2)*AQ164*AT164*VLOOKUP('Données projet'!$B$10,Paramètres!$A$1:$I$89,3,0)*0.475*44/12</f>
        <v>1.689247707587054E-14</v>
      </c>
      <c r="AX164" s="21">
        <f t="shared" si="166"/>
        <v>25.807470856960652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-6.5483618527650828E-14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418.31716673276725</v>
      </c>
      <c r="BJ164" s="59">
        <f t="shared" si="146"/>
        <v>472.37891533957929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18.529427372911137</v>
      </c>
      <c r="BQ164" s="21">
        <f>EXP(-LN(2)/25)*BQ163+(1-EXP(-LN(2)/25))/(LN(2)/25)*Calculateur!BL164*Calculateur!BN164*VLOOKUP('Données projet'!$B$11,Paramètres!$A$1:$I$89,3,0)*0.475*44/12</f>
        <v>1.8765323163782681</v>
      </c>
      <c r="BR164" s="21">
        <f>EXP(-LN(2)/2)*BR163+(1-EXP(-LN(2)/2))/(LN(2)/2)*BL164*BO164*VLOOKUP('Données projet'!$B$11,Paramètres!$A$1:$I$89,3,0)*0.475*44/12</f>
        <v>2.6200087096768127E-14</v>
      </c>
      <c r="BS164" s="22">
        <f t="shared" si="169"/>
        <v>20.405959689289428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1.1368683772161603E-13</v>
      </c>
      <c r="BZ164" s="13">
        <f>BY164*VLOOKUP('Données projet'!$B$12,Paramètres!$A$1:$I$89,3,0)*VLOOKUP('Données projet'!$B$12,Paramètres!$A$1:$I$89,5,0)</f>
        <v>6.6506800067145386E-14</v>
      </c>
      <c r="CA164" s="13">
        <f t="shared" si="170"/>
        <v>1.0476989505385114E-12</v>
      </c>
      <c r="CB164" s="20">
        <f t="shared" si="171"/>
        <v>1.9405750156381857E-12</v>
      </c>
      <c r="CC164" s="59">
        <f t="shared" si="119"/>
        <v>287.85577846762163</v>
      </c>
      <c r="CD164" s="59">
        <f ca="1">AVERAGE(OFFSET($CC$3,0,0,'Données projet'!$E$12+1,1))-AVERAGE(OFFSET($H$3,0,0,'Données projet'!$E$12+1,1))</f>
        <v>184.11352167663844</v>
      </c>
      <c r="CE164" s="59">
        <f t="shared" si="148"/>
        <v>145.86653500981791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13.470238995233098</v>
      </c>
      <c r="CL164" s="21">
        <f>EXP(-LN(2)/25)*CL163+(1-EXP(-LN(2)/25))/(LN(2)/25)*Calculateur!CG164*Calculateur!CI164*VLOOKUP('Données projet'!$B$12,Paramètres!$A$1:$I$89,3,0)*0.475*44/12</f>
        <v>2.9773818364994118</v>
      </c>
      <c r="CM164" s="21">
        <f>EXP(-LN(2)/2)*CM163+(1-EXP(-LN(2)/2))/(LN(2)/2)*CG164*CJ164*VLOOKUP('Données projet'!$B$12,Paramètres!$A$1:$I$89,3,0)*0.475*44/12</f>
        <v>3.8875318234775166E-10</v>
      </c>
      <c r="CN164" s="22">
        <f t="shared" si="172"/>
        <v>16.447620832121263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2.3111111111111122</v>
      </c>
      <c r="CT164" s="12">
        <f>IF('Données projet'!$A$140&gt;35,CT163+CS164-DB163,IF(A164&lt;'Données projet'!$A$140,$CQ$205^A164,IF(A164='Données projet'!$A$140,'Données projet'!$B$140,CT163+CS164-DB163)))</f>
        <v>205.4055555555552</v>
      </c>
      <c r="CU164" s="17">
        <f>CT164*VLOOKUP('Données projet'!$B$13,Paramètres!$A$1:$I$89,3,0)*VLOOKUP('Données projet'!$B$13,Paramètres!$A$1:$I$89,5,0)</f>
        <v>98.800072222222056</v>
      </c>
      <c r="CV164" s="13">
        <f t="shared" si="173"/>
        <v>26.675930767776673</v>
      </c>
      <c r="CW164" s="20">
        <f t="shared" si="174"/>
        <v>218.53737187424778</v>
      </c>
      <c r="CX164" s="59">
        <f t="shared" si="122"/>
        <v>506.39315034186745</v>
      </c>
      <c r="CY164" s="59">
        <f ca="1">AVERAGE(OFFSET($CX$3,0,0,'Données projet'!$E$13+1,1))-AVERAGE(OFFSET($H$3,0,0,'Données projet'!$E$13+1,1))</f>
        <v>303.76035885073708</v>
      </c>
      <c r="CZ164" s="59">
        <f t="shared" si="150"/>
        <v>127.43112562890414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45.85165779409347</v>
      </c>
      <c r="DG164" s="21">
        <f>EXP(-LN(2)/25)*DG163+(1-EXP(-LN(2)/25))/(LN(2)/25)*Calculateur!DB164*Calculateur!DD164*VLOOKUP('Données projet'!$B$13,Paramètres!$A$1:$I$89,3,0)*0.475*44/12</f>
        <v>19.340022702965705</v>
      </c>
      <c r="DH164" s="21">
        <f>EXP(-LN(2)/2)*DH163+(1-EXP(-LN(2)/2))/(LN(2)/2)*DB164*DE164*VLOOKUP('Données projet'!$B$13,Paramètres!$A$1:$I$89,3,0)*0.475*44/12</f>
        <v>0.3774453744931715</v>
      </c>
      <c r="DI164" s="22">
        <f t="shared" si="175"/>
        <v>65.569125871552345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5.6843418860808015E-14</v>
      </c>
      <c r="DP164" s="17">
        <f>DO164*VLOOKUP('Données projet'!$B$14,Paramètres!$A$1:$I$89,3,0)*VLOOKUP('Données projet'!$B$14,Paramètres!$A$1:$I$89,5,0)</f>
        <v>3.2810021366458389E-14</v>
      </c>
      <c r="DQ164" s="13">
        <f t="shared" si="176"/>
        <v>5.6117125884464641E-13</v>
      </c>
      <c r="DR164" s="20">
        <f t="shared" si="177"/>
        <v>1.0345173963676741E-12</v>
      </c>
      <c r="DS164" s="59">
        <f t="shared" si="125"/>
        <v>287.85577846762072</v>
      </c>
      <c r="DT164" s="59">
        <f ca="1">AVERAGE(OFFSET($DS$3,0,0,'Données projet'!$E$14+1,1))-AVERAGE(OFFSET($H$3,0,0,'Données projet'!$E$14+1,1))</f>
        <v>243.65374431792841</v>
      </c>
      <c r="DU164" s="59">
        <f t="shared" si="152"/>
        <v>271.60754570002939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8.0550551392836365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8.0550551392836365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-4.5474735088646412E-13</v>
      </c>
      <c r="EK164" s="17">
        <f>EJ164*VLOOKUP('Données projet'!$B$15,Paramètres!$A$1:$I$89,3,0)*VLOOKUP('Données projet'!$B$15,Paramètres!$A$1:$I$89,5,0)</f>
        <v>-3.0504452297464016E-13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321.44781099085594</v>
      </c>
      <c r="EP164" s="59">
        <f t="shared" si="154"/>
        <v>201.22243186578183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50.464181903682537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50.464181903682537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2.8421709430404007E-14</v>
      </c>
      <c r="FF164" s="17">
        <f>FE164*VLOOKUP('Données projet'!$B$16,Paramètres!$A$1:$I$89,3,0)*VLOOKUP('Données projet'!$B$16,Paramètres!$A$1:$I$89,5,0)</f>
        <v>2.4829205358400945E-14</v>
      </c>
      <c r="FG164" s="13">
        <f t="shared" si="182"/>
        <v>4.3867331143352915E-13</v>
      </c>
      <c r="FH164" s="20">
        <f t="shared" si="183"/>
        <v>8.0726688341261168E-13</v>
      </c>
      <c r="FI164" s="59">
        <f t="shared" si="131"/>
        <v>287.8557784676205</v>
      </c>
      <c r="FJ164" s="59">
        <f ca="1">AVERAGE(OFFSET($FI$3,0,0,'Données projet'!$E$16+1,1))-AVERAGE(OFFSET($H$3,0,0,'Données projet'!$E$16+1,1))</f>
        <v>285.8437404763045</v>
      </c>
      <c r="FK164" s="59">
        <f t="shared" si="156"/>
        <v>276.01618888357268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15.955433091947059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15.955433091947059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-1.7053025658242404E-13</v>
      </c>
      <c r="GA164" s="17">
        <f>FZ164*VLOOKUP('Données projet'!$B$17,Paramètres!$A$1:$I$89,3,0)*VLOOKUP('Données projet'!$B$17,Paramètres!$A$1:$I$89,5,0)</f>
        <v>-1.3567387213697657E-13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323.01113210765487</v>
      </c>
      <c r="GF164" s="59">
        <f t="shared" si="158"/>
        <v>311.68541696405975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18.31610104640507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18.31610104640507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2.8421709430404007E-14</v>
      </c>
      <c r="GV164" s="17">
        <f>GU164*VLOOKUP('Données projet'!$B$18,Paramètres!$A$1:$I$89,3,0)*VLOOKUP('Données projet'!$B$18,Paramètres!$A$1:$I$89,5,0)</f>
        <v>2.4829205358400945E-14</v>
      </c>
      <c r="GW164" s="13">
        <f t="shared" si="188"/>
        <v>4.3867331143352915E-13</v>
      </c>
      <c r="GX164" s="20">
        <f t="shared" si="189"/>
        <v>8.0726688341261168E-13</v>
      </c>
      <c r="GY164" s="59">
        <f t="shared" si="137"/>
        <v>287.8557784676205</v>
      </c>
      <c r="GZ164" s="59">
        <f ca="1">AVERAGE(OFFSET($GY$3,0,0,'Données projet'!$E$18+1,1))-AVERAGE(OFFSET($H$3,0,0,'Données projet'!$E$18+1,1))</f>
        <v>285.8437404763045</v>
      </c>
      <c r="HA164" s="59">
        <f t="shared" si="160"/>
        <v>276.01618888357268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15.955433091947059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15.955433091947059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-1.0286385077051818E-13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315.34103933739129</v>
      </c>
      <c r="T165" s="59">
        <f t="shared" si="142"/>
        <v>165.80901858372513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44.09709337282068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44.09709337282068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-2.0395418687257919E-13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317.328615425664</v>
      </c>
      <c r="AO165" s="59">
        <f t="shared" si="144"/>
        <v>324.95872842255744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23.284626114453211</v>
      </c>
      <c r="AV165" s="21">
        <f>EXP(-LN(2)/25)*AV164+(1-EXP(-LN(2)/25))/(LN(2)/25)*Calculateur!AQ165*Calculateur!AS165*VLOOKUP('Données projet'!$B$10,Paramètres!$A$1:$I$89,3,0)*0.475*44/12</f>
        <v>2.0008628345542538</v>
      </c>
      <c r="AW165" s="21">
        <f>EXP(-LN(2)/2)*AW164+(1-EXP(-LN(2)/2))/(LN(2)/2)*AQ165*AT165*VLOOKUP('Données projet'!$B$10,Paramètres!$A$1:$I$89,3,0)*0.475*44/12</f>
        <v>1.1944785091386361E-14</v>
      </c>
      <c r="AX165" s="21">
        <f t="shared" si="166"/>
        <v>25.285488949007476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-6.5483618527650828E-14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418.31716673276725</v>
      </c>
      <c r="BJ165" s="59">
        <f t="shared" si="146"/>
        <v>472.37891533957929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18.166076603963084</v>
      </c>
      <c r="BQ165" s="21">
        <f>EXP(-LN(2)/25)*BQ164+(1-EXP(-LN(2)/25))/(LN(2)/25)*Calculateur!BL165*Calculateur!BN165*VLOOKUP('Données projet'!$B$11,Paramètres!$A$1:$I$89,3,0)*0.475*44/12</f>
        <v>1.8252184415043586</v>
      </c>
      <c r="BR165" s="21">
        <f>EXP(-LN(2)/2)*BR164+(1-EXP(-LN(2)/2))/(LN(2)/2)*BL165*BO165*VLOOKUP('Données projet'!$B$11,Paramètres!$A$1:$I$89,3,0)*0.475*44/12</f>
        <v>1.8526259253802907E-14</v>
      </c>
      <c r="BS165" s="22">
        <f t="shared" si="169"/>
        <v>19.99129504546746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1.1368683772161603E-13</v>
      </c>
      <c r="BZ165" s="13">
        <f>BY165*VLOOKUP('Données projet'!$B$12,Paramètres!$A$1:$I$89,3,0)*VLOOKUP('Données projet'!$B$12,Paramètres!$A$1:$I$89,5,0)</f>
        <v>6.6506800067145386E-14</v>
      </c>
      <c r="CA165" s="13">
        <f t="shared" si="170"/>
        <v>1.0476989505385114E-12</v>
      </c>
      <c r="CB165" s="20">
        <f t="shared" si="171"/>
        <v>1.9405750156381857E-12</v>
      </c>
      <c r="CC165" s="59">
        <f t="shared" si="119"/>
        <v>287.95080179856365</v>
      </c>
      <c r="CD165" s="59">
        <f ca="1">AVERAGE(OFFSET($CC$3,0,0,'Données projet'!$E$12+1,1))-AVERAGE(OFFSET($H$3,0,0,'Données projet'!$E$12+1,1))</f>
        <v>184.11352167663844</v>
      </c>
      <c r="CE165" s="59">
        <f t="shared" si="148"/>
        <v>145.86653500981791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13.206095824571097</v>
      </c>
      <c r="CL165" s="21">
        <f>EXP(-LN(2)/25)*CL164+(1-EXP(-LN(2)/25))/(LN(2)/25)*Calculateur!CG165*Calculateur!CI165*VLOOKUP('Données projet'!$B$12,Paramètres!$A$1:$I$89,3,0)*0.475*44/12</f>
        <v>2.8959651736066294</v>
      </c>
      <c r="CM165" s="21">
        <f>EXP(-LN(2)/2)*CM164+(1-EXP(-LN(2)/2))/(LN(2)/2)*CG165*CJ165*VLOOKUP('Données projet'!$B$12,Paramètres!$A$1:$I$89,3,0)*0.475*44/12</f>
        <v>2.7489001144594564E-10</v>
      </c>
      <c r="CN165" s="22">
        <f t="shared" si="172"/>
        <v>16.102060998452618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2.3111111111111122</v>
      </c>
      <c r="CT165" s="12">
        <f>IF('Données projet'!$A$140&gt;35,CT164+CS165-DB164,IF(A165&lt;'Données projet'!$A$140,$CQ$205^A165,IF(A165='Données projet'!$A$140,'Données projet'!$B$140,CT164+CS165-DB164)))</f>
        <v>207.7166666666663</v>
      </c>
      <c r="CU165" s="17">
        <f>CT165*VLOOKUP('Données projet'!$B$13,Paramètres!$A$1:$I$89,3,0)*VLOOKUP('Données projet'!$B$13,Paramètres!$A$1:$I$89,5,0)</f>
        <v>99.911716666666493</v>
      </c>
      <c r="CV165" s="13">
        <f t="shared" si="173"/>
        <v>26.940964180568656</v>
      </c>
      <c r="CW165" s="20">
        <f t="shared" si="174"/>
        <v>220.93508580893453</v>
      </c>
      <c r="CX165" s="59">
        <f t="shared" si="122"/>
        <v>508.88588760749622</v>
      </c>
      <c r="CY165" s="59">
        <f ca="1">AVERAGE(OFFSET($CX$3,0,0,'Données projet'!$E$13+1,1))-AVERAGE(OFFSET($H$3,0,0,'Données projet'!$E$13+1,1))</f>
        <v>303.76035885073708</v>
      </c>
      <c r="CZ165" s="59">
        <f t="shared" si="150"/>
        <v>127.43112562890414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44.952534751501062</v>
      </c>
      <c r="DG165" s="21">
        <f>EXP(-LN(2)/25)*DG164+(1-EXP(-LN(2)/25))/(LN(2)/25)*Calculateur!DB165*Calculateur!DD165*VLOOKUP('Données projet'!$B$13,Paramètres!$A$1:$I$89,3,0)*0.475*44/12</f>
        <v>18.811168765105517</v>
      </c>
      <c r="DH165" s="21">
        <f>EXP(-LN(2)/2)*DH164+(1-EXP(-LN(2)/2))/(LN(2)/2)*DB165*DE165*VLOOKUP('Données projet'!$B$13,Paramètres!$A$1:$I$89,3,0)*0.475*44/12</f>
        <v>0.2668941838316175</v>
      </c>
      <c r="DI165" s="22">
        <f t="shared" si="175"/>
        <v>64.030597700438207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5.6843418860808015E-14</v>
      </c>
      <c r="DP165" s="17">
        <f>DO165*VLOOKUP('Données projet'!$B$14,Paramètres!$A$1:$I$89,3,0)*VLOOKUP('Données projet'!$B$14,Paramètres!$A$1:$I$89,5,0)</f>
        <v>3.2810021366458389E-14</v>
      </c>
      <c r="DQ165" s="13">
        <f t="shared" si="176"/>
        <v>5.6117125884464641E-13</v>
      </c>
      <c r="DR165" s="20">
        <f t="shared" si="177"/>
        <v>1.0345173963676741E-12</v>
      </c>
      <c r="DS165" s="59">
        <f t="shared" si="125"/>
        <v>287.95080179856274</v>
      </c>
      <c r="DT165" s="59">
        <f ca="1">AVERAGE(OFFSET($DS$3,0,0,'Données projet'!$E$14+1,1))-AVERAGE(OFFSET($H$3,0,0,'Données projet'!$E$14+1,1))</f>
        <v>243.65374431792841</v>
      </c>
      <c r="DU165" s="59">
        <f t="shared" si="152"/>
        <v>271.60754570002939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7.8971004211007916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7.8971004211007916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-4.5474735088646412E-13</v>
      </c>
      <c r="EK165" s="17">
        <f>EJ165*VLOOKUP('Données projet'!$B$15,Paramètres!$A$1:$I$89,3,0)*VLOOKUP('Données projet'!$B$15,Paramètres!$A$1:$I$89,5,0)</f>
        <v>-3.0504452297464016E-13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321.44781099085594</v>
      </c>
      <c r="EP165" s="59">
        <f t="shared" si="154"/>
        <v>201.22243186578183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49.474610076662998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49.474610076662998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2.8421709430404007E-14</v>
      </c>
      <c r="FF165" s="17">
        <f>FE165*VLOOKUP('Données projet'!$B$16,Paramètres!$A$1:$I$89,3,0)*VLOOKUP('Données projet'!$B$16,Paramètres!$A$1:$I$89,5,0)</f>
        <v>2.4829205358400945E-14</v>
      </c>
      <c r="FG165" s="13">
        <f t="shared" si="182"/>
        <v>4.3867331143352915E-13</v>
      </c>
      <c r="FH165" s="20">
        <f t="shared" si="183"/>
        <v>8.0726688341261168E-13</v>
      </c>
      <c r="FI165" s="59">
        <f t="shared" si="131"/>
        <v>287.95080179856251</v>
      </c>
      <c r="FJ165" s="59">
        <f ca="1">AVERAGE(OFFSET($FI$3,0,0,'Données projet'!$E$16+1,1))-AVERAGE(OFFSET($H$3,0,0,'Données projet'!$E$16+1,1))</f>
        <v>285.8437404763045</v>
      </c>
      <c r="FK165" s="59">
        <f t="shared" si="156"/>
        <v>276.01618888357268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15.642556780867222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15.642556780867222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-1.7053025658242404E-13</v>
      </c>
      <c r="GA165" s="17">
        <f>FZ165*VLOOKUP('Données projet'!$B$17,Paramètres!$A$1:$I$89,3,0)*VLOOKUP('Données projet'!$B$17,Paramètres!$A$1:$I$89,5,0)</f>
        <v>-1.3567387213697657E-13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323.01113210765487</v>
      </c>
      <c r="GF165" s="59">
        <f t="shared" si="158"/>
        <v>311.68541696405975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17.956933476603588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17.956933476603588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2.8421709430404007E-14</v>
      </c>
      <c r="GV165" s="17">
        <f>GU165*VLOOKUP('Données projet'!$B$18,Paramètres!$A$1:$I$89,3,0)*VLOOKUP('Données projet'!$B$18,Paramètres!$A$1:$I$89,5,0)</f>
        <v>2.4829205358400945E-14</v>
      </c>
      <c r="GW165" s="13">
        <f t="shared" si="188"/>
        <v>4.3867331143352915E-13</v>
      </c>
      <c r="GX165" s="20">
        <f t="shared" si="189"/>
        <v>8.0726688341261168E-13</v>
      </c>
      <c r="GY165" s="59">
        <f t="shared" si="137"/>
        <v>287.95080179856251</v>
      </c>
      <c r="GZ165" s="59">
        <f ca="1">AVERAGE(OFFSET($GY$3,0,0,'Données projet'!$E$18+1,1))-AVERAGE(OFFSET($H$3,0,0,'Données projet'!$E$18+1,1))</f>
        <v>285.8437404763045</v>
      </c>
      <c r="HA165" s="59">
        <f t="shared" si="160"/>
        <v>276.01618888357268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15.642556780867222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15.642556780867222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-1.0286385077051818E-13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315.34103933739129</v>
      </c>
      <c r="T166" s="59">
        <f t="shared" si="142"/>
        <v>165.80901858372513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43.232376268350805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43.232376268350805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-2.0395418687257919E-13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317.328615425664</v>
      </c>
      <c r="AO166" s="59">
        <f t="shared" si="144"/>
        <v>324.95872842255744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22.828028798568361</v>
      </c>
      <c r="AV166" s="21">
        <f>EXP(-LN(2)/25)*AV165+(1-EXP(-LN(2)/25))/(LN(2)/25)*Calculateur!AQ166*Calculateur!AS166*VLOOKUP('Données projet'!$B$10,Paramètres!$A$1:$I$89,3,0)*0.475*44/12</f>
        <v>1.9461491351225644</v>
      </c>
      <c r="AW166" s="21">
        <f>EXP(-LN(2)/2)*AW165+(1-EXP(-LN(2)/2))/(LN(2)/2)*AQ166*AT166*VLOOKUP('Données projet'!$B$10,Paramètres!$A$1:$I$89,3,0)*0.475*44/12</f>
        <v>8.4462385379352702E-15</v>
      </c>
      <c r="AX166" s="21">
        <f t="shared" si="166"/>
        <v>24.774177933690932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-6.5483618527650828E-14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418.31716673276725</v>
      </c>
      <c r="BJ166" s="59">
        <f t="shared" si="146"/>
        <v>472.37891533957929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17.809850921972018</v>
      </c>
      <c r="BQ166" s="21">
        <f>EXP(-LN(2)/25)*BQ165+(1-EXP(-LN(2)/25))/(LN(2)/25)*Calculateur!BL166*Calculateur!BN166*VLOOKUP('Données projet'!$B$11,Paramètres!$A$1:$I$89,3,0)*0.475*44/12</f>
        <v>1.7753077472373557</v>
      </c>
      <c r="BR166" s="21">
        <f>EXP(-LN(2)/2)*BR165+(1-EXP(-LN(2)/2))/(LN(2)/2)*BL166*BO166*VLOOKUP('Données projet'!$B$11,Paramètres!$A$1:$I$89,3,0)*0.475*44/12</f>
        <v>1.3100043548384063E-14</v>
      </c>
      <c r="BS166" s="22">
        <f t="shared" si="169"/>
        <v>19.585158669209388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1.1368683772161603E-13</v>
      </c>
      <c r="BZ166" s="13">
        <f>BY166*VLOOKUP('Données projet'!$B$12,Paramètres!$A$1:$I$89,3,0)*VLOOKUP('Données projet'!$B$12,Paramètres!$A$1:$I$89,5,0)</f>
        <v>6.6506800067145386E-14</v>
      </c>
      <c r="CA166" s="13">
        <f t="shared" si="170"/>
        <v>1.0476989505385114E-12</v>
      </c>
      <c r="CB166" s="20">
        <f t="shared" si="171"/>
        <v>1.9405750156381857E-12</v>
      </c>
      <c r="CC166" s="59">
        <f t="shared" si="119"/>
        <v>288.04417668715416</v>
      </c>
      <c r="CD166" s="59">
        <f ca="1">AVERAGE(OFFSET($CC$3,0,0,'Données projet'!$E$12+1,1))-AVERAGE(OFFSET($H$3,0,0,'Données projet'!$E$12+1,1))</f>
        <v>184.11352167663844</v>
      </c>
      <c r="CE166" s="59">
        <f t="shared" si="148"/>
        <v>145.86653500981791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12.947132340374353</v>
      </c>
      <c r="CL166" s="21">
        <f>EXP(-LN(2)/25)*CL165+(1-EXP(-LN(2)/25))/(LN(2)/25)*Calculateur!CG166*Calculateur!CI166*VLOOKUP('Données projet'!$B$12,Paramètres!$A$1:$I$89,3,0)*0.475*44/12</f>
        <v>2.8167748536421664</v>
      </c>
      <c r="CM166" s="21">
        <f>EXP(-LN(2)/2)*CM165+(1-EXP(-LN(2)/2))/(LN(2)/2)*CG166*CJ166*VLOOKUP('Données projet'!$B$12,Paramètres!$A$1:$I$89,3,0)*0.475*44/12</f>
        <v>1.9437659117387583E-10</v>
      </c>
      <c r="CN166" s="22">
        <f t="shared" si="172"/>
        <v>15.763907194210894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2.3111111111111122</v>
      </c>
      <c r="CT166" s="12">
        <f>IF('Données projet'!$A$140&gt;35,CT165+CS166-DB165,IF(A166&lt;'Données projet'!$A$140,$CQ$205^A166,IF(A166='Données projet'!$A$140,'Données projet'!$B$140,CT165+CS166-DB165)))</f>
        <v>210.0277777777774</v>
      </c>
      <c r="CU166" s="17">
        <f>CT166*VLOOKUP('Données projet'!$B$13,Paramètres!$A$1:$I$89,3,0)*VLOOKUP('Données projet'!$B$13,Paramètres!$A$1:$I$89,5,0)</f>
        <v>101.02336111111093</v>
      </c>
      <c r="CV166" s="13">
        <f t="shared" si="173"/>
        <v>27.205654563939916</v>
      </c>
      <c r="CW166" s="20">
        <f t="shared" si="174"/>
        <v>223.33220230071356</v>
      </c>
      <c r="CX166" s="59">
        <f t="shared" si="122"/>
        <v>511.37637898786579</v>
      </c>
      <c r="CY166" s="59">
        <f ca="1">AVERAGE(OFFSET($CX$3,0,0,'Données projet'!$E$13+1,1))-AVERAGE(OFFSET($H$3,0,0,'Données projet'!$E$13+1,1))</f>
        <v>303.76035885073708</v>
      </c>
      <c r="CZ166" s="59">
        <f t="shared" si="150"/>
        <v>127.43112562890414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44.071042963362991</v>
      </c>
      <c r="DG166" s="21">
        <f>EXP(-LN(2)/25)*DG165+(1-EXP(-LN(2)/25))/(LN(2)/25)*Calculateur!DB166*Calculateur!DD166*VLOOKUP('Données projet'!$B$13,Paramètres!$A$1:$I$89,3,0)*0.475*44/12</f>
        <v>18.296776365987334</v>
      </c>
      <c r="DH166" s="21">
        <f>EXP(-LN(2)/2)*DH165+(1-EXP(-LN(2)/2))/(LN(2)/2)*DB166*DE166*VLOOKUP('Données projet'!$B$13,Paramètres!$A$1:$I$89,3,0)*0.475*44/12</f>
        <v>0.18872268724658575</v>
      </c>
      <c r="DI166" s="22">
        <f t="shared" si="175"/>
        <v>62.556542016596914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5.6843418860808015E-14</v>
      </c>
      <c r="DP166" s="17">
        <f>DO166*VLOOKUP('Données projet'!$B$14,Paramètres!$A$1:$I$89,3,0)*VLOOKUP('Données projet'!$B$14,Paramètres!$A$1:$I$89,5,0)</f>
        <v>3.2810021366458389E-14</v>
      </c>
      <c r="DQ166" s="13">
        <f t="shared" si="176"/>
        <v>5.6117125884464641E-13</v>
      </c>
      <c r="DR166" s="20">
        <f t="shared" si="177"/>
        <v>1.0345173963676741E-12</v>
      </c>
      <c r="DS166" s="59">
        <f t="shared" si="125"/>
        <v>288.04417668715325</v>
      </c>
      <c r="DT166" s="59">
        <f ca="1">AVERAGE(OFFSET($DS$3,0,0,'Données projet'!$E$14+1,1))-AVERAGE(OFFSET($H$3,0,0,'Données projet'!$E$14+1,1))</f>
        <v>243.65374431792841</v>
      </c>
      <c r="DU166" s="59">
        <f t="shared" si="152"/>
        <v>271.60754570002939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7.7422430985986468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7.7422430985986468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-4.5474735088646412E-13</v>
      </c>
      <c r="EK166" s="17">
        <f>EJ166*VLOOKUP('Données projet'!$B$15,Paramètres!$A$1:$I$89,3,0)*VLOOKUP('Données projet'!$B$15,Paramètres!$A$1:$I$89,5,0)</f>
        <v>-3.0504452297464016E-13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321.44781099085594</v>
      </c>
      <c r="EP166" s="59">
        <f t="shared" si="154"/>
        <v>201.22243186578183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48.504443149592099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48.504443149592099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2.8421709430404007E-14</v>
      </c>
      <c r="FF166" s="17">
        <f>FE166*VLOOKUP('Données projet'!$B$16,Paramètres!$A$1:$I$89,3,0)*VLOOKUP('Données projet'!$B$16,Paramètres!$A$1:$I$89,5,0)</f>
        <v>2.4829205358400945E-14</v>
      </c>
      <c r="FG166" s="13">
        <f t="shared" si="182"/>
        <v>4.3867331143352915E-13</v>
      </c>
      <c r="FH166" s="20">
        <f t="shared" si="183"/>
        <v>8.0726688341261168E-13</v>
      </c>
      <c r="FI166" s="59">
        <f t="shared" si="131"/>
        <v>288.04417668715303</v>
      </c>
      <c r="FJ166" s="59">
        <f ca="1">AVERAGE(OFFSET($FI$3,0,0,'Données projet'!$E$16+1,1))-AVERAGE(OFFSET($H$3,0,0,'Données projet'!$E$16+1,1))</f>
        <v>285.8437404763045</v>
      </c>
      <c r="FK166" s="59">
        <f t="shared" si="156"/>
        <v>276.01618888357268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15.335815783411956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15.335815783411956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-1.7053025658242404E-13</v>
      </c>
      <c r="GA166" s="17">
        <f>FZ166*VLOOKUP('Données projet'!$B$17,Paramètres!$A$1:$I$89,3,0)*VLOOKUP('Données projet'!$B$17,Paramètres!$A$1:$I$89,5,0)</f>
        <v>-1.3567387213697657E-13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323.01113210765487</v>
      </c>
      <c r="GF166" s="59">
        <f t="shared" si="158"/>
        <v>311.68541696405975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17.604808963775326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17.604808963775326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2.8421709430404007E-14</v>
      </c>
      <c r="GV166" s="17">
        <f>GU166*VLOOKUP('Données projet'!$B$18,Paramètres!$A$1:$I$89,3,0)*VLOOKUP('Données projet'!$B$18,Paramètres!$A$1:$I$89,5,0)</f>
        <v>2.4829205358400945E-14</v>
      </c>
      <c r="GW166" s="13">
        <f t="shared" si="188"/>
        <v>4.3867331143352915E-13</v>
      </c>
      <c r="GX166" s="20">
        <f t="shared" si="189"/>
        <v>8.0726688341261168E-13</v>
      </c>
      <c r="GY166" s="59">
        <f t="shared" si="137"/>
        <v>288.04417668715303</v>
      </c>
      <c r="GZ166" s="59">
        <f ca="1">AVERAGE(OFFSET($GY$3,0,0,'Données projet'!$E$18+1,1))-AVERAGE(OFFSET($H$3,0,0,'Données projet'!$E$18+1,1))</f>
        <v>285.8437404763045</v>
      </c>
      <c r="HA166" s="59">
        <f t="shared" si="160"/>
        <v>276.01618888357268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15.335815783411956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15.335815783411956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-1.0286385077051818E-13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315.34103933739129</v>
      </c>
      <c r="T167" s="59">
        <f t="shared" si="142"/>
        <v>165.80901858372513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42.384615738874231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42.384615738874231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-2.0395418687257919E-13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317.328615425664</v>
      </c>
      <c r="AO167" s="59">
        <f t="shared" si="144"/>
        <v>324.95872842255744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22.38038507755115</v>
      </c>
      <c r="AV167" s="21">
        <f>EXP(-LN(2)/25)*AV166+(1-EXP(-LN(2)/25))/(LN(2)/25)*Calculateur!AQ167*Calculateur!AS167*VLOOKUP('Données projet'!$B$10,Paramètres!$A$1:$I$89,3,0)*0.475*44/12</f>
        <v>1.8929315846791028</v>
      </c>
      <c r="AW167" s="21">
        <f>EXP(-LN(2)/2)*AW166+(1-EXP(-LN(2)/2))/(LN(2)/2)*AQ167*AT167*VLOOKUP('Données projet'!$B$10,Paramètres!$A$1:$I$89,3,0)*0.475*44/12</f>
        <v>5.9723925456931803E-15</v>
      </c>
      <c r="AX167" s="21">
        <f t="shared" si="166"/>
        <v>24.273316662230261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-6.5483618527650828E-14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418.31716673276725</v>
      </c>
      <c r="BJ167" s="59">
        <f t="shared" si="146"/>
        <v>472.37891533957929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17.460610608328583</v>
      </c>
      <c r="BQ167" s="21">
        <f>EXP(-LN(2)/25)*BQ166+(1-EXP(-LN(2)/25))/(LN(2)/25)*Calculateur!BL167*Calculateur!BN167*VLOOKUP('Données projet'!$B$11,Paramètres!$A$1:$I$89,3,0)*0.475*44/12</f>
        <v>1.7267618635297732</v>
      </c>
      <c r="BR167" s="21">
        <f>EXP(-LN(2)/2)*BR166+(1-EXP(-LN(2)/2))/(LN(2)/2)*BL167*BO167*VLOOKUP('Données projet'!$B$11,Paramètres!$A$1:$I$89,3,0)*0.475*44/12</f>
        <v>9.2631296269014533E-15</v>
      </c>
      <c r="BS167" s="22">
        <f t="shared" si="169"/>
        <v>19.187372471858367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1.1368683772161603E-13</v>
      </c>
      <c r="BZ167" s="13">
        <f>BY167*VLOOKUP('Données projet'!$B$12,Paramètres!$A$1:$I$89,3,0)*VLOOKUP('Données projet'!$B$12,Paramètres!$A$1:$I$89,5,0)</f>
        <v>6.6506800067145386E-14</v>
      </c>
      <c r="CA167" s="13">
        <f t="shared" si="170"/>
        <v>1.0476989505385114E-12</v>
      </c>
      <c r="CB167" s="20">
        <f t="shared" si="171"/>
        <v>1.9405750156381857E-12</v>
      </c>
      <c r="CC167" s="59">
        <f t="shared" si="119"/>
        <v>288.13593173018262</v>
      </c>
      <c r="CD167" s="59">
        <f ca="1">AVERAGE(OFFSET($CC$3,0,0,'Données projet'!$E$12+1,1))-AVERAGE(OFFSET($H$3,0,0,'Données projet'!$E$12+1,1))</f>
        <v>184.11352167663844</v>
      </c>
      <c r="CE167" s="59">
        <f t="shared" si="148"/>
        <v>145.86653500981791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12.693246972150577</v>
      </c>
      <c r="CL167" s="21">
        <f>EXP(-LN(2)/25)*CL166+(1-EXP(-LN(2)/25))/(LN(2)/25)*Calculateur!CG167*Calculateur!CI167*VLOOKUP('Données projet'!$B$12,Paramètres!$A$1:$I$89,3,0)*0.475*44/12</f>
        <v>2.7397499971415695</v>
      </c>
      <c r="CM167" s="21">
        <f>EXP(-LN(2)/2)*CM166+(1-EXP(-LN(2)/2))/(LN(2)/2)*CG167*CJ167*VLOOKUP('Données projet'!$B$12,Paramètres!$A$1:$I$89,3,0)*0.475*44/12</f>
        <v>1.3744500572297282E-10</v>
      </c>
      <c r="CN167" s="22">
        <f t="shared" si="172"/>
        <v>15.432996969429592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2.3111111111111122</v>
      </c>
      <c r="CT167" s="12">
        <f>IF('Données projet'!$A$140&gt;35,CT166+CS167-DB166,IF(A167&lt;'Données projet'!$A$140,$CQ$205^A167,IF(A167='Données projet'!$A$140,'Données projet'!$B$140,CT166+CS167-DB166)))</f>
        <v>212.3388888888885</v>
      </c>
      <c r="CU167" s="17">
        <f>CT167*VLOOKUP('Données projet'!$B$13,Paramètres!$A$1:$I$89,3,0)*VLOOKUP('Données projet'!$B$13,Paramètres!$A$1:$I$89,5,0)</f>
        <v>102.13500555555538</v>
      </c>
      <c r="CV167" s="13">
        <f t="shared" si="173"/>
        <v>27.470006129371075</v>
      </c>
      <c r="CW167" s="20">
        <f t="shared" si="174"/>
        <v>225.72872868458023</v>
      </c>
      <c r="CX167" s="59">
        <f t="shared" si="122"/>
        <v>513.86466041476092</v>
      </c>
      <c r="CY167" s="59">
        <f ca="1">AVERAGE(OFFSET($CX$3,0,0,'Données projet'!$E$13+1,1))-AVERAGE(OFFSET($H$3,0,0,'Données projet'!$E$13+1,1))</f>
        <v>303.76035885073708</v>
      </c>
      <c r="CZ167" s="59">
        <f t="shared" si="150"/>
        <v>127.43112562890414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43.206836691533404</v>
      </c>
      <c r="DG167" s="21">
        <f>EXP(-LN(2)/25)*DG166+(1-EXP(-LN(2)/25))/(LN(2)/25)*Calculateur!DB167*Calculateur!DD167*VLOOKUP('Données projet'!$B$13,Paramètres!$A$1:$I$89,3,0)*0.475*44/12</f>
        <v>17.796450054073759</v>
      </c>
      <c r="DH167" s="21">
        <f>EXP(-LN(2)/2)*DH166+(1-EXP(-LN(2)/2))/(LN(2)/2)*DB167*DE167*VLOOKUP('Données projet'!$B$13,Paramètres!$A$1:$I$89,3,0)*0.475*44/12</f>
        <v>0.13344709191580875</v>
      </c>
      <c r="DI167" s="22">
        <f t="shared" si="175"/>
        <v>61.136733837522975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5.6843418860808015E-14</v>
      </c>
      <c r="DP167" s="17">
        <f>DO167*VLOOKUP('Données projet'!$B$14,Paramètres!$A$1:$I$89,3,0)*VLOOKUP('Données projet'!$B$14,Paramètres!$A$1:$I$89,5,0)</f>
        <v>3.2810021366458389E-14</v>
      </c>
      <c r="DQ167" s="13">
        <f t="shared" si="176"/>
        <v>5.6117125884464641E-13</v>
      </c>
      <c r="DR167" s="20">
        <f t="shared" si="177"/>
        <v>1.0345173963676741E-12</v>
      </c>
      <c r="DS167" s="59">
        <f t="shared" si="125"/>
        <v>288.13593173018171</v>
      </c>
      <c r="DT167" s="59">
        <f ca="1">AVERAGE(OFFSET($DS$3,0,0,'Données projet'!$E$14+1,1))-AVERAGE(OFFSET($H$3,0,0,'Données projet'!$E$14+1,1))</f>
        <v>243.65374431792841</v>
      </c>
      <c r="DU167" s="59">
        <f t="shared" si="152"/>
        <v>271.60754570002939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7.5904224337371291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7.5904224337371291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-4.5474735088646412E-13</v>
      </c>
      <c r="EK167" s="17">
        <f>EJ167*VLOOKUP('Données projet'!$B$15,Paramètres!$A$1:$I$89,3,0)*VLOOKUP('Données projet'!$B$15,Paramètres!$A$1:$I$89,5,0)</f>
        <v>-3.0504452297464016E-13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321.44781099085594</v>
      </c>
      <c r="EP167" s="59">
        <f t="shared" si="154"/>
        <v>201.22243186578183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47.553300604217661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47.553300604217661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2.8421709430404007E-14</v>
      </c>
      <c r="FF167" s="17">
        <f>FE167*VLOOKUP('Données projet'!$B$16,Paramètres!$A$1:$I$89,3,0)*VLOOKUP('Données projet'!$B$16,Paramètres!$A$1:$I$89,5,0)</f>
        <v>2.4829205358400945E-14</v>
      </c>
      <c r="FG167" s="13">
        <f t="shared" si="182"/>
        <v>4.3867331143352915E-13</v>
      </c>
      <c r="FH167" s="20">
        <f t="shared" si="183"/>
        <v>8.0726688341261168E-13</v>
      </c>
      <c r="FI167" s="59">
        <f t="shared" si="131"/>
        <v>288.13593173018148</v>
      </c>
      <c r="FJ167" s="59">
        <f ca="1">AVERAGE(OFFSET($FI$3,0,0,'Données projet'!$E$16+1,1))-AVERAGE(OFFSET($H$3,0,0,'Données projet'!$E$16+1,1))</f>
        <v>285.8437404763045</v>
      </c>
      <c r="FK167" s="59">
        <f t="shared" si="156"/>
        <v>276.01618888357268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15.035089789823251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15.035089789823251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-1.7053025658242404E-13</v>
      </c>
      <c r="GA167" s="17">
        <f>FZ167*VLOOKUP('Données projet'!$B$17,Paramètres!$A$1:$I$89,3,0)*VLOOKUP('Données projet'!$B$17,Paramètres!$A$1:$I$89,5,0)</f>
        <v>-1.3567387213697657E-13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323.01113210765487</v>
      </c>
      <c r="GF167" s="59">
        <f t="shared" si="158"/>
        <v>311.68541696405975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17.259589397868883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17.259589397868883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2.8421709430404007E-14</v>
      </c>
      <c r="GV167" s="17">
        <f>GU167*VLOOKUP('Données projet'!$B$18,Paramètres!$A$1:$I$89,3,0)*VLOOKUP('Données projet'!$B$18,Paramètres!$A$1:$I$89,5,0)</f>
        <v>2.4829205358400945E-14</v>
      </c>
      <c r="GW167" s="13">
        <f t="shared" si="188"/>
        <v>4.3867331143352915E-13</v>
      </c>
      <c r="GX167" s="20">
        <f t="shared" si="189"/>
        <v>8.0726688341261168E-13</v>
      </c>
      <c r="GY167" s="59">
        <f t="shared" si="137"/>
        <v>288.13593173018148</v>
      </c>
      <c r="GZ167" s="59">
        <f ca="1">AVERAGE(OFFSET($GY$3,0,0,'Données projet'!$E$18+1,1))-AVERAGE(OFFSET($H$3,0,0,'Données projet'!$E$18+1,1))</f>
        <v>285.8437404763045</v>
      </c>
      <c r="HA167" s="59">
        <f t="shared" si="160"/>
        <v>276.01618888357268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15.035089789823251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15.035089789823251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-1.0286385077051818E-13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315.34103933739129</v>
      </c>
      <c r="T168" s="59">
        <f t="shared" si="142"/>
        <v>165.80901858372513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41.553479276297828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41.553479276297828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-2.0395418687257919E-13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317.328615425664</v>
      </c>
      <c r="AO168" s="59">
        <f t="shared" si="144"/>
        <v>324.95872842255744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21.941519376867376</v>
      </c>
      <c r="AV168" s="21">
        <f>EXP(-LN(2)/25)*AV167+(1-EXP(-LN(2)/25))/(LN(2)/25)*Calculateur!AQ168*Calculateur!AS168*VLOOKUP('Données projet'!$B$10,Paramètres!$A$1:$I$89,3,0)*0.475*44/12</f>
        <v>1.8411692709511072</v>
      </c>
      <c r="AW168" s="21">
        <f>EXP(-LN(2)/2)*AW167+(1-EXP(-LN(2)/2))/(LN(2)/2)*AQ168*AT168*VLOOKUP('Données projet'!$B$10,Paramètres!$A$1:$I$89,3,0)*0.475*44/12</f>
        <v>4.2231192689676351E-15</v>
      </c>
      <c r="AX168" s="21">
        <f t="shared" si="166"/>
        <v>23.782688647818485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-6.5483618527650828E-14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418.31716673276725</v>
      </c>
      <c r="BJ168" s="59">
        <f t="shared" si="146"/>
        <v>472.37891533957929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17.118218684220139</v>
      </c>
      <c r="BQ168" s="21">
        <f>EXP(-LN(2)/25)*BQ167+(1-EXP(-LN(2)/25))/(LN(2)/25)*Calculateur!BL168*Calculateur!BN168*VLOOKUP('Données projet'!$B$11,Paramètres!$A$1:$I$89,3,0)*0.475*44/12</f>
        <v>1.6795434695650917</v>
      </c>
      <c r="BR168" s="21">
        <f>EXP(-LN(2)/2)*BR167+(1-EXP(-LN(2)/2))/(LN(2)/2)*BL168*BO168*VLOOKUP('Données projet'!$B$11,Paramètres!$A$1:$I$89,3,0)*0.475*44/12</f>
        <v>6.5500217741920317E-15</v>
      </c>
      <c r="BS168" s="22">
        <f t="shared" si="169"/>
        <v>18.797762153785239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1.1368683772161603E-13</v>
      </c>
      <c r="BZ168" s="13">
        <f>BY168*VLOOKUP('Données projet'!$B$12,Paramètres!$A$1:$I$89,3,0)*VLOOKUP('Données projet'!$B$12,Paramètres!$A$1:$I$89,5,0)</f>
        <v>6.6506800067145386E-14</v>
      </c>
      <c r="CA168" s="13">
        <f t="shared" si="170"/>
        <v>1.0476989505385114E-12</v>
      </c>
      <c r="CB168" s="20">
        <f t="shared" si="171"/>
        <v>1.9405750156381857E-12</v>
      </c>
      <c r="CC168" s="59">
        <f t="shared" si="119"/>
        <v>288.22609502834808</v>
      </c>
      <c r="CD168" s="59">
        <f ca="1">AVERAGE(OFFSET($CC$3,0,0,'Données projet'!$E$12+1,1))-AVERAGE(OFFSET($H$3,0,0,'Données projet'!$E$12+1,1))</f>
        <v>184.11352167663844</v>
      </c>
      <c r="CE168" s="59">
        <f t="shared" si="148"/>
        <v>145.86653500981791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12.444340141142886</v>
      </c>
      <c r="CL168" s="21">
        <f>EXP(-LN(2)/25)*CL167+(1-EXP(-LN(2)/25))/(LN(2)/25)*Calculateur!CG168*Calculateur!CI168*VLOOKUP('Données projet'!$B$12,Paramètres!$A$1:$I$89,3,0)*0.475*44/12</f>
        <v>2.6648313893925426</v>
      </c>
      <c r="CM168" s="21">
        <f>EXP(-LN(2)/2)*CM167+(1-EXP(-LN(2)/2))/(LN(2)/2)*CG168*CJ168*VLOOKUP('Données projet'!$B$12,Paramètres!$A$1:$I$89,3,0)*0.475*44/12</f>
        <v>9.7188295586937914E-11</v>
      </c>
      <c r="CN168" s="22">
        <f t="shared" si="172"/>
        <v>15.109171530632617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>
        <f>VLOOKUP(A168,'Données projet'!$A$139:$I$159,2,0)</f>
        <v>214.65</v>
      </c>
      <c r="CR168" s="12">
        <f>VLOOKUP(A168,'Données projet'!$A$139:$I$159,9,0)</f>
        <v>2.3111111111111122</v>
      </c>
      <c r="CS168" s="12">
        <f t="array" ref="CS168">INDEX(CR:CR,MIN(IF(ISNUMBER(CR168:CR364),ROW(CR168:CR364),"")))</f>
        <v>2.3111111111111122</v>
      </c>
      <c r="CT168" s="12">
        <f>IF('Données projet'!$A$140&gt;35,CT167+CS168-DB167,IF(A168&lt;'Données projet'!$A$140,$CQ$205^A168,IF(A168='Données projet'!$A$140,'Données projet'!$B$140,CT167+CS168-DB167)))</f>
        <v>214.64999999999961</v>
      </c>
      <c r="CU168" s="17">
        <f>CT168*VLOOKUP('Données projet'!$B$13,Paramètres!$A$1:$I$89,3,0)*VLOOKUP('Données projet'!$B$13,Paramètres!$A$1:$I$89,5,0)</f>
        <v>103.2466499999998</v>
      </c>
      <c r="CV168" s="13">
        <f t="shared" si="173"/>
        <v>27.734022991386677</v>
      </c>
      <c r="CW168" s="20">
        <f t="shared" si="174"/>
        <v>228.12467212666479</v>
      </c>
      <c r="CX168" s="59">
        <f t="shared" si="122"/>
        <v>516.350767155011</v>
      </c>
      <c r="CY168" s="59">
        <f ca="1">AVERAGE(OFFSET($CX$3,0,0,'Données projet'!$E$13+1,1))-AVERAGE(OFFSET($H$3,0,0,'Données projet'!$E$13+1,1))</f>
        <v>303.76035885073708</v>
      </c>
      <c r="CZ168" s="59">
        <f t="shared" si="150"/>
        <v>127.43112562890414</v>
      </c>
      <c r="DA168" s="15">
        <f>IF(ISNA(VLOOKUP(A168,'Données projet'!$A$139:$I$159,3,0)),0,VLOOKUP(A168,'Données projet'!$A$139:$I$159,3,0))</f>
        <v>18</v>
      </c>
      <c r="DB168" s="15">
        <f>IF(ISNA(VLOOKUP(A168,'Données projet'!$A$139:$I$159,4,0)),0,VLOOKUP(A168,'Données projet'!$A$139:$I$159,4,0))</f>
        <v>214.65</v>
      </c>
      <c r="DC168" s="16">
        <f>IF(ISNA(VLOOKUP(A168,'Données projet'!$A$139:$I$159,5,0)),0%,VLOOKUP(A168,'Données projet'!$A$139:$I$159,5,0)*VLOOKUP('Données projet'!$B$13,Paramètres!$A$1:$I$89,7,0))</f>
        <v>0.33</v>
      </c>
      <c r="DD168" s="16">
        <f>IF(ISNA(VLOOKUP(A168,'Données projet'!$A$139:$I$159,6,0)),0%,VLOOKUP(A168,'Données projet'!$A$139:$I$159,6,0)*VLOOKUP('Données projet'!$B$13,Paramètres!$A$1:$I$89,7,0))</f>
        <v>0.12100000000000001</v>
      </c>
      <c r="DE168" s="16">
        <f>IF(ISNA(VLOOKUP(A168,'Données projet'!$A$139:$I$159,7,0)),0%,VLOOKUP(A168,'Données projet'!$A$139:$I$159,7,0))</f>
        <v>0.18</v>
      </c>
      <c r="DF168" s="21">
        <f>EXP(-LN(2)/35)*DF167+(1-EXP(-LN(2)/35))/(LN(2)/35)*DB168*DC168*VLOOKUP('Données projet'!$B$13,Paramètres!$A$1:$I$89,3,0)*0.475*44/12</f>
        <v>87.557477868538882</v>
      </c>
      <c r="DG168" s="21">
        <f>EXP(-LN(2)/25)*DG167+(1-EXP(-LN(2)/25))/(LN(2)/25)*Calculateur!DB168*Calculateur!DD168*VLOOKUP('Données projet'!$B$13,Paramètres!$A$1:$I$89,3,0)*0.475*44/12</f>
        <v>33.817116353717196</v>
      </c>
      <c r="DH168" s="21">
        <f>EXP(-LN(2)/2)*DH167+(1-EXP(-LN(2)/2))/(LN(2)/2)*DB168*DE168*VLOOKUP('Données projet'!$B$13,Paramètres!$A$1:$I$89,3,0)*0.475*44/12</f>
        <v>21.136215857077254</v>
      </c>
      <c r="DI168" s="22">
        <f t="shared" si="175"/>
        <v>142.51081007933334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5.6843418860808015E-14</v>
      </c>
      <c r="DP168" s="17">
        <f>DO168*VLOOKUP('Données projet'!$B$14,Paramètres!$A$1:$I$89,3,0)*VLOOKUP('Données projet'!$B$14,Paramètres!$A$1:$I$89,5,0)</f>
        <v>3.2810021366458389E-14</v>
      </c>
      <c r="DQ168" s="13">
        <f t="shared" si="176"/>
        <v>5.6117125884464641E-13</v>
      </c>
      <c r="DR168" s="20">
        <f t="shared" si="177"/>
        <v>1.0345173963676741E-12</v>
      </c>
      <c r="DS168" s="59">
        <f t="shared" si="125"/>
        <v>288.22609502834717</v>
      </c>
      <c r="DT168" s="59">
        <f ca="1">AVERAGE(OFFSET($DS$3,0,0,'Données projet'!$E$14+1,1))-AVERAGE(OFFSET($H$3,0,0,'Données projet'!$E$14+1,1))</f>
        <v>243.65374431792841</v>
      </c>
      <c r="DU168" s="59">
        <f t="shared" si="152"/>
        <v>271.60754570002939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7.4415788795120834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7.4415788795120834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-4.5474735088646412E-13</v>
      </c>
      <c r="EK168" s="17">
        <f>EJ168*VLOOKUP('Données projet'!$B$15,Paramètres!$A$1:$I$89,3,0)*VLOOKUP('Données projet'!$B$15,Paramètres!$A$1:$I$89,5,0)</f>
        <v>-3.0504452297464016E-13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321.44781099085594</v>
      </c>
      <c r="EP168" s="59">
        <f t="shared" si="154"/>
        <v>201.22243186578183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46.620809384018351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46.620809384018351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2.8421709430404007E-14</v>
      </c>
      <c r="FF168" s="17">
        <f>FE168*VLOOKUP('Données projet'!$B$16,Paramètres!$A$1:$I$89,3,0)*VLOOKUP('Données projet'!$B$16,Paramètres!$A$1:$I$89,5,0)</f>
        <v>2.4829205358400945E-14</v>
      </c>
      <c r="FG168" s="13">
        <f t="shared" si="182"/>
        <v>4.3867331143352915E-13</v>
      </c>
      <c r="FH168" s="20">
        <f t="shared" si="183"/>
        <v>8.0726688341261168E-13</v>
      </c>
      <c r="FI168" s="59">
        <f t="shared" si="131"/>
        <v>288.22609502834695</v>
      </c>
      <c r="FJ168" s="59">
        <f ca="1">AVERAGE(OFFSET($FI$3,0,0,'Données projet'!$E$16+1,1))-AVERAGE(OFFSET($H$3,0,0,'Données projet'!$E$16+1,1))</f>
        <v>285.8437404763045</v>
      </c>
      <c r="FK168" s="59">
        <f t="shared" si="156"/>
        <v>276.01618888357268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14.740260849544077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14.740260849544077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-1.7053025658242404E-13</v>
      </c>
      <c r="GA168" s="17">
        <f>FZ168*VLOOKUP('Données projet'!$B$17,Paramètres!$A$1:$I$89,3,0)*VLOOKUP('Données projet'!$B$17,Paramètres!$A$1:$I$89,5,0)</f>
        <v>-1.3567387213697657E-13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323.01113210765487</v>
      </c>
      <c r="GF168" s="59">
        <f t="shared" si="158"/>
        <v>311.68541696405975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16.921139377086721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16.921139377086721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2.8421709430404007E-14</v>
      </c>
      <c r="GV168" s="17">
        <f>GU168*VLOOKUP('Données projet'!$B$18,Paramètres!$A$1:$I$89,3,0)*VLOOKUP('Données projet'!$B$18,Paramètres!$A$1:$I$89,5,0)</f>
        <v>2.4829205358400945E-14</v>
      </c>
      <c r="GW168" s="13">
        <f t="shared" si="188"/>
        <v>4.3867331143352915E-13</v>
      </c>
      <c r="GX168" s="20">
        <f t="shared" si="189"/>
        <v>8.0726688341261168E-13</v>
      </c>
      <c r="GY168" s="59">
        <f t="shared" si="137"/>
        <v>288.22609502834695</v>
      </c>
      <c r="GZ168" s="59">
        <f ca="1">AVERAGE(OFFSET($GY$3,0,0,'Données projet'!$E$18+1,1))-AVERAGE(OFFSET($H$3,0,0,'Données projet'!$E$18+1,1))</f>
        <v>285.8437404763045</v>
      </c>
      <c r="HA168" s="59">
        <f t="shared" si="160"/>
        <v>276.01618888357268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14.740260849544077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14.740260849544077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-1.0286385077051818E-13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315.34103933739129</v>
      </c>
      <c r="T169" s="59">
        <f t="shared" si="142"/>
        <v>165.80901858372513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40.738640892809364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40.738640892809364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-2.0395418687257919E-13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317.328615425664</v>
      </c>
      <c r="AO169" s="59">
        <f t="shared" si="144"/>
        <v>324.95872842255744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21.511259564892363</v>
      </c>
      <c r="AV169" s="21">
        <f>EXP(-LN(2)/25)*AV168+(1-EXP(-LN(2)/25))/(LN(2)/25)*Calculateur!AQ169*Calculateur!AS169*VLOOKUP('Données projet'!$B$10,Paramètres!$A$1:$I$89,3,0)*0.475*44/12</f>
        <v>1.7908224004140652</v>
      </c>
      <c r="AW169" s="21">
        <f>EXP(-LN(2)/2)*AW168+(1-EXP(-LN(2)/2))/(LN(2)/2)*AQ169*AT169*VLOOKUP('Données projet'!$B$10,Paramètres!$A$1:$I$89,3,0)*0.475*44/12</f>
        <v>2.9861962728465902E-15</v>
      </c>
      <c r="AX169" s="21">
        <f t="shared" si="166"/>
        <v>23.302081965306431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-6.5483618527650828E-14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418.31716673276725</v>
      </c>
      <c r="BJ169" s="59">
        <f t="shared" si="146"/>
        <v>472.37891533957929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16.782540856905008</v>
      </c>
      <c r="BQ169" s="21">
        <f>EXP(-LN(2)/25)*BQ168+(1-EXP(-LN(2)/25))/(LN(2)/25)*Calculateur!BL169*Calculateur!BN169*VLOOKUP('Données projet'!$B$11,Paramètres!$A$1:$I$89,3,0)*0.475*44/12</f>
        <v>1.6336162650664818</v>
      </c>
      <c r="BR169" s="21">
        <f>EXP(-LN(2)/2)*BR168+(1-EXP(-LN(2)/2))/(LN(2)/2)*BL169*BO169*VLOOKUP('Données projet'!$B$11,Paramètres!$A$1:$I$89,3,0)*0.475*44/12</f>
        <v>4.6315648134507267E-15</v>
      </c>
      <c r="BS169" s="22">
        <f t="shared" si="169"/>
        <v>18.416157121971494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1.1368683772161603E-13</v>
      </c>
      <c r="BZ169" s="13">
        <f>BY169*VLOOKUP('Données projet'!$B$12,Paramètres!$A$1:$I$89,3,0)*VLOOKUP('Données projet'!$B$12,Paramètres!$A$1:$I$89,5,0)</f>
        <v>6.6506800067145386E-14</v>
      </c>
      <c r="CA169" s="13">
        <f t="shared" si="170"/>
        <v>1.0476989505385114E-12</v>
      </c>
      <c r="CB169" s="20">
        <f t="shared" si="171"/>
        <v>1.9405750156381857E-12</v>
      </c>
      <c r="CC169" s="59">
        <f t="shared" si="119"/>
        <v>288.31469419486535</v>
      </c>
      <c r="CD169" s="59">
        <f ca="1">AVERAGE(OFFSET($CC$3,0,0,'Données projet'!$E$12+1,1))-AVERAGE(OFFSET($H$3,0,0,'Données projet'!$E$12+1,1))</f>
        <v>184.11352167663844</v>
      </c>
      <c r="CE169" s="59">
        <f t="shared" si="148"/>
        <v>145.86653500981791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12.20031422127308</v>
      </c>
      <c r="CL169" s="21">
        <f>EXP(-LN(2)/25)*CL168+(1-EXP(-LN(2)/25))/(LN(2)/25)*Calculateur!CG169*Calculateur!CI169*VLOOKUP('Données projet'!$B$12,Paramètres!$A$1:$I$89,3,0)*0.475*44/12</f>
        <v>2.5919614349122111</v>
      </c>
      <c r="CM169" s="21">
        <f>EXP(-LN(2)/2)*CM168+(1-EXP(-LN(2)/2))/(LN(2)/2)*CG169*CJ169*VLOOKUP('Données projet'!$B$12,Paramètres!$A$1:$I$89,3,0)*0.475*44/12</f>
        <v>6.8722502861486409E-11</v>
      </c>
      <c r="CN169" s="22">
        <f t="shared" si="172"/>
        <v>14.792275656254013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-3.979039320256561E-13</v>
      </c>
      <c r="CU169" s="17">
        <f>CT169*VLOOKUP('Données projet'!$B$13,Paramètres!$A$1:$I$89,3,0)*VLOOKUP('Données projet'!$B$13,Paramètres!$A$1:$I$89,5,0)</f>
        <v>-1.9139179130434059E-13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303.76035885073708</v>
      </c>
      <c r="CZ169" s="59">
        <f t="shared" si="150"/>
        <v>127.43112562890414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85.840529132325045</v>
      </c>
      <c r="DG169" s="21">
        <f>EXP(-LN(2)/25)*DG168+(1-EXP(-LN(2)/25))/(LN(2)/25)*Calculateur!DB169*Calculateur!DD169*VLOOKUP('Données projet'!$B$13,Paramètres!$A$1:$I$89,3,0)*0.475*44/12</f>
        <v>32.892385528659943</v>
      </c>
      <c r="DH169" s="21">
        <f>EXP(-LN(2)/2)*DH168+(1-EXP(-LN(2)/2))/(LN(2)/2)*DB169*DE169*VLOOKUP('Données projet'!$B$13,Paramètres!$A$1:$I$89,3,0)*0.475*44/12</f>
        <v>14.945561561161963</v>
      </c>
      <c r="DI169" s="22">
        <f t="shared" si="175"/>
        <v>133.67847622214694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5.6843418860808015E-14</v>
      </c>
      <c r="DP169" s="17">
        <f>DO169*VLOOKUP('Données projet'!$B$14,Paramètres!$A$1:$I$89,3,0)*VLOOKUP('Données projet'!$B$14,Paramètres!$A$1:$I$89,5,0)</f>
        <v>3.2810021366458389E-14</v>
      </c>
      <c r="DQ169" s="13">
        <f t="shared" si="176"/>
        <v>5.6117125884464641E-13</v>
      </c>
      <c r="DR169" s="20">
        <f t="shared" si="177"/>
        <v>1.0345173963676741E-12</v>
      </c>
      <c r="DS169" s="59">
        <f t="shared" si="125"/>
        <v>288.31469419486444</v>
      </c>
      <c r="DT169" s="59">
        <f ca="1">AVERAGE(OFFSET($DS$3,0,0,'Données projet'!$E$14+1,1))-AVERAGE(OFFSET($H$3,0,0,'Données projet'!$E$14+1,1))</f>
        <v>243.65374431792841</v>
      </c>
      <c r="DU169" s="59">
        <f t="shared" si="152"/>
        <v>271.60754570002939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7.2956540565997869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7.2956540565997869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-4.5474735088646412E-13</v>
      </c>
      <c r="EK169" s="17">
        <f>EJ169*VLOOKUP('Données projet'!$B$15,Paramètres!$A$1:$I$89,3,0)*VLOOKUP('Données projet'!$B$15,Paramètres!$A$1:$I$89,5,0)</f>
        <v>-3.0504452297464016E-13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321.44781099085594</v>
      </c>
      <c r="EP169" s="59">
        <f t="shared" si="154"/>
        <v>201.22243186578183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45.706603747883662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45.706603747883662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2.8421709430404007E-14</v>
      </c>
      <c r="FF169" s="17">
        <f>FE169*VLOOKUP('Données projet'!$B$16,Paramètres!$A$1:$I$89,3,0)*VLOOKUP('Données projet'!$B$16,Paramètres!$A$1:$I$89,5,0)</f>
        <v>2.4829205358400945E-14</v>
      </c>
      <c r="FG169" s="13">
        <f t="shared" si="182"/>
        <v>4.3867331143352915E-13</v>
      </c>
      <c r="FH169" s="20">
        <f t="shared" si="183"/>
        <v>8.0726688341261168E-13</v>
      </c>
      <c r="FI169" s="59">
        <f t="shared" si="131"/>
        <v>288.31469419486422</v>
      </c>
      <c r="FJ169" s="59">
        <f ca="1">AVERAGE(OFFSET($FI$3,0,0,'Données projet'!$E$16+1,1))-AVERAGE(OFFSET($H$3,0,0,'Données projet'!$E$16+1,1))</f>
        <v>285.8437404763045</v>
      </c>
      <c r="FK169" s="59">
        <f t="shared" si="156"/>
        <v>276.01618888357268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14.45121332495588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14.45121332495588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-1.7053025658242404E-13</v>
      </c>
      <c r="GA169" s="17">
        <f>FZ169*VLOOKUP('Données projet'!$B$17,Paramètres!$A$1:$I$89,3,0)*VLOOKUP('Données projet'!$B$17,Paramètres!$A$1:$I$89,5,0)</f>
        <v>-1.3567387213697657E-13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323.01113210765487</v>
      </c>
      <c r="GF169" s="59">
        <f t="shared" si="158"/>
        <v>311.68541696405975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16.589326154777968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16.589326154777968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2.8421709430404007E-14</v>
      </c>
      <c r="GV169" s="17">
        <f>GU169*VLOOKUP('Données projet'!$B$18,Paramètres!$A$1:$I$89,3,0)*VLOOKUP('Données projet'!$B$18,Paramètres!$A$1:$I$89,5,0)</f>
        <v>2.4829205358400945E-14</v>
      </c>
      <c r="GW169" s="13">
        <f t="shared" si="188"/>
        <v>4.3867331143352915E-13</v>
      </c>
      <c r="GX169" s="20">
        <f t="shared" si="189"/>
        <v>8.0726688341261168E-13</v>
      </c>
      <c r="GY169" s="59">
        <f t="shared" si="137"/>
        <v>288.31469419486422</v>
      </c>
      <c r="GZ169" s="59">
        <f ca="1">AVERAGE(OFFSET($GY$3,0,0,'Données projet'!$E$18+1,1))-AVERAGE(OFFSET($H$3,0,0,'Données projet'!$E$18+1,1))</f>
        <v>285.8437404763045</v>
      </c>
      <c r="HA169" s="59">
        <f t="shared" si="160"/>
        <v>276.01618888357268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14.45121332495588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14.45121332495588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-1.0286385077051818E-13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315.34103933739129</v>
      </c>
      <c r="T170" s="59">
        <f t="shared" si="142"/>
        <v>165.80901858372513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39.939780993018772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39.939780993018772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-2.0395418687257919E-13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317.328615425664</v>
      </c>
      <c r="AO170" s="59">
        <f t="shared" si="144"/>
        <v>324.95872842255744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21.08943688539761</v>
      </c>
      <c r="AV170" s="21">
        <f>EXP(-LN(2)/25)*AV169+(1-EXP(-LN(2)/25))/(LN(2)/25)*Calculateur!AQ170*Calculateur!AS170*VLOOKUP('Données projet'!$B$10,Paramètres!$A$1:$I$89,3,0)*0.475*44/12</f>
        <v>1.7418522676994854</v>
      </c>
      <c r="AW170" s="21">
        <f>EXP(-LN(2)/2)*AW169+(1-EXP(-LN(2)/2))/(LN(2)/2)*AQ170*AT170*VLOOKUP('Données projet'!$B$10,Paramètres!$A$1:$I$89,3,0)*0.475*44/12</f>
        <v>2.1115596344838176E-15</v>
      </c>
      <c r="AX170" s="21">
        <f t="shared" si="166"/>
        <v>22.831289153097099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-6.5483618527650828E-14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418.31716673276725</v>
      </c>
      <c r="BJ170" s="59">
        <f t="shared" si="146"/>
        <v>472.37891533957929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16.453445467040268</v>
      </c>
      <c r="BQ170" s="21">
        <f>EXP(-LN(2)/25)*BQ169+(1-EXP(-LN(2)/25))/(LN(2)/25)*Calculateur!BL170*Calculateur!BN170*VLOOKUP('Données projet'!$B$11,Paramètres!$A$1:$I$89,3,0)*0.475*44/12</f>
        <v>1.5889449423900932</v>
      </c>
      <c r="BR170" s="21">
        <f>EXP(-LN(2)/2)*BR169+(1-EXP(-LN(2)/2))/(LN(2)/2)*BL170*BO170*VLOOKUP('Données projet'!$B$11,Paramètres!$A$1:$I$89,3,0)*0.475*44/12</f>
        <v>3.2750108870960158E-15</v>
      </c>
      <c r="BS170" s="22">
        <f t="shared" si="169"/>
        <v>18.042390409430364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1.1368683772161603E-13</v>
      </c>
      <c r="BZ170" s="13">
        <f>BY170*VLOOKUP('Données projet'!$B$12,Paramètres!$A$1:$I$89,3,0)*VLOOKUP('Données projet'!$B$12,Paramètres!$A$1:$I$89,5,0)</f>
        <v>6.6506800067145386E-14</v>
      </c>
      <c r="CA170" s="13">
        <f t="shared" si="170"/>
        <v>1.0476989505385114E-12</v>
      </c>
      <c r="CB170" s="20">
        <f t="shared" si="171"/>
        <v>1.9405750156381857E-12</v>
      </c>
      <c r="CC170" s="59">
        <f t="shared" si="119"/>
        <v>288.40175636392155</v>
      </c>
      <c r="CD170" s="59">
        <f ca="1">AVERAGE(OFFSET($CC$3,0,0,'Données projet'!$E$12+1,1))-AVERAGE(OFFSET($H$3,0,0,'Données projet'!$E$12+1,1))</f>
        <v>184.11352167663844</v>
      </c>
      <c r="CE170" s="59">
        <f t="shared" si="148"/>
        <v>145.86653500981791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11.961073500850807</v>
      </c>
      <c r="CL170" s="21">
        <f>EXP(-LN(2)/25)*CL169+(1-EXP(-LN(2)/25))/(LN(2)/25)*Calculateur!CG170*Calculateur!CI170*VLOOKUP('Données projet'!$B$12,Paramètres!$A$1:$I$89,3,0)*0.475*44/12</f>
        <v>2.5210841131692088</v>
      </c>
      <c r="CM170" s="21">
        <f>EXP(-LN(2)/2)*CM169+(1-EXP(-LN(2)/2))/(LN(2)/2)*CG170*CJ170*VLOOKUP('Données projet'!$B$12,Paramètres!$A$1:$I$89,3,0)*0.475*44/12</f>
        <v>4.8594147793468957E-11</v>
      </c>
      <c r="CN170" s="22">
        <f t="shared" si="172"/>
        <v>14.48215761406861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-3.979039320256561E-13</v>
      </c>
      <c r="CU170" s="17">
        <f>CT170*VLOOKUP('Données projet'!$B$13,Paramètres!$A$1:$I$89,3,0)*VLOOKUP('Données projet'!$B$13,Paramètres!$A$1:$I$89,5,0)</f>
        <v>-1.9139179130434059E-13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303.76035885073708</v>
      </c>
      <c r="CZ170" s="59">
        <f t="shared" si="150"/>
        <v>127.43112562890414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84.157248713593049</v>
      </c>
      <c r="DG170" s="21">
        <f>EXP(-LN(2)/25)*DG169+(1-EXP(-LN(2)/25))/(LN(2)/25)*Calculateur!DB170*Calculateur!DD170*VLOOKUP('Données projet'!$B$13,Paramètres!$A$1:$I$89,3,0)*0.475*44/12</f>
        <v>31.992941516643359</v>
      </c>
      <c r="DH170" s="21">
        <f>EXP(-LN(2)/2)*DH169+(1-EXP(-LN(2)/2))/(LN(2)/2)*DB170*DE170*VLOOKUP('Données projet'!$B$13,Paramètres!$A$1:$I$89,3,0)*0.475*44/12</f>
        <v>10.568107928538629</v>
      </c>
      <c r="DI170" s="22">
        <f t="shared" si="175"/>
        <v>126.71829815877503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5.6843418860808015E-14</v>
      </c>
      <c r="DP170" s="17">
        <f>DO170*VLOOKUP('Données projet'!$B$14,Paramètres!$A$1:$I$89,3,0)*VLOOKUP('Données projet'!$B$14,Paramètres!$A$1:$I$89,5,0)</f>
        <v>3.2810021366458389E-14</v>
      </c>
      <c r="DQ170" s="13">
        <f t="shared" si="176"/>
        <v>5.6117125884464641E-13</v>
      </c>
      <c r="DR170" s="20">
        <f t="shared" si="177"/>
        <v>1.0345173963676741E-12</v>
      </c>
      <c r="DS170" s="59">
        <f t="shared" si="125"/>
        <v>288.40175636392064</v>
      </c>
      <c r="DT170" s="59">
        <f ca="1">AVERAGE(OFFSET($DS$3,0,0,'Données projet'!$E$14+1,1))-AVERAGE(OFFSET($H$3,0,0,'Données projet'!$E$14+1,1))</f>
        <v>243.65374431792841</v>
      </c>
      <c r="DU170" s="59">
        <f t="shared" si="152"/>
        <v>271.60754570002939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7.1525907304594476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7.1525907304594476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-4.5474735088646412E-13</v>
      </c>
      <c r="EK170" s="17">
        <f>EJ170*VLOOKUP('Données projet'!$B$15,Paramètres!$A$1:$I$89,3,0)*VLOOKUP('Données projet'!$B$15,Paramètres!$A$1:$I$89,5,0)</f>
        <v>-3.0504452297464016E-13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321.44781099085594</v>
      </c>
      <c r="EP170" s="59">
        <f t="shared" si="154"/>
        <v>201.22243186578183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44.810325126663201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44.810325126663201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2.8421709430404007E-14</v>
      </c>
      <c r="FF170" s="17">
        <f>FE170*VLOOKUP('Données projet'!$B$16,Paramètres!$A$1:$I$89,3,0)*VLOOKUP('Données projet'!$B$16,Paramètres!$A$1:$I$89,5,0)</f>
        <v>2.4829205358400945E-14</v>
      </c>
      <c r="FG170" s="13">
        <f t="shared" si="182"/>
        <v>4.3867331143352915E-13</v>
      </c>
      <c r="FH170" s="20">
        <f t="shared" si="183"/>
        <v>8.0726688341261168E-13</v>
      </c>
      <c r="FI170" s="59">
        <f t="shared" si="131"/>
        <v>288.40175636392041</v>
      </c>
      <c r="FJ170" s="59">
        <f ca="1">AVERAGE(OFFSET($FI$3,0,0,'Données projet'!$E$16+1,1))-AVERAGE(OFFSET($H$3,0,0,'Données projet'!$E$16+1,1))</f>
        <v>285.8437404763045</v>
      </c>
      <c r="FK170" s="59">
        <f t="shared" si="156"/>
        <v>276.01618888357268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14.167833846023276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14.167833846023276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-1.7053025658242404E-13</v>
      </c>
      <c r="GA170" s="17">
        <f>FZ170*VLOOKUP('Données projet'!$B$17,Paramètres!$A$1:$I$89,3,0)*VLOOKUP('Données projet'!$B$17,Paramètres!$A$1:$I$89,5,0)</f>
        <v>-1.3567387213697657E-13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323.01113210765487</v>
      </c>
      <c r="GF170" s="59">
        <f t="shared" si="158"/>
        <v>311.68541696405975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16.264019587372609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16.264019587372609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2.8421709430404007E-14</v>
      </c>
      <c r="GV170" s="17">
        <f>GU170*VLOOKUP('Données projet'!$B$18,Paramètres!$A$1:$I$89,3,0)*VLOOKUP('Données projet'!$B$18,Paramètres!$A$1:$I$89,5,0)</f>
        <v>2.4829205358400945E-14</v>
      </c>
      <c r="GW170" s="13">
        <f t="shared" si="188"/>
        <v>4.3867331143352915E-13</v>
      </c>
      <c r="GX170" s="20">
        <f t="shared" si="189"/>
        <v>8.0726688341261168E-13</v>
      </c>
      <c r="GY170" s="59">
        <f t="shared" si="137"/>
        <v>288.40175636392041</v>
      </c>
      <c r="GZ170" s="59">
        <f ca="1">AVERAGE(OFFSET($GY$3,0,0,'Données projet'!$E$18+1,1))-AVERAGE(OFFSET($H$3,0,0,'Données projet'!$E$18+1,1))</f>
        <v>285.8437404763045</v>
      </c>
      <c r="HA170" s="59">
        <f t="shared" si="160"/>
        <v>276.01618888357268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14.167833846023276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14.167833846023276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-1.0286385077051818E-13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315.34103933739129</v>
      </c>
      <c r="T171" s="59">
        <f t="shared" si="142"/>
        <v>165.80901858372513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39.156586248606644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39.156586248606644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-2.0395418687257919E-13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317.328615425664</v>
      </c>
      <c r="AO171" s="59">
        <f t="shared" si="144"/>
        <v>324.95872842255744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20.675885891361318</v>
      </c>
      <c r="AV171" s="21">
        <f>EXP(-LN(2)/25)*AV170+(1-EXP(-LN(2)/25))/(LN(2)/25)*Calculateur!AQ171*Calculateur!AS171*VLOOKUP('Données projet'!$B$10,Paramètres!$A$1:$I$89,3,0)*0.475*44/12</f>
        <v>1.6942212258392133</v>
      </c>
      <c r="AW171" s="21">
        <f>EXP(-LN(2)/2)*AW170+(1-EXP(-LN(2)/2))/(LN(2)/2)*AQ171*AT171*VLOOKUP('Données projet'!$B$10,Paramètres!$A$1:$I$89,3,0)*0.475*44/12</f>
        <v>1.4930981364232951E-15</v>
      </c>
      <c r="AX171" s="21">
        <f t="shared" si="166"/>
        <v>22.370107117200533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-6.5483618527650828E-14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418.31716673276725</v>
      </c>
      <c r="BJ171" s="59">
        <f t="shared" si="146"/>
        <v>472.37891533957929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16.13080343704241</v>
      </c>
      <c r="BQ171" s="21">
        <f>EXP(-LN(2)/25)*BQ170+(1-EXP(-LN(2)/25))/(LN(2)/25)*Calculateur!BL171*Calculateur!BN171*VLOOKUP('Données projet'!$B$11,Paramètres!$A$1:$I$89,3,0)*0.475*44/12</f>
        <v>1.5454951593814532</v>
      </c>
      <c r="BR171" s="21">
        <f>EXP(-LN(2)/2)*BR170+(1-EXP(-LN(2)/2))/(LN(2)/2)*BL171*BO171*VLOOKUP('Données projet'!$B$11,Paramètres!$A$1:$I$89,3,0)*0.475*44/12</f>
        <v>2.3157824067253633E-15</v>
      </c>
      <c r="BS171" s="22">
        <f t="shared" si="169"/>
        <v>17.676298596423866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1.1368683772161603E-13</v>
      </c>
      <c r="BZ171" s="13">
        <f>BY171*VLOOKUP('Données projet'!$B$12,Paramètres!$A$1:$I$89,3,0)*VLOOKUP('Données projet'!$B$12,Paramètres!$A$1:$I$89,5,0)</f>
        <v>6.6506800067145386E-14</v>
      </c>
      <c r="CA171" s="13">
        <f t="shared" si="170"/>
        <v>1.0476989505385114E-12</v>
      </c>
      <c r="CB171" s="20">
        <f t="shared" si="171"/>
        <v>1.9405750156381857E-12</v>
      </c>
      <c r="CC171" s="59">
        <f t="shared" si="119"/>
        <v>288.48730819898645</v>
      </c>
      <c r="CD171" s="59">
        <f ca="1">AVERAGE(OFFSET($CC$3,0,0,'Données projet'!$E$12+1,1))-AVERAGE(OFFSET($H$3,0,0,'Données projet'!$E$12+1,1))</f>
        <v>184.11352167663844</v>
      </c>
      <c r="CE171" s="59">
        <f t="shared" si="148"/>
        <v>145.86653500981791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11.726524145033585</v>
      </c>
      <c r="CL171" s="21">
        <f>EXP(-LN(2)/25)*CL170+(1-EXP(-LN(2)/25))/(LN(2)/25)*Calculateur!CG171*Calculateur!CI171*VLOOKUP('Données projet'!$B$12,Paramètres!$A$1:$I$89,3,0)*0.475*44/12</f>
        <v>2.4521449355165452</v>
      </c>
      <c r="CM171" s="21">
        <f>EXP(-LN(2)/2)*CM170+(1-EXP(-LN(2)/2))/(LN(2)/2)*CG171*CJ171*VLOOKUP('Données projet'!$B$12,Paramètres!$A$1:$I$89,3,0)*0.475*44/12</f>
        <v>3.4361251430743205E-11</v>
      </c>
      <c r="CN171" s="22">
        <f t="shared" si="172"/>
        <v>14.178669080584491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-3.979039320256561E-13</v>
      </c>
      <c r="CU171" s="17">
        <f>CT171*VLOOKUP('Données projet'!$B$13,Paramètres!$A$1:$I$89,3,0)*VLOOKUP('Données projet'!$B$13,Paramètres!$A$1:$I$89,5,0)</f>
        <v>-1.9139179130434059E-13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303.76035885073708</v>
      </c>
      <c r="CZ171" s="59">
        <f t="shared" si="150"/>
        <v>127.43112562890414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82.506976397172707</v>
      </c>
      <c r="DG171" s="21">
        <f>EXP(-LN(2)/25)*DG170+(1-EXP(-LN(2)/25))/(LN(2)/25)*Calculateur!DB171*Calculateur!DD171*VLOOKUP('Données projet'!$B$13,Paramètres!$A$1:$I$89,3,0)*0.475*44/12</f>
        <v>31.118092848435072</v>
      </c>
      <c r="DH171" s="21">
        <f>EXP(-LN(2)/2)*DH170+(1-EXP(-LN(2)/2))/(LN(2)/2)*DB171*DE171*VLOOKUP('Données projet'!$B$13,Paramètres!$A$1:$I$89,3,0)*0.475*44/12</f>
        <v>7.4727807805809823</v>
      </c>
      <c r="DI171" s="22">
        <f t="shared" si="175"/>
        <v>121.09785002618875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5.6843418860808015E-14</v>
      </c>
      <c r="DP171" s="17">
        <f>DO171*VLOOKUP('Données projet'!$B$14,Paramètres!$A$1:$I$89,3,0)*VLOOKUP('Données projet'!$B$14,Paramètres!$A$1:$I$89,5,0)</f>
        <v>3.2810021366458389E-14</v>
      </c>
      <c r="DQ171" s="13">
        <f t="shared" si="176"/>
        <v>5.6117125884464641E-13</v>
      </c>
      <c r="DR171" s="20">
        <f t="shared" si="177"/>
        <v>1.0345173963676741E-12</v>
      </c>
      <c r="DS171" s="59">
        <f t="shared" si="125"/>
        <v>288.48730819898555</v>
      </c>
      <c r="DT171" s="59">
        <f ca="1">AVERAGE(OFFSET($DS$3,0,0,'Données projet'!$E$14+1,1))-AVERAGE(OFFSET($H$3,0,0,'Données projet'!$E$14+1,1))</f>
        <v>243.65374431792841</v>
      </c>
      <c r="DU171" s="59">
        <f t="shared" si="152"/>
        <v>271.60754570002939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7.0123327888847076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7.0123327888847076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-4.5474735088646412E-13</v>
      </c>
      <c r="EK171" s="17">
        <f>EJ171*VLOOKUP('Données projet'!$B$15,Paramètres!$A$1:$I$89,3,0)*VLOOKUP('Données projet'!$B$15,Paramètres!$A$1:$I$89,5,0)</f>
        <v>-3.0504452297464016E-13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321.44781099085594</v>
      </c>
      <c r="EP171" s="59">
        <f t="shared" si="154"/>
        <v>201.22243186578183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43.931621982528895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43.931621982528895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2.8421709430404007E-14</v>
      </c>
      <c r="FF171" s="17">
        <f>FE171*VLOOKUP('Données projet'!$B$16,Paramètres!$A$1:$I$89,3,0)*VLOOKUP('Données projet'!$B$16,Paramètres!$A$1:$I$89,5,0)</f>
        <v>2.4829205358400945E-14</v>
      </c>
      <c r="FG171" s="13">
        <f t="shared" si="182"/>
        <v>4.3867331143352915E-13</v>
      </c>
      <c r="FH171" s="20">
        <f t="shared" si="183"/>
        <v>8.0726688341261168E-13</v>
      </c>
      <c r="FI171" s="59">
        <f t="shared" si="131"/>
        <v>288.48730819898532</v>
      </c>
      <c r="FJ171" s="59">
        <f ca="1">AVERAGE(OFFSET($FI$3,0,0,'Données projet'!$E$16+1,1))-AVERAGE(OFFSET($H$3,0,0,'Données projet'!$E$16+1,1))</f>
        <v>285.8437404763045</v>
      </c>
      <c r="FK171" s="59">
        <f t="shared" si="156"/>
        <v>276.01618888357268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13.890011265828127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13.890011265828127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-1.7053025658242404E-13</v>
      </c>
      <c r="GA171" s="17">
        <f>FZ171*VLOOKUP('Données projet'!$B$17,Paramètres!$A$1:$I$89,3,0)*VLOOKUP('Données projet'!$B$17,Paramètres!$A$1:$I$89,5,0)</f>
        <v>-1.3567387213697657E-13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323.01113210765487</v>
      </c>
      <c r="GF171" s="59">
        <f t="shared" si="158"/>
        <v>311.68541696405975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15.945092083336654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15.945092083336654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2.8421709430404007E-14</v>
      </c>
      <c r="GV171" s="17">
        <f>GU171*VLOOKUP('Données projet'!$B$18,Paramètres!$A$1:$I$89,3,0)*VLOOKUP('Données projet'!$B$18,Paramètres!$A$1:$I$89,5,0)</f>
        <v>2.4829205358400945E-14</v>
      </c>
      <c r="GW171" s="13">
        <f t="shared" si="188"/>
        <v>4.3867331143352915E-13</v>
      </c>
      <c r="GX171" s="20">
        <f t="shared" si="189"/>
        <v>8.0726688341261168E-13</v>
      </c>
      <c r="GY171" s="59">
        <f t="shared" si="137"/>
        <v>288.48730819898532</v>
      </c>
      <c r="GZ171" s="59">
        <f ca="1">AVERAGE(OFFSET($GY$3,0,0,'Données projet'!$E$18+1,1))-AVERAGE(OFFSET($H$3,0,0,'Données projet'!$E$18+1,1))</f>
        <v>285.8437404763045</v>
      </c>
      <c r="HA171" s="59">
        <f t="shared" si="160"/>
        <v>276.01618888357268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13.890011265828127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13.890011265828127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-1.0286385077051818E-13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315.34103933739129</v>
      </c>
      <c r="T172" s="59">
        <f t="shared" si="142"/>
        <v>165.80901858372513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38.388749475430814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38.388749475430814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-2.0395418687257919E-13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317.328615425664</v>
      </c>
      <c r="AO172" s="59">
        <f t="shared" si="144"/>
        <v>324.95872842255744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20.270444380076878</v>
      </c>
      <c r="AV172" s="21">
        <f>EXP(-LN(2)/25)*AV171+(1-EXP(-LN(2)/25))/(LN(2)/25)*Calculateur!AQ172*Calculateur!AS172*VLOOKUP('Données projet'!$B$10,Paramètres!$A$1:$I$89,3,0)*0.475*44/12</f>
        <v>1.6478926573234181</v>
      </c>
      <c r="AW172" s="21">
        <f>EXP(-LN(2)/2)*AW171+(1-EXP(-LN(2)/2))/(LN(2)/2)*AQ172*AT172*VLOOKUP('Données projet'!$B$10,Paramètres!$A$1:$I$89,3,0)*0.475*44/12</f>
        <v>1.0557798172419088E-15</v>
      </c>
      <c r="AX172" s="21">
        <f t="shared" si="166"/>
        <v>21.918337037400295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-6.5483618527650828E-14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418.31716673276725</v>
      </c>
      <c r="BJ172" s="59">
        <f t="shared" si="146"/>
        <v>472.37891533957929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15.814488220460602</v>
      </c>
      <c r="BQ172" s="21">
        <f>EXP(-LN(2)/25)*BQ171+(1-EXP(-LN(2)/25))/(LN(2)/25)*Calculateur!BL172*Calculateur!BN172*VLOOKUP('Données projet'!$B$11,Paramètres!$A$1:$I$89,3,0)*0.475*44/12</f>
        <v>1.5032335129741092</v>
      </c>
      <c r="BR172" s="21">
        <f>EXP(-LN(2)/2)*BR171+(1-EXP(-LN(2)/2))/(LN(2)/2)*BL172*BO172*VLOOKUP('Données projet'!$B$11,Paramètres!$A$1:$I$89,3,0)*0.475*44/12</f>
        <v>1.6375054435480079E-15</v>
      </c>
      <c r="BS172" s="22">
        <f t="shared" si="169"/>
        <v>17.317721733434709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1.1368683772161603E-13</v>
      </c>
      <c r="BZ172" s="13">
        <f>BY172*VLOOKUP('Données projet'!$B$12,Paramètres!$A$1:$I$89,3,0)*VLOOKUP('Données projet'!$B$12,Paramètres!$A$1:$I$89,5,0)</f>
        <v>6.6506800067145386E-14</v>
      </c>
      <c r="CA172" s="13">
        <f t="shared" si="170"/>
        <v>1.0476989505385114E-12</v>
      </c>
      <c r="CB172" s="20">
        <f t="shared" si="171"/>
        <v>1.9405750156381857E-12</v>
      </c>
      <c r="CC172" s="59">
        <f t="shared" si="119"/>
        <v>288.57137590097835</v>
      </c>
      <c r="CD172" s="59">
        <f ca="1">AVERAGE(OFFSET($CC$3,0,0,'Données projet'!$E$12+1,1))-AVERAGE(OFFSET($H$3,0,0,'Données projet'!$E$12+1,1))</f>
        <v>184.11352167663844</v>
      </c>
      <c r="CE172" s="59">
        <f t="shared" si="148"/>
        <v>145.86653500981791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11.496574159022956</v>
      </c>
      <c r="CL172" s="21">
        <f>EXP(-LN(2)/25)*CL171+(1-EXP(-LN(2)/25))/(LN(2)/25)*Calculateur!CG172*Calculateur!CI172*VLOOKUP('Données projet'!$B$12,Paramètres!$A$1:$I$89,3,0)*0.475*44/12</f>
        <v>2.3850909033021477</v>
      </c>
      <c r="CM172" s="21">
        <f>EXP(-LN(2)/2)*CM171+(1-EXP(-LN(2)/2))/(LN(2)/2)*CG172*CJ172*VLOOKUP('Données projet'!$B$12,Paramètres!$A$1:$I$89,3,0)*0.475*44/12</f>
        <v>2.4297073896734479E-11</v>
      </c>
      <c r="CN172" s="22">
        <f t="shared" si="172"/>
        <v>13.8816650623494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-3.979039320256561E-13</v>
      </c>
      <c r="CU172" s="17">
        <f>CT172*VLOOKUP('Données projet'!$B$13,Paramètres!$A$1:$I$89,3,0)*VLOOKUP('Données projet'!$B$13,Paramètres!$A$1:$I$89,5,0)</f>
        <v>-1.9139179130434059E-13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303.76035885073708</v>
      </c>
      <c r="CZ172" s="59">
        <f t="shared" si="150"/>
        <v>127.43112562890414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80.889064914310637</v>
      </c>
      <c r="DG172" s="21">
        <f>EXP(-LN(2)/25)*DG171+(1-EXP(-LN(2)/25))/(LN(2)/25)*Calculateur!DB172*Calculateur!DD172*VLOOKUP('Données projet'!$B$13,Paramètres!$A$1:$I$89,3,0)*0.475*44/12</f>
        <v>30.267166963065232</v>
      </c>
      <c r="DH172" s="21">
        <f>EXP(-LN(2)/2)*DH171+(1-EXP(-LN(2)/2))/(LN(2)/2)*DB172*DE172*VLOOKUP('Données projet'!$B$13,Paramètres!$A$1:$I$89,3,0)*0.475*44/12</f>
        <v>5.2840539642693152</v>
      </c>
      <c r="DI172" s="22">
        <f t="shared" si="175"/>
        <v>116.44028584164519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5.6843418860808015E-14</v>
      </c>
      <c r="DP172" s="17">
        <f>DO172*VLOOKUP('Données projet'!$B$14,Paramètres!$A$1:$I$89,3,0)*VLOOKUP('Données projet'!$B$14,Paramètres!$A$1:$I$89,5,0)</f>
        <v>3.2810021366458389E-14</v>
      </c>
      <c r="DQ172" s="13">
        <f t="shared" si="176"/>
        <v>5.6117125884464641E-13</v>
      </c>
      <c r="DR172" s="20">
        <f t="shared" si="177"/>
        <v>1.0345173963676741E-12</v>
      </c>
      <c r="DS172" s="59">
        <f t="shared" si="125"/>
        <v>288.57137590097744</v>
      </c>
      <c r="DT172" s="59">
        <f ca="1">AVERAGE(OFFSET($DS$3,0,0,'Données projet'!$E$14+1,1))-AVERAGE(OFFSET($H$3,0,0,'Données projet'!$E$14+1,1))</f>
        <v>243.65374431792841</v>
      </c>
      <c r="DU172" s="59">
        <f t="shared" si="152"/>
        <v>271.60754570002939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6.8748252199953512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6.8748252199953512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-4.5474735088646412E-13</v>
      </c>
      <c r="EK172" s="17">
        <f>EJ172*VLOOKUP('Données projet'!$B$15,Paramètres!$A$1:$I$89,3,0)*VLOOKUP('Données projet'!$B$15,Paramètres!$A$1:$I$89,5,0)</f>
        <v>-3.0504452297464016E-13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321.44781099085594</v>
      </c>
      <c r="EP172" s="59">
        <f t="shared" si="154"/>
        <v>201.22243186578183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43.070149671095066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43.070149671095066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2.8421709430404007E-14</v>
      </c>
      <c r="FF172" s="17">
        <f>FE172*VLOOKUP('Données projet'!$B$16,Paramètres!$A$1:$I$89,3,0)*VLOOKUP('Données projet'!$B$16,Paramètres!$A$1:$I$89,5,0)</f>
        <v>2.4829205358400945E-14</v>
      </c>
      <c r="FG172" s="13">
        <f t="shared" si="182"/>
        <v>4.3867331143352915E-13</v>
      </c>
      <c r="FH172" s="20">
        <f t="shared" si="183"/>
        <v>8.0726688341261168E-13</v>
      </c>
      <c r="FI172" s="59">
        <f t="shared" si="131"/>
        <v>288.57137590097722</v>
      </c>
      <c r="FJ172" s="59">
        <f ca="1">AVERAGE(OFFSET($FI$3,0,0,'Données projet'!$E$16+1,1))-AVERAGE(OFFSET($H$3,0,0,'Données projet'!$E$16+1,1))</f>
        <v>285.8437404763045</v>
      </c>
      <c r="FK172" s="59">
        <f t="shared" si="156"/>
        <v>276.01618888357268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13.617636616975561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13.617636616975561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-1.7053025658242404E-13</v>
      </c>
      <c r="GA172" s="17">
        <f>FZ172*VLOOKUP('Données projet'!$B$17,Paramètres!$A$1:$I$89,3,0)*VLOOKUP('Données projet'!$B$17,Paramètres!$A$1:$I$89,5,0)</f>
        <v>-1.3567387213697657E-13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323.01113210765487</v>
      </c>
      <c r="GF172" s="59">
        <f t="shared" si="158"/>
        <v>311.68541696405975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15.632418553128275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15.632418553128275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2.8421709430404007E-14</v>
      </c>
      <c r="GV172" s="17">
        <f>GU172*VLOOKUP('Données projet'!$B$18,Paramètres!$A$1:$I$89,3,0)*VLOOKUP('Données projet'!$B$18,Paramètres!$A$1:$I$89,5,0)</f>
        <v>2.4829205358400945E-14</v>
      </c>
      <c r="GW172" s="13">
        <f t="shared" si="188"/>
        <v>4.3867331143352915E-13</v>
      </c>
      <c r="GX172" s="20">
        <f t="shared" si="189"/>
        <v>8.0726688341261168E-13</v>
      </c>
      <c r="GY172" s="59">
        <f t="shared" si="137"/>
        <v>288.57137590097722</v>
      </c>
      <c r="GZ172" s="59">
        <f ca="1">AVERAGE(OFFSET($GY$3,0,0,'Données projet'!$E$18+1,1))-AVERAGE(OFFSET($H$3,0,0,'Données projet'!$E$18+1,1))</f>
        <v>285.8437404763045</v>
      </c>
      <c r="HA172" s="59">
        <f t="shared" si="160"/>
        <v>276.01618888357268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13.617636616975561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13.617636616975561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-1.0286385077051818E-13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315.34103933739129</v>
      </c>
      <c r="T173" s="59">
        <f t="shared" si="142"/>
        <v>165.80901858372513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37.635969513042774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37.635969513042774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-2.0395418687257919E-13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317.328615425664</v>
      </c>
      <c r="AO173" s="59">
        <f t="shared" si="144"/>
        <v>324.95872842255744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19.872953329533825</v>
      </c>
      <c r="AV173" s="21">
        <f>EXP(-LN(2)/25)*AV172+(1-EXP(-LN(2)/25))/(LN(2)/25)*Calculateur!AQ173*Calculateur!AS173*VLOOKUP('Données projet'!$B$10,Paramètres!$A$1:$I$89,3,0)*0.475*44/12</f>
        <v>1.6028309459500008</v>
      </c>
      <c r="AW173" s="21">
        <f>EXP(-LN(2)/2)*AW172+(1-EXP(-LN(2)/2))/(LN(2)/2)*AQ173*AT173*VLOOKUP('Données projet'!$B$10,Paramètres!$A$1:$I$89,3,0)*0.475*44/12</f>
        <v>7.4654906821164754E-16</v>
      </c>
      <c r="AX173" s="21">
        <f t="shared" si="166"/>
        <v>21.475784275483825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-6.5483618527650828E-14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418.31716673276725</v>
      </c>
      <c r="BJ173" s="59">
        <f t="shared" si="146"/>
        <v>472.37891533957929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15.504375752342732</v>
      </c>
      <c r="BQ173" s="21">
        <f>EXP(-LN(2)/25)*BQ172+(1-EXP(-LN(2)/25))/(LN(2)/25)*Calculateur!BL173*Calculateur!BN173*VLOOKUP('Données projet'!$B$11,Paramètres!$A$1:$I$89,3,0)*0.475*44/12</f>
        <v>1.4621275135102174</v>
      </c>
      <c r="BR173" s="21">
        <f>EXP(-LN(2)/2)*BR172+(1-EXP(-LN(2)/2))/(LN(2)/2)*BL173*BO173*VLOOKUP('Données projet'!$B$11,Paramètres!$A$1:$I$89,3,0)*0.475*44/12</f>
        <v>1.1578912033626817E-15</v>
      </c>
      <c r="BS173" s="22">
        <f t="shared" si="169"/>
        <v>16.96650326585295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1.1368683772161603E-13</v>
      </c>
      <c r="BZ173" s="13">
        <f>BY173*VLOOKUP('Données projet'!$B$12,Paramètres!$A$1:$I$89,3,0)*VLOOKUP('Données projet'!$B$12,Paramètres!$A$1:$I$89,5,0)</f>
        <v>6.6506800067145386E-14</v>
      </c>
      <c r="CA173" s="13">
        <f t="shared" si="170"/>
        <v>1.0476989505385114E-12</v>
      </c>
      <c r="CB173" s="20">
        <f t="shared" si="171"/>
        <v>1.9405750156381857E-12</v>
      </c>
      <c r="CC173" s="59">
        <f t="shared" si="119"/>
        <v>288.65398521628782</v>
      </c>
      <c r="CD173" s="59">
        <f ca="1">AVERAGE(OFFSET($CC$3,0,0,'Données projet'!$E$12+1,1))-AVERAGE(OFFSET($H$3,0,0,'Données projet'!$E$12+1,1))</f>
        <v>184.11352167663844</v>
      </c>
      <c r="CE173" s="59">
        <f t="shared" si="148"/>
        <v>145.86653500981791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11.271133351982353</v>
      </c>
      <c r="CL173" s="21">
        <f>EXP(-LN(2)/25)*CL172+(1-EXP(-LN(2)/25))/(LN(2)/25)*Calculateur!CG173*Calculateur!CI173*VLOOKUP('Données projet'!$B$12,Paramètres!$A$1:$I$89,3,0)*0.475*44/12</f>
        <v>2.3198704671248711</v>
      </c>
      <c r="CM173" s="21">
        <f>EXP(-LN(2)/2)*CM172+(1-EXP(-LN(2)/2))/(LN(2)/2)*CG173*CJ173*VLOOKUP('Données projet'!$B$12,Paramètres!$A$1:$I$89,3,0)*0.475*44/12</f>
        <v>1.7180625715371602E-11</v>
      </c>
      <c r="CN173" s="22">
        <f t="shared" si="172"/>
        <v>13.591003819124406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-3.979039320256561E-13</v>
      </c>
      <c r="CU173" s="17">
        <f>CT173*VLOOKUP('Données projet'!$B$13,Paramètres!$A$1:$I$89,3,0)*VLOOKUP('Données projet'!$B$13,Paramètres!$A$1:$I$89,5,0)</f>
        <v>-1.9139179130434059E-13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303.76035885073708</v>
      </c>
      <c r="CZ173" s="59">
        <f t="shared" si="150"/>
        <v>127.43112562890414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79.302879688798939</v>
      </c>
      <c r="DG173" s="21">
        <f>EXP(-LN(2)/25)*DG172+(1-EXP(-LN(2)/25))/(LN(2)/25)*Calculateur!DB173*Calculateur!DD173*VLOOKUP('Données projet'!$B$13,Paramètres!$A$1:$I$89,3,0)*0.475*44/12</f>
        <v>29.439509690779079</v>
      </c>
      <c r="DH173" s="21">
        <f>EXP(-LN(2)/2)*DH172+(1-EXP(-LN(2)/2))/(LN(2)/2)*DB173*DE173*VLOOKUP('Données projet'!$B$13,Paramètres!$A$1:$I$89,3,0)*0.475*44/12</f>
        <v>3.736390390290492</v>
      </c>
      <c r="DI173" s="22">
        <f t="shared" si="175"/>
        <v>112.47877976986851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5.6843418860808015E-14</v>
      </c>
      <c r="DP173" s="17">
        <f>DO173*VLOOKUP('Données projet'!$B$14,Paramètres!$A$1:$I$89,3,0)*VLOOKUP('Données projet'!$B$14,Paramètres!$A$1:$I$89,5,0)</f>
        <v>3.2810021366458389E-14</v>
      </c>
      <c r="DQ173" s="13">
        <f t="shared" si="176"/>
        <v>5.6117125884464641E-13</v>
      </c>
      <c r="DR173" s="20">
        <f t="shared" si="177"/>
        <v>1.0345173963676741E-12</v>
      </c>
      <c r="DS173" s="59">
        <f t="shared" si="125"/>
        <v>288.65398521628691</v>
      </c>
      <c r="DT173" s="59">
        <f ca="1">AVERAGE(OFFSET($DS$3,0,0,'Données projet'!$E$14+1,1))-AVERAGE(OFFSET($H$3,0,0,'Données projet'!$E$14+1,1))</f>
        <v>243.65374431792841</v>
      </c>
      <c r="DU173" s="59">
        <f t="shared" si="152"/>
        <v>271.60754570002939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6.7400140906605799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6.7400140906605799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-4.5474735088646412E-13</v>
      </c>
      <c r="EK173" s="17">
        <f>EJ173*VLOOKUP('Données projet'!$B$15,Paramètres!$A$1:$I$89,3,0)*VLOOKUP('Données projet'!$B$15,Paramètres!$A$1:$I$89,5,0)</f>
        <v>-3.0504452297464016E-13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321.44781099085594</v>
      </c>
      <c r="EP173" s="59">
        <f t="shared" si="154"/>
        <v>201.22243186578183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42.225570306242226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42.225570306242226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2.8421709430404007E-14</v>
      </c>
      <c r="FF173" s="17">
        <f>FE173*VLOOKUP('Données projet'!$B$16,Paramètres!$A$1:$I$89,3,0)*VLOOKUP('Données projet'!$B$16,Paramètres!$A$1:$I$89,5,0)</f>
        <v>2.4829205358400945E-14</v>
      </c>
      <c r="FG173" s="13">
        <f t="shared" si="182"/>
        <v>4.3867331143352915E-13</v>
      </c>
      <c r="FH173" s="20">
        <f t="shared" si="183"/>
        <v>8.0726688341261168E-13</v>
      </c>
      <c r="FI173" s="59">
        <f t="shared" si="131"/>
        <v>288.65398521628669</v>
      </c>
      <c r="FJ173" s="59">
        <f ca="1">AVERAGE(OFFSET($FI$3,0,0,'Données projet'!$E$16+1,1))-AVERAGE(OFFSET($H$3,0,0,'Données projet'!$E$16+1,1))</f>
        <v>285.8437404763045</v>
      </c>
      <c r="FK173" s="59">
        <f t="shared" si="156"/>
        <v>276.01618888357268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13.350603068854864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13.350603068854864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-1.7053025658242404E-13</v>
      </c>
      <c r="GA173" s="17">
        <f>FZ173*VLOOKUP('Données projet'!$B$17,Paramètres!$A$1:$I$89,3,0)*VLOOKUP('Données projet'!$B$17,Paramètres!$A$1:$I$89,5,0)</f>
        <v>-1.3567387213697657E-13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323.01113210765487</v>
      </c>
      <c r="GF173" s="59">
        <f t="shared" si="158"/>
        <v>311.68541696405975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15.325876360135261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15.325876360135261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2.8421709430404007E-14</v>
      </c>
      <c r="GV173" s="17">
        <f>GU173*VLOOKUP('Données projet'!$B$18,Paramètres!$A$1:$I$89,3,0)*VLOOKUP('Données projet'!$B$18,Paramètres!$A$1:$I$89,5,0)</f>
        <v>2.4829205358400945E-14</v>
      </c>
      <c r="GW173" s="13">
        <f t="shared" si="188"/>
        <v>4.3867331143352915E-13</v>
      </c>
      <c r="GX173" s="20">
        <f t="shared" si="189"/>
        <v>8.0726688341261168E-13</v>
      </c>
      <c r="GY173" s="59">
        <f t="shared" si="137"/>
        <v>288.65398521628669</v>
      </c>
      <c r="GZ173" s="59">
        <f ca="1">AVERAGE(OFFSET($GY$3,0,0,'Données projet'!$E$18+1,1))-AVERAGE(OFFSET($H$3,0,0,'Données projet'!$E$18+1,1))</f>
        <v>285.8437404763045</v>
      </c>
      <c r="HA173" s="59">
        <f t="shared" si="160"/>
        <v>276.01618888357268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13.350603068854864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13.350603068854864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-1.0286385077051818E-13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315.34103933739129</v>
      </c>
      <c r="T174" s="59">
        <f t="shared" si="142"/>
        <v>165.80901858372513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36.897951106566723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36.897951106566723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-2.0395418687257919E-13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317.328615425664</v>
      </c>
      <c r="AO174" s="59">
        <f t="shared" si="144"/>
        <v>324.95872842255744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19.483256836046319</v>
      </c>
      <c r="AV174" s="21">
        <f>EXP(-LN(2)/25)*AV173+(1-EXP(-LN(2)/25))/(LN(2)/25)*Calculateur!AQ174*Calculateur!AS174*VLOOKUP('Données projet'!$B$10,Paramètres!$A$1:$I$89,3,0)*0.475*44/12</f>
        <v>1.5590014494437818</v>
      </c>
      <c r="AW174" s="21">
        <f>EXP(-LN(2)/2)*AW173+(1-EXP(-LN(2)/2))/(LN(2)/2)*AQ174*AT174*VLOOKUP('Données projet'!$B$10,Paramètres!$A$1:$I$89,3,0)*0.475*44/12</f>
        <v>5.2788990862095439E-16</v>
      </c>
      <c r="AX174" s="21">
        <f t="shared" si="166"/>
        <v>21.042258285490099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-6.5483618527650828E-14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418.31716673276725</v>
      </c>
      <c r="BJ174" s="59">
        <f t="shared" si="146"/>
        <v>472.37891533957929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15.200344400574725</v>
      </c>
      <c r="BQ174" s="21">
        <f>EXP(-LN(2)/25)*BQ173+(1-EXP(-LN(2)/25))/(LN(2)/25)*Calculateur!BL174*Calculateur!BN174*VLOOKUP('Données projet'!$B$11,Paramètres!$A$1:$I$89,3,0)*0.475*44/12</f>
        <v>1.4221455597633363</v>
      </c>
      <c r="BR174" s="21">
        <f>EXP(-LN(2)/2)*BR173+(1-EXP(-LN(2)/2))/(LN(2)/2)*BL174*BO174*VLOOKUP('Données projet'!$B$11,Paramètres!$A$1:$I$89,3,0)*0.475*44/12</f>
        <v>8.1875272177400396E-16</v>
      </c>
      <c r="BS174" s="22">
        <f t="shared" si="169"/>
        <v>16.622489960338061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1.1368683772161603E-13</v>
      </c>
      <c r="BZ174" s="13">
        <f>BY174*VLOOKUP('Données projet'!$B$12,Paramètres!$A$1:$I$89,3,0)*VLOOKUP('Données projet'!$B$12,Paramètres!$A$1:$I$89,5,0)</f>
        <v>6.6506800067145386E-14</v>
      </c>
      <c r="CA174" s="13">
        <f t="shared" si="170"/>
        <v>1.0476989505385114E-12</v>
      </c>
      <c r="CB174" s="20">
        <f t="shared" si="171"/>
        <v>1.9405750156381857E-12</v>
      </c>
      <c r="CC174" s="59">
        <f t="shared" si="119"/>
        <v>288.73516144466345</v>
      </c>
      <c r="CD174" s="59">
        <f ca="1">AVERAGE(OFFSET($CC$3,0,0,'Données projet'!$E$12+1,1))-AVERAGE(OFFSET($H$3,0,0,'Données projet'!$E$12+1,1))</f>
        <v>184.11352167663844</v>
      </c>
      <c r="CE174" s="59">
        <f t="shared" si="148"/>
        <v>145.86653500981791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11.050113301662503</v>
      </c>
      <c r="CL174" s="21">
        <f>EXP(-LN(2)/25)*CL173+(1-EXP(-LN(2)/25))/(LN(2)/25)*Calculateur!CG174*Calculateur!CI174*VLOOKUP('Données projet'!$B$12,Paramètres!$A$1:$I$89,3,0)*0.475*44/12</f>
        <v>2.2564334872046556</v>
      </c>
      <c r="CM174" s="21">
        <f>EXP(-LN(2)/2)*CM173+(1-EXP(-LN(2)/2))/(LN(2)/2)*CG174*CJ174*VLOOKUP('Données projet'!$B$12,Paramètres!$A$1:$I$89,3,0)*0.475*44/12</f>
        <v>1.2148536948367239E-11</v>
      </c>
      <c r="CN174" s="22">
        <f t="shared" si="172"/>
        <v>13.306546788879308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-3.979039320256561E-13</v>
      </c>
      <c r="CU174" s="17">
        <f>CT174*VLOOKUP('Données projet'!$B$13,Paramètres!$A$1:$I$89,3,0)*VLOOKUP('Données projet'!$B$13,Paramètres!$A$1:$I$89,5,0)</f>
        <v>-1.9139179130434059E-13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303.76035885073708</v>
      </c>
      <c r="CZ174" s="59">
        <f t="shared" si="150"/>
        <v>127.43112562890414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77.747798588082063</v>
      </c>
      <c r="DG174" s="21">
        <f>EXP(-LN(2)/25)*DG173+(1-EXP(-LN(2)/25))/(LN(2)/25)*Calculateur!DB174*Calculateur!DD174*VLOOKUP('Données projet'!$B$13,Paramètres!$A$1:$I$89,3,0)*0.475*44/12</f>
        <v>28.634484750128195</v>
      </c>
      <c r="DH174" s="21">
        <f>EXP(-LN(2)/2)*DH173+(1-EXP(-LN(2)/2))/(LN(2)/2)*DB174*DE174*VLOOKUP('Données projet'!$B$13,Paramètres!$A$1:$I$89,3,0)*0.475*44/12</f>
        <v>2.642026982134658</v>
      </c>
      <c r="DI174" s="22">
        <f t="shared" si="175"/>
        <v>109.02431032034491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5.6843418860808015E-14</v>
      </c>
      <c r="DP174" s="17">
        <f>DO174*VLOOKUP('Données projet'!$B$14,Paramètres!$A$1:$I$89,3,0)*VLOOKUP('Données projet'!$B$14,Paramètres!$A$1:$I$89,5,0)</f>
        <v>3.2810021366458389E-14</v>
      </c>
      <c r="DQ174" s="13">
        <f t="shared" si="176"/>
        <v>5.6117125884464641E-13</v>
      </c>
      <c r="DR174" s="20">
        <f t="shared" si="177"/>
        <v>1.0345173963676741E-12</v>
      </c>
      <c r="DS174" s="59">
        <f t="shared" si="125"/>
        <v>288.73516144466254</v>
      </c>
      <c r="DT174" s="59">
        <f ca="1">AVERAGE(OFFSET($DS$3,0,0,'Données projet'!$E$14+1,1))-AVERAGE(OFFSET($H$3,0,0,'Données projet'!$E$14+1,1))</f>
        <v>243.65374431792841</v>
      </c>
      <c r="DU174" s="59">
        <f t="shared" si="152"/>
        <v>271.60754570002939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6.6078465253453933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6.6078465253453933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-4.5474735088646412E-13</v>
      </c>
      <c r="EK174" s="17">
        <f>EJ174*VLOOKUP('Données projet'!$B$15,Paramètres!$A$1:$I$89,3,0)*VLOOKUP('Données projet'!$B$15,Paramètres!$A$1:$I$89,5,0)</f>
        <v>-3.0504452297464016E-13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321.44781099085594</v>
      </c>
      <c r="EP174" s="59">
        <f t="shared" si="154"/>
        <v>201.22243186578183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41.397552627591601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41.397552627591601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2.8421709430404007E-14</v>
      </c>
      <c r="FF174" s="17">
        <f>FE174*VLOOKUP('Données projet'!$B$16,Paramètres!$A$1:$I$89,3,0)*VLOOKUP('Données projet'!$B$16,Paramètres!$A$1:$I$89,5,0)</f>
        <v>2.4829205358400945E-14</v>
      </c>
      <c r="FG174" s="13">
        <f t="shared" si="182"/>
        <v>4.3867331143352915E-13</v>
      </c>
      <c r="FH174" s="20">
        <f t="shared" si="183"/>
        <v>8.0726688341261168E-13</v>
      </c>
      <c r="FI174" s="59">
        <f t="shared" si="131"/>
        <v>288.73516144466231</v>
      </c>
      <c r="FJ174" s="59">
        <f ca="1">AVERAGE(OFFSET($FI$3,0,0,'Données projet'!$E$16+1,1))-AVERAGE(OFFSET($H$3,0,0,'Données projet'!$E$16+1,1))</f>
        <v>285.8437404763045</v>
      </c>
      <c r="FK174" s="59">
        <f t="shared" si="156"/>
        <v>276.01618888357268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13.088805885738433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13.088805885738433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-1.7053025658242404E-13</v>
      </c>
      <c r="GA174" s="17">
        <f>FZ174*VLOOKUP('Données projet'!$B$17,Paramètres!$A$1:$I$89,3,0)*VLOOKUP('Données projet'!$B$17,Paramètres!$A$1:$I$89,5,0)</f>
        <v>-1.3567387213697657E-13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323.01113210765487</v>
      </c>
      <c r="GF174" s="59">
        <f t="shared" si="158"/>
        <v>311.68541696405975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15.025345272574564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15.025345272574564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2.8421709430404007E-14</v>
      </c>
      <c r="GV174" s="17">
        <f>GU174*VLOOKUP('Données projet'!$B$18,Paramètres!$A$1:$I$89,3,0)*VLOOKUP('Données projet'!$B$18,Paramètres!$A$1:$I$89,5,0)</f>
        <v>2.4829205358400945E-14</v>
      </c>
      <c r="GW174" s="13">
        <f t="shared" si="188"/>
        <v>4.3867331143352915E-13</v>
      </c>
      <c r="GX174" s="20">
        <f t="shared" si="189"/>
        <v>8.0726688341261168E-13</v>
      </c>
      <c r="GY174" s="59">
        <f t="shared" si="137"/>
        <v>288.73516144466231</v>
      </c>
      <c r="GZ174" s="59">
        <f ca="1">AVERAGE(OFFSET($GY$3,0,0,'Données projet'!$E$18+1,1))-AVERAGE(OFFSET($H$3,0,0,'Données projet'!$E$18+1,1))</f>
        <v>285.8437404763045</v>
      </c>
      <c r="HA174" s="59">
        <f t="shared" si="160"/>
        <v>276.01618888357268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13.088805885738433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13.088805885738433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-1.0286385077051818E-13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315.34103933739129</v>
      </c>
      <c r="T175" s="59">
        <f t="shared" si="142"/>
        <v>165.80901858372513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36.17440479089489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36.17440479089489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-2.0395418687257919E-13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317.328615425664</v>
      </c>
      <c r="AO175" s="59">
        <f t="shared" si="144"/>
        <v>324.95872842255744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19.101202053104711</v>
      </c>
      <c r="AV175" s="21">
        <f>EXP(-LN(2)/25)*AV174+(1-EXP(-LN(2)/25))/(LN(2)/25)*Calculateur!AQ175*Calculateur!AS175*VLOOKUP('Données projet'!$B$10,Paramètres!$A$1:$I$89,3,0)*0.475*44/12</f>
        <v>1.5163704728244185</v>
      </c>
      <c r="AW175" s="21">
        <f>EXP(-LN(2)/2)*AW174+(1-EXP(-LN(2)/2))/(LN(2)/2)*AQ175*AT175*VLOOKUP('Données projet'!$B$10,Paramètres!$A$1:$I$89,3,0)*0.475*44/12</f>
        <v>3.7327453410582377E-16</v>
      </c>
      <c r="AX175" s="21">
        <f t="shared" si="166"/>
        <v>20.61757252592913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-6.5483618527650828E-14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418.31716673276725</v>
      </c>
      <c r="BJ175" s="59">
        <f t="shared" si="146"/>
        <v>472.37891533957929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14.902274918174074</v>
      </c>
      <c r="BQ175" s="21">
        <f>EXP(-LN(2)/25)*BQ174+(1-EXP(-LN(2)/25))/(LN(2)/25)*Calculateur!BL175*Calculateur!BN175*VLOOKUP('Données projet'!$B$11,Paramètres!$A$1:$I$89,3,0)*0.475*44/12</f>
        <v>1.3832569146442233</v>
      </c>
      <c r="BR175" s="21">
        <f>EXP(-LN(2)/2)*BR174+(1-EXP(-LN(2)/2))/(LN(2)/2)*BL175*BO175*VLOOKUP('Données projet'!$B$11,Paramètres!$A$1:$I$89,3,0)*0.475*44/12</f>
        <v>5.7894560168134083E-16</v>
      </c>
      <c r="BS175" s="22">
        <f t="shared" si="169"/>
        <v>16.285531832818297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1.1368683772161603E-13</v>
      </c>
      <c r="BZ175" s="13">
        <f>BY175*VLOOKUP('Données projet'!$B$12,Paramètres!$A$1:$I$89,3,0)*VLOOKUP('Données projet'!$B$12,Paramètres!$A$1:$I$89,5,0)</f>
        <v>6.6506800067145386E-14</v>
      </c>
      <c r="CA175" s="13">
        <f t="shared" si="170"/>
        <v>1.0476989505385114E-12</v>
      </c>
      <c r="CB175" s="20">
        <f t="shared" si="171"/>
        <v>1.9405750156381857E-12</v>
      </c>
      <c r="CC175" s="59">
        <f t="shared" si="119"/>
        <v>288.81492944695958</v>
      </c>
      <c r="CD175" s="59">
        <f ca="1">AVERAGE(OFFSET($CC$3,0,0,'Données projet'!$E$12+1,1))-AVERAGE(OFFSET($H$3,0,0,'Données projet'!$E$12+1,1))</f>
        <v>184.11352167663844</v>
      </c>
      <c r="CE175" s="59">
        <f t="shared" si="148"/>
        <v>145.86653500981791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10.833427319720505</v>
      </c>
      <c r="CL175" s="21">
        <f>EXP(-LN(2)/25)*CL174+(1-EXP(-LN(2)/25))/(LN(2)/25)*Calculateur!CG175*Calculateur!CI175*VLOOKUP('Données projet'!$B$12,Paramètres!$A$1:$I$89,3,0)*0.475*44/12</f>
        <v>2.1947311948363644</v>
      </c>
      <c r="CM175" s="21">
        <f>EXP(-LN(2)/2)*CM174+(1-EXP(-LN(2)/2))/(LN(2)/2)*CG175*CJ175*VLOOKUP('Données projet'!$B$12,Paramètres!$A$1:$I$89,3,0)*0.475*44/12</f>
        <v>8.5903128576858012E-12</v>
      </c>
      <c r="CN175" s="22">
        <f t="shared" si="172"/>
        <v>13.02815851456546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-3.979039320256561E-13</v>
      </c>
      <c r="CU175" s="17">
        <f>CT175*VLOOKUP('Données projet'!$B$13,Paramètres!$A$1:$I$89,3,0)*VLOOKUP('Données projet'!$B$13,Paramètres!$A$1:$I$89,5,0)</f>
        <v>-1.9139179130434059E-13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303.76035885073708</v>
      </c>
      <c r="CZ175" s="59">
        <f t="shared" si="150"/>
        <v>127.43112562890414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76.223211679244429</v>
      </c>
      <c r="DG175" s="21">
        <f>EXP(-LN(2)/25)*DG174+(1-EXP(-LN(2)/25))/(LN(2)/25)*Calculateur!DB175*Calculateur!DD175*VLOOKUP('Données projet'!$B$13,Paramètres!$A$1:$I$89,3,0)*0.475*44/12</f>
        <v>27.851473258813833</v>
      </c>
      <c r="DH175" s="21">
        <f>EXP(-LN(2)/2)*DH174+(1-EXP(-LN(2)/2))/(LN(2)/2)*DB175*DE175*VLOOKUP('Données projet'!$B$13,Paramètres!$A$1:$I$89,3,0)*0.475*44/12</f>
        <v>1.8681951951452462</v>
      </c>
      <c r="DI175" s="22">
        <f t="shared" si="175"/>
        <v>105.9428801332035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5.6843418860808015E-14</v>
      </c>
      <c r="DP175" s="17">
        <f>DO175*VLOOKUP('Données projet'!$B$14,Paramètres!$A$1:$I$89,3,0)*VLOOKUP('Données projet'!$B$14,Paramètres!$A$1:$I$89,5,0)</f>
        <v>3.2810021366458389E-14</v>
      </c>
      <c r="DQ175" s="13">
        <f t="shared" si="176"/>
        <v>5.6117125884464641E-13</v>
      </c>
      <c r="DR175" s="20">
        <f t="shared" si="177"/>
        <v>1.0345173963676741E-12</v>
      </c>
      <c r="DS175" s="59">
        <f t="shared" si="125"/>
        <v>288.81492944695867</v>
      </c>
      <c r="DT175" s="59">
        <f ca="1">AVERAGE(OFFSET($DS$3,0,0,'Données projet'!$E$14+1,1))-AVERAGE(OFFSET($H$3,0,0,'Données projet'!$E$14+1,1))</f>
        <v>243.65374431792841</v>
      </c>
      <c r="DU175" s="59">
        <f t="shared" si="152"/>
        <v>271.60754570002939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6.4782706853717826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6.4782706853717826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-4.5474735088646412E-13</v>
      </c>
      <c r="EK175" s="17">
        <f>EJ175*VLOOKUP('Données projet'!$B$15,Paramètres!$A$1:$I$89,3,0)*VLOOKUP('Données projet'!$B$15,Paramètres!$A$1:$I$89,5,0)</f>
        <v>-3.0504452297464016E-13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321.44781099085594</v>
      </c>
      <c r="EP175" s="59">
        <f t="shared" si="154"/>
        <v>201.22243186578183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40.585771870578398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40.585771870578398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2.8421709430404007E-14</v>
      </c>
      <c r="FF175" s="17">
        <f>FE175*VLOOKUP('Données projet'!$B$16,Paramètres!$A$1:$I$89,3,0)*VLOOKUP('Données projet'!$B$16,Paramètres!$A$1:$I$89,5,0)</f>
        <v>2.4829205358400945E-14</v>
      </c>
      <c r="FG175" s="13">
        <f t="shared" si="182"/>
        <v>4.3867331143352915E-13</v>
      </c>
      <c r="FH175" s="20">
        <f t="shared" si="183"/>
        <v>8.0726688341261168E-13</v>
      </c>
      <c r="FI175" s="59">
        <f t="shared" si="131"/>
        <v>288.81492944695844</v>
      </c>
      <c r="FJ175" s="59">
        <f ca="1">AVERAGE(OFFSET($FI$3,0,0,'Données projet'!$E$16+1,1))-AVERAGE(OFFSET($H$3,0,0,'Données projet'!$E$16+1,1))</f>
        <v>285.8437404763045</v>
      </c>
      <c r="FK175" s="59">
        <f t="shared" si="156"/>
        <v>276.01618888357268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12.832142385702399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12.832142385702399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-1.7053025658242404E-13</v>
      </c>
      <c r="GA175" s="17">
        <f>FZ175*VLOOKUP('Données projet'!$B$17,Paramètres!$A$1:$I$89,3,0)*VLOOKUP('Données projet'!$B$17,Paramètres!$A$1:$I$89,5,0)</f>
        <v>-1.3567387213697657E-13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323.01113210765487</v>
      </c>
      <c r="GF175" s="59">
        <f t="shared" si="158"/>
        <v>311.68541696405975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14.730707416335068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14.730707416335068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2.8421709430404007E-14</v>
      </c>
      <c r="GV175" s="17">
        <f>GU175*VLOOKUP('Données projet'!$B$18,Paramètres!$A$1:$I$89,3,0)*VLOOKUP('Données projet'!$B$18,Paramètres!$A$1:$I$89,5,0)</f>
        <v>2.4829205358400945E-14</v>
      </c>
      <c r="GW175" s="13">
        <f t="shared" si="188"/>
        <v>4.3867331143352915E-13</v>
      </c>
      <c r="GX175" s="20">
        <f t="shared" si="189"/>
        <v>8.0726688341261168E-13</v>
      </c>
      <c r="GY175" s="59">
        <f t="shared" si="137"/>
        <v>288.81492944695844</v>
      </c>
      <c r="GZ175" s="59">
        <f ca="1">AVERAGE(OFFSET($GY$3,0,0,'Données projet'!$E$18+1,1))-AVERAGE(OFFSET($H$3,0,0,'Données projet'!$E$18+1,1))</f>
        <v>285.8437404763045</v>
      </c>
      <c r="HA175" s="59">
        <f t="shared" si="160"/>
        <v>276.01618888357268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12.832142385702399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12.832142385702399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-1.0286385077051818E-13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315.34103933739129</v>
      </c>
      <c r="T176" s="59">
        <f t="shared" si="142"/>
        <v>165.80901858372513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35.465046777153702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35.465046777153702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-2.0395418687257919E-13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317.328615425664</v>
      </c>
      <c r="AO176" s="59">
        <f t="shared" si="144"/>
        <v>324.95872842255744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18.726639131426179</v>
      </c>
      <c r="AV176" s="21">
        <f>EXP(-LN(2)/25)*AV175+(1-EXP(-LN(2)/25))/(LN(2)/25)*Calculateur!AQ176*Calculateur!AS176*VLOOKUP('Données projet'!$B$10,Paramètres!$A$1:$I$89,3,0)*0.475*44/12</f>
        <v>1.4749052425025773</v>
      </c>
      <c r="AW176" s="21">
        <f>EXP(-LN(2)/2)*AW175+(1-EXP(-LN(2)/2))/(LN(2)/2)*AQ176*AT176*VLOOKUP('Données projet'!$B$10,Paramètres!$A$1:$I$89,3,0)*0.475*44/12</f>
        <v>2.6394495431047719E-16</v>
      </c>
      <c r="AX176" s="21">
        <f t="shared" si="166"/>
        <v>20.201544373928755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-6.5483618527650828E-14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418.31716673276725</v>
      </c>
      <c r="BJ176" s="59">
        <f t="shared" si="146"/>
        <v>472.37891533957929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14.610050396518869</v>
      </c>
      <c r="BQ176" s="21">
        <f>EXP(-LN(2)/25)*BQ175+(1-EXP(-LN(2)/25))/(LN(2)/25)*Calculateur!BL176*Calculateur!BN176*VLOOKUP('Données projet'!$B$11,Paramètres!$A$1:$I$89,3,0)*0.475*44/12</f>
        <v>1.3454316815709573</v>
      </c>
      <c r="BR176" s="21">
        <f>EXP(-LN(2)/2)*BR175+(1-EXP(-LN(2)/2))/(LN(2)/2)*BL176*BO176*VLOOKUP('Données projet'!$B$11,Paramètres!$A$1:$I$89,3,0)*0.475*44/12</f>
        <v>4.0937636088700198E-16</v>
      </c>
      <c r="BS176" s="22">
        <f t="shared" si="169"/>
        <v>15.955482078089826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1.1368683772161603E-13</v>
      </c>
      <c r="BZ176" s="13">
        <f>BY176*VLOOKUP('Données projet'!$B$12,Paramètres!$A$1:$I$89,3,0)*VLOOKUP('Données projet'!$B$12,Paramètres!$A$1:$I$89,5,0)</f>
        <v>6.6506800067145386E-14</v>
      </c>
      <c r="CA176" s="13">
        <f t="shared" si="170"/>
        <v>1.0476989505385114E-12</v>
      </c>
      <c r="CB176" s="20">
        <f t="shared" si="171"/>
        <v>1.9405750156381857E-12</v>
      </c>
      <c r="CC176" s="59">
        <f t="shared" si="119"/>
        <v>288.89331365275041</v>
      </c>
      <c r="CD176" s="59">
        <f ca="1">AVERAGE(OFFSET($CC$3,0,0,'Données projet'!$E$12+1,1))-AVERAGE(OFFSET($H$3,0,0,'Données projet'!$E$12+1,1))</f>
        <v>184.11352167663844</v>
      </c>
      <c r="CE176" s="59">
        <f t="shared" si="148"/>
        <v>145.86653500981791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10.620990417718991</v>
      </c>
      <c r="CL176" s="21">
        <f>EXP(-LN(2)/25)*CL175+(1-EXP(-LN(2)/25))/(LN(2)/25)*Calculateur!CG176*Calculateur!CI176*VLOOKUP('Données projet'!$B$12,Paramètres!$A$1:$I$89,3,0)*0.475*44/12</f>
        <v>2.1347161548976668</v>
      </c>
      <c r="CM176" s="21">
        <f>EXP(-LN(2)/2)*CM175+(1-EXP(-LN(2)/2))/(LN(2)/2)*CG176*CJ176*VLOOKUP('Données projet'!$B$12,Paramètres!$A$1:$I$89,3,0)*0.475*44/12</f>
        <v>6.0742684741836196E-12</v>
      </c>
      <c r="CN176" s="22">
        <f t="shared" si="172"/>
        <v>12.755706572622733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-3.979039320256561E-13</v>
      </c>
      <c r="CU176" s="17">
        <f>CT176*VLOOKUP('Données projet'!$B$13,Paramètres!$A$1:$I$89,3,0)*VLOOKUP('Données projet'!$B$13,Paramètres!$A$1:$I$89,5,0)</f>
        <v>-1.9139179130434059E-13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303.76035885073708</v>
      </c>
      <c r="CZ176" s="59">
        <f t="shared" si="150"/>
        <v>127.43112562890414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74.728520989782908</v>
      </c>
      <c r="DG176" s="21">
        <f>EXP(-LN(2)/25)*DG175+(1-EXP(-LN(2)/25))/(LN(2)/25)*Calculateur!DB176*Calculateur!DD176*VLOOKUP('Données projet'!$B$13,Paramètres!$A$1:$I$89,3,0)*0.475*44/12</f>
        <v>27.089873257906245</v>
      </c>
      <c r="DH176" s="21">
        <f>EXP(-LN(2)/2)*DH175+(1-EXP(-LN(2)/2))/(LN(2)/2)*DB176*DE176*VLOOKUP('Données projet'!$B$13,Paramètres!$A$1:$I$89,3,0)*0.475*44/12</f>
        <v>1.3210134910673292</v>
      </c>
      <c r="DI176" s="22">
        <f t="shared" si="175"/>
        <v>103.13940773875649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5.6843418860808015E-14</v>
      </c>
      <c r="DP176" s="17">
        <f>DO176*VLOOKUP('Données projet'!$B$14,Paramètres!$A$1:$I$89,3,0)*VLOOKUP('Données projet'!$B$14,Paramètres!$A$1:$I$89,5,0)</f>
        <v>3.2810021366458389E-14</v>
      </c>
      <c r="DQ176" s="13">
        <f t="shared" si="176"/>
        <v>5.6117125884464641E-13</v>
      </c>
      <c r="DR176" s="20">
        <f t="shared" si="177"/>
        <v>1.0345173963676741E-12</v>
      </c>
      <c r="DS176" s="59">
        <f t="shared" si="125"/>
        <v>288.8933136527495</v>
      </c>
      <c r="DT176" s="59">
        <f ca="1">AVERAGE(OFFSET($DS$3,0,0,'Données projet'!$E$14+1,1))-AVERAGE(OFFSET($H$3,0,0,'Données projet'!$E$14+1,1))</f>
        <v>243.65374431792841</v>
      </c>
      <c r="DU176" s="59">
        <f t="shared" si="152"/>
        <v>271.60754570002939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6.3512357485865962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6.3512357485865962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-4.5474735088646412E-13</v>
      </c>
      <c r="EK176" s="17">
        <f>EJ176*VLOOKUP('Données projet'!$B$15,Paramètres!$A$1:$I$89,3,0)*VLOOKUP('Données projet'!$B$15,Paramètres!$A$1:$I$89,5,0)</f>
        <v>-3.0504452297464016E-13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321.44781099085594</v>
      </c>
      <c r="EP176" s="59">
        <f t="shared" si="154"/>
        <v>201.22243186578183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39.789909639072853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39.789909639072853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2.8421709430404007E-14</v>
      </c>
      <c r="FF176" s="17">
        <f>FE176*VLOOKUP('Données projet'!$B$16,Paramètres!$A$1:$I$89,3,0)*VLOOKUP('Données projet'!$B$16,Paramètres!$A$1:$I$89,5,0)</f>
        <v>2.4829205358400945E-14</v>
      </c>
      <c r="FG176" s="13">
        <f t="shared" si="182"/>
        <v>4.3867331143352915E-13</v>
      </c>
      <c r="FH176" s="20">
        <f t="shared" si="183"/>
        <v>8.0726688341261168E-13</v>
      </c>
      <c r="FI176" s="59">
        <f t="shared" si="131"/>
        <v>288.89331365274927</v>
      </c>
      <c r="FJ176" s="59">
        <f ca="1">AVERAGE(OFFSET($FI$3,0,0,'Données projet'!$E$16+1,1))-AVERAGE(OFFSET($H$3,0,0,'Données projet'!$E$16+1,1))</f>
        <v>285.8437404763045</v>
      </c>
      <c r="FK176" s="59">
        <f t="shared" si="156"/>
        <v>276.01618888357268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12.580511900352795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12.580511900352795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-1.7053025658242404E-13</v>
      </c>
      <c r="GA176" s="17">
        <f>FZ176*VLOOKUP('Données projet'!$B$17,Paramètres!$A$1:$I$89,3,0)*VLOOKUP('Données projet'!$B$17,Paramètres!$A$1:$I$89,5,0)</f>
        <v>-1.3567387213697657E-13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323.01113210765487</v>
      </c>
      <c r="GF176" s="59">
        <f t="shared" si="158"/>
        <v>311.68541696405975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14.441847228745083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14.441847228745083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2.8421709430404007E-14</v>
      </c>
      <c r="GV176" s="17">
        <f>GU176*VLOOKUP('Données projet'!$B$18,Paramètres!$A$1:$I$89,3,0)*VLOOKUP('Données projet'!$B$18,Paramètres!$A$1:$I$89,5,0)</f>
        <v>2.4829205358400945E-14</v>
      </c>
      <c r="GW176" s="13">
        <f t="shared" si="188"/>
        <v>4.3867331143352915E-13</v>
      </c>
      <c r="GX176" s="20">
        <f t="shared" si="189"/>
        <v>8.0726688341261168E-13</v>
      </c>
      <c r="GY176" s="59">
        <f t="shared" si="137"/>
        <v>288.89331365274927</v>
      </c>
      <c r="GZ176" s="59">
        <f ca="1">AVERAGE(OFFSET($GY$3,0,0,'Données projet'!$E$18+1,1))-AVERAGE(OFFSET($H$3,0,0,'Données projet'!$E$18+1,1))</f>
        <v>285.8437404763045</v>
      </c>
      <c r="HA176" s="59">
        <f t="shared" si="160"/>
        <v>276.01618888357268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12.580511900352795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12.580511900352795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-1.0286385077051818E-13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315.34103933739129</v>
      </c>
      <c r="T177" s="59">
        <f t="shared" si="142"/>
        <v>165.80901858372513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34.769598841396316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34.769598841396316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-2.0395418687257919E-13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317.328615425664</v>
      </c>
      <c r="AO177" s="59">
        <f t="shared" si="144"/>
        <v>324.95872842255744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18.35942116018094</v>
      </c>
      <c r="AV177" s="21">
        <f>EXP(-LN(2)/25)*AV176+(1-EXP(-LN(2)/25))/(LN(2)/25)*Calculateur!AQ177*Calculateur!AS177*VLOOKUP('Données projet'!$B$10,Paramètres!$A$1:$I$89,3,0)*0.475*44/12</f>
        <v>1.4345738810844486</v>
      </c>
      <c r="AW177" s="21">
        <f>EXP(-LN(2)/2)*AW176+(1-EXP(-LN(2)/2))/(LN(2)/2)*AQ177*AT177*VLOOKUP('Données projet'!$B$10,Paramètres!$A$1:$I$89,3,0)*0.475*44/12</f>
        <v>1.8663726705291188E-16</v>
      </c>
      <c r="AX177" s="21">
        <f t="shared" si="166"/>
        <v>19.79399504126539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-6.5483618527650828E-14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418.31716673276725</v>
      </c>
      <c r="BJ177" s="59">
        <f t="shared" si="146"/>
        <v>472.37891533957929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14.323556219493963</v>
      </c>
      <c r="BQ177" s="21">
        <f>EXP(-LN(2)/25)*BQ176+(1-EXP(-LN(2)/25))/(LN(2)/25)*Calculateur!BL177*Calculateur!BN177*VLOOKUP('Données projet'!$B$11,Paramètres!$A$1:$I$89,3,0)*0.475*44/12</f>
        <v>1.3086407814852223</v>
      </c>
      <c r="BR177" s="21">
        <f>EXP(-LN(2)/2)*BR176+(1-EXP(-LN(2)/2))/(LN(2)/2)*BL177*BO177*VLOOKUP('Données projet'!$B$11,Paramètres!$A$1:$I$89,3,0)*0.475*44/12</f>
        <v>2.8947280084067042E-16</v>
      </c>
      <c r="BS177" s="22">
        <f t="shared" si="169"/>
        <v>15.632197000979184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1.1368683772161603E-13</v>
      </c>
      <c r="BZ177" s="13">
        <f>BY177*VLOOKUP('Données projet'!$B$12,Paramètres!$A$1:$I$89,3,0)*VLOOKUP('Données projet'!$B$12,Paramètres!$A$1:$I$89,5,0)</f>
        <v>6.6506800067145386E-14</v>
      </c>
      <c r="CA177" s="13">
        <f t="shared" si="170"/>
        <v>1.0476989505385114E-12</v>
      </c>
      <c r="CB177" s="20">
        <f t="shared" si="171"/>
        <v>1.9405750156381857E-12</v>
      </c>
      <c r="CC177" s="59">
        <f t="shared" si="119"/>
        <v>288.97033806781167</v>
      </c>
      <c r="CD177" s="59">
        <f ca="1">AVERAGE(OFFSET($CC$3,0,0,'Données projet'!$E$12+1,1))-AVERAGE(OFFSET($H$3,0,0,'Données projet'!$E$12+1,1))</f>
        <v>184.11352167663844</v>
      </c>
      <c r="CE177" s="59">
        <f t="shared" si="148"/>
        <v>145.86653500981791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10.41271927379201</v>
      </c>
      <c r="CL177" s="21">
        <f>EXP(-LN(2)/25)*CL176+(1-EXP(-LN(2)/25))/(LN(2)/25)*Calculateur!CG177*Calculateur!CI177*VLOOKUP('Données projet'!$B$12,Paramètres!$A$1:$I$89,3,0)*0.475*44/12</f>
        <v>2.0763422293821465</v>
      </c>
      <c r="CM177" s="21">
        <f>EXP(-LN(2)/2)*CM176+(1-EXP(-LN(2)/2))/(LN(2)/2)*CG177*CJ177*VLOOKUP('Données projet'!$B$12,Paramètres!$A$1:$I$89,3,0)*0.475*44/12</f>
        <v>4.2951564288429006E-12</v>
      </c>
      <c r="CN177" s="22">
        <f t="shared" si="172"/>
        <v>12.489061503178451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-3.979039320256561E-13</v>
      </c>
      <c r="CU177" s="17">
        <f>CT177*VLOOKUP('Données projet'!$B$13,Paramètres!$A$1:$I$89,3,0)*VLOOKUP('Données projet'!$B$13,Paramètres!$A$1:$I$89,5,0)</f>
        <v>-1.9139179130434059E-13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303.76035885073708</v>
      </c>
      <c r="CZ177" s="59">
        <f t="shared" si="150"/>
        <v>127.43112562890414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73.263140273070434</v>
      </c>
      <c r="DG177" s="21">
        <f>EXP(-LN(2)/25)*DG176+(1-EXP(-LN(2)/25))/(LN(2)/25)*Calculateur!DB177*Calculateur!DD177*VLOOKUP('Données projet'!$B$13,Paramètres!$A$1:$I$89,3,0)*0.475*44/12</f>
        <v>26.349099249074278</v>
      </c>
      <c r="DH177" s="21">
        <f>EXP(-LN(2)/2)*DH176+(1-EXP(-LN(2)/2))/(LN(2)/2)*DB177*DE177*VLOOKUP('Données projet'!$B$13,Paramètres!$A$1:$I$89,3,0)*0.475*44/12</f>
        <v>0.93409759757262334</v>
      </c>
      <c r="DI177" s="22">
        <f t="shared" si="175"/>
        <v>100.54633711971732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5.6843418860808015E-14</v>
      </c>
      <c r="DP177" s="17">
        <f>DO177*VLOOKUP('Données projet'!$B$14,Paramètres!$A$1:$I$89,3,0)*VLOOKUP('Données projet'!$B$14,Paramètres!$A$1:$I$89,5,0)</f>
        <v>3.2810021366458389E-14</v>
      </c>
      <c r="DQ177" s="13">
        <f t="shared" si="176"/>
        <v>5.6117125884464641E-13</v>
      </c>
      <c r="DR177" s="20">
        <f t="shared" si="177"/>
        <v>1.0345173963676741E-12</v>
      </c>
      <c r="DS177" s="59">
        <f t="shared" si="125"/>
        <v>288.97033806781076</v>
      </c>
      <c r="DT177" s="59">
        <f ca="1">AVERAGE(OFFSET($DS$3,0,0,'Données projet'!$E$14+1,1))-AVERAGE(OFFSET($H$3,0,0,'Données projet'!$E$14+1,1))</f>
        <v>243.65374431792841</v>
      </c>
      <c r="DU177" s="59">
        <f t="shared" si="152"/>
        <v>271.60754570002939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6.2266918894281069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6.2266918894281069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-4.5474735088646412E-13</v>
      </c>
      <c r="EK177" s="17">
        <f>EJ177*VLOOKUP('Données projet'!$B$15,Paramètres!$A$1:$I$89,3,0)*VLOOKUP('Données projet'!$B$15,Paramètres!$A$1:$I$89,5,0)</f>
        <v>-3.0504452297464016E-13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321.44781099085594</v>
      </c>
      <c r="EP177" s="59">
        <f t="shared" si="154"/>
        <v>201.22243186578183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39.009653780499107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39.009653780499107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2.8421709430404007E-14</v>
      </c>
      <c r="FF177" s="17">
        <f>FE177*VLOOKUP('Données projet'!$B$16,Paramètres!$A$1:$I$89,3,0)*VLOOKUP('Données projet'!$B$16,Paramètres!$A$1:$I$89,5,0)</f>
        <v>2.4829205358400945E-14</v>
      </c>
      <c r="FG177" s="13">
        <f t="shared" si="182"/>
        <v>4.3867331143352915E-13</v>
      </c>
      <c r="FH177" s="20">
        <f t="shared" si="183"/>
        <v>8.0726688341261168E-13</v>
      </c>
      <c r="FI177" s="59">
        <f t="shared" si="131"/>
        <v>288.97033806781053</v>
      </c>
      <c r="FJ177" s="59">
        <f ca="1">AVERAGE(OFFSET($FI$3,0,0,'Données projet'!$E$16+1,1))-AVERAGE(OFFSET($H$3,0,0,'Données projet'!$E$16+1,1))</f>
        <v>285.8437404763045</v>
      </c>
      <c r="FK177" s="59">
        <f t="shared" si="156"/>
        <v>276.01618888357268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12.333815735341455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12.333815735341455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-1.7053025658242404E-13</v>
      </c>
      <c r="GA177" s="17">
        <f>FZ177*VLOOKUP('Données projet'!$B$17,Paramètres!$A$1:$I$89,3,0)*VLOOKUP('Données projet'!$B$17,Paramètres!$A$1:$I$89,5,0)</f>
        <v>-1.3567387213697657E-13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323.01113210765487</v>
      </c>
      <c r="GF177" s="59">
        <f t="shared" si="158"/>
        <v>311.68541696405975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14.158651413246419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14.158651413246419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2.8421709430404007E-14</v>
      </c>
      <c r="GV177" s="17">
        <f>GU177*VLOOKUP('Données projet'!$B$18,Paramètres!$A$1:$I$89,3,0)*VLOOKUP('Données projet'!$B$18,Paramètres!$A$1:$I$89,5,0)</f>
        <v>2.4829205358400945E-14</v>
      </c>
      <c r="GW177" s="13">
        <f t="shared" si="188"/>
        <v>4.3867331143352915E-13</v>
      </c>
      <c r="GX177" s="20">
        <f t="shared" si="189"/>
        <v>8.0726688341261168E-13</v>
      </c>
      <c r="GY177" s="59">
        <f t="shared" si="137"/>
        <v>288.97033806781053</v>
      </c>
      <c r="GZ177" s="59">
        <f ca="1">AVERAGE(OFFSET($GY$3,0,0,'Données projet'!$E$18+1,1))-AVERAGE(OFFSET($H$3,0,0,'Données projet'!$E$18+1,1))</f>
        <v>285.8437404763045</v>
      </c>
      <c r="HA177" s="59">
        <f t="shared" si="160"/>
        <v>276.01618888357268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12.333815735341455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12.333815735341455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-1.0286385077051818E-13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315.34103933739129</v>
      </c>
      <c r="T178" s="59">
        <f t="shared" si="142"/>
        <v>165.80901858372513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34.087788215477772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34.087788215477772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-2.0395418687257919E-13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317.328615425664</v>
      </c>
      <c r="AO178" s="59">
        <f t="shared" si="144"/>
        <v>324.95872842255744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17.999404109370975</v>
      </c>
      <c r="AV178" s="21">
        <f>EXP(-LN(2)/25)*AV177+(1-EXP(-LN(2)/25))/(LN(2)/25)*Calculateur!AQ178*Calculateur!AS178*VLOOKUP('Données projet'!$B$10,Paramètres!$A$1:$I$89,3,0)*0.475*44/12</f>
        <v>1.3953453828652327</v>
      </c>
      <c r="AW178" s="21">
        <f>EXP(-LN(2)/2)*AW177+(1-EXP(-LN(2)/2))/(LN(2)/2)*AQ178*AT178*VLOOKUP('Données projet'!$B$10,Paramètres!$A$1:$I$89,3,0)*0.475*44/12</f>
        <v>1.319724771552386E-16</v>
      </c>
      <c r="AX178" s="21">
        <f t="shared" si="166"/>
        <v>19.394749492236208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-6.5483618527650828E-14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418.31716673276725</v>
      </c>
      <c r="BJ178" s="59">
        <f t="shared" si="146"/>
        <v>472.37891533957929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14.042680018536322</v>
      </c>
      <c r="BQ178" s="21">
        <f>EXP(-LN(2)/25)*BQ177+(1-EXP(-LN(2)/25))/(LN(2)/25)*Calculateur!BL178*Calculateur!BN178*VLOOKUP('Données projet'!$B$11,Paramètres!$A$1:$I$89,3,0)*0.475*44/12</f>
        <v>1.2728559304970812</v>
      </c>
      <c r="BR178" s="21">
        <f>EXP(-LN(2)/2)*BR177+(1-EXP(-LN(2)/2))/(LN(2)/2)*BL178*BO178*VLOOKUP('Données projet'!$B$11,Paramètres!$A$1:$I$89,3,0)*0.475*44/12</f>
        <v>2.0468818044350099E-16</v>
      </c>
      <c r="BS178" s="22">
        <f t="shared" si="169"/>
        <v>15.315535949033404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1.1368683772161603E-13</v>
      </c>
      <c r="BZ178" s="13">
        <f>BY178*VLOOKUP('Données projet'!$B$12,Paramètres!$A$1:$I$89,3,0)*VLOOKUP('Données projet'!$B$12,Paramètres!$A$1:$I$89,5,0)</f>
        <v>6.6506800067145386E-14</v>
      </c>
      <c r="CA178" s="13">
        <f t="shared" si="170"/>
        <v>1.0476989505385114E-12</v>
      </c>
      <c r="CB178" s="20">
        <f t="shared" si="171"/>
        <v>1.9405750156381857E-12</v>
      </c>
      <c r="CC178" s="59">
        <f t="shared" si="119"/>
        <v>289.04602628147234</v>
      </c>
      <c r="CD178" s="59">
        <f ca="1">AVERAGE(OFFSET($CC$3,0,0,'Données projet'!$E$12+1,1))-AVERAGE(OFFSET($H$3,0,0,'Données projet'!$E$12+1,1))</f>
        <v>184.11352167663844</v>
      </c>
      <c r="CE178" s="59">
        <f t="shared" si="148"/>
        <v>145.86653500981791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10.208532199964583</v>
      </c>
      <c r="CL178" s="21">
        <f>EXP(-LN(2)/25)*CL177+(1-EXP(-LN(2)/25))/(LN(2)/25)*Calculateur!CG178*Calculateur!CI178*VLOOKUP('Données projet'!$B$12,Paramètres!$A$1:$I$89,3,0)*0.475*44/12</f>
        <v>2.0195645419295993</v>
      </c>
      <c r="CM178" s="21">
        <f>EXP(-LN(2)/2)*CM177+(1-EXP(-LN(2)/2))/(LN(2)/2)*CG178*CJ178*VLOOKUP('Données projet'!$B$12,Paramètres!$A$1:$I$89,3,0)*0.475*44/12</f>
        <v>3.0371342370918098E-12</v>
      </c>
      <c r="CN178" s="22">
        <f t="shared" si="172"/>
        <v>12.22809674189722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-3.979039320256561E-13</v>
      </c>
      <c r="CU178" s="17">
        <f>CT178*VLOOKUP('Données projet'!$B$13,Paramètres!$A$1:$I$89,3,0)*VLOOKUP('Données projet'!$B$13,Paramètres!$A$1:$I$89,5,0)</f>
        <v>-1.9139179130434059E-13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303.76035885073708</v>
      </c>
      <c r="CZ178" s="59">
        <f t="shared" si="150"/>
        <v>127.43112562890414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71.826494778418706</v>
      </c>
      <c r="DG178" s="21">
        <f>EXP(-LN(2)/25)*DG177+(1-EXP(-LN(2)/25))/(LN(2)/25)*Calculateur!DB178*Calculateur!DD178*VLOOKUP('Données projet'!$B$13,Paramètres!$A$1:$I$89,3,0)*0.475*44/12</f>
        <v>25.628581744469436</v>
      </c>
      <c r="DH178" s="21">
        <f>EXP(-LN(2)/2)*DH177+(1-EXP(-LN(2)/2))/(LN(2)/2)*DB178*DE178*VLOOKUP('Données projet'!$B$13,Paramètres!$A$1:$I$89,3,0)*0.475*44/12</f>
        <v>0.66050674553366473</v>
      </c>
      <c r="DI178" s="22">
        <f t="shared" si="175"/>
        <v>98.115583268421801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5.6843418860808015E-14</v>
      </c>
      <c r="DP178" s="17">
        <f>DO178*VLOOKUP('Données projet'!$B$14,Paramètres!$A$1:$I$89,3,0)*VLOOKUP('Données projet'!$B$14,Paramètres!$A$1:$I$89,5,0)</f>
        <v>3.2810021366458389E-14</v>
      </c>
      <c r="DQ178" s="13">
        <f t="shared" si="176"/>
        <v>5.6117125884464641E-13</v>
      </c>
      <c r="DR178" s="20">
        <f t="shared" si="177"/>
        <v>1.0345173963676741E-12</v>
      </c>
      <c r="DS178" s="59">
        <f t="shared" si="125"/>
        <v>289.04602628147143</v>
      </c>
      <c r="DT178" s="59">
        <f ca="1">AVERAGE(OFFSET($DS$3,0,0,'Données projet'!$E$14+1,1))-AVERAGE(OFFSET($H$3,0,0,'Données projet'!$E$14+1,1))</f>
        <v>243.65374431792841</v>
      </c>
      <c r="DU178" s="59">
        <f t="shared" si="152"/>
        <v>271.60754570002939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6.1045902593834622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6.1045902593834622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-4.5474735088646412E-13</v>
      </c>
      <c r="EK178" s="17">
        <f>EJ178*VLOOKUP('Données projet'!$B$15,Paramètres!$A$1:$I$89,3,0)*VLOOKUP('Données projet'!$B$15,Paramètres!$A$1:$I$89,5,0)</f>
        <v>-3.0504452297464016E-13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321.44781099085594</v>
      </c>
      <c r="EP178" s="59">
        <f t="shared" si="154"/>
        <v>201.22243186578183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38.24469826340291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38.24469826340291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2.8421709430404007E-14</v>
      </c>
      <c r="FF178" s="17">
        <f>FE178*VLOOKUP('Données projet'!$B$16,Paramètres!$A$1:$I$89,3,0)*VLOOKUP('Données projet'!$B$16,Paramètres!$A$1:$I$89,5,0)</f>
        <v>2.4829205358400945E-14</v>
      </c>
      <c r="FG178" s="13">
        <f t="shared" si="182"/>
        <v>4.3867331143352915E-13</v>
      </c>
      <c r="FH178" s="20">
        <f t="shared" si="183"/>
        <v>8.0726688341261168E-13</v>
      </c>
      <c r="FI178" s="59">
        <f t="shared" si="131"/>
        <v>289.0460262814712</v>
      </c>
      <c r="FJ178" s="59">
        <f ca="1">AVERAGE(OFFSET($FI$3,0,0,'Données projet'!$E$16+1,1))-AVERAGE(OFFSET($H$3,0,0,'Données projet'!$E$16+1,1))</f>
        <v>285.8437404763045</v>
      </c>
      <c r="FK178" s="59">
        <f t="shared" si="156"/>
        <v>276.01618888357268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12.091957131656184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12.091957131656184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-1.7053025658242404E-13</v>
      </c>
      <c r="GA178" s="17">
        <f>FZ178*VLOOKUP('Données projet'!$B$17,Paramètres!$A$1:$I$89,3,0)*VLOOKUP('Données projet'!$B$17,Paramètres!$A$1:$I$89,5,0)</f>
        <v>-1.3567387213697657E-13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323.01113210765487</v>
      </c>
      <c r="GF178" s="59">
        <f t="shared" si="158"/>
        <v>311.68541696405975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13.881008894957292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13.881008894957292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2.8421709430404007E-14</v>
      </c>
      <c r="GV178" s="17">
        <f>GU178*VLOOKUP('Données projet'!$B$18,Paramètres!$A$1:$I$89,3,0)*VLOOKUP('Données projet'!$B$18,Paramètres!$A$1:$I$89,5,0)</f>
        <v>2.4829205358400945E-14</v>
      </c>
      <c r="GW178" s="13">
        <f t="shared" si="188"/>
        <v>4.3867331143352915E-13</v>
      </c>
      <c r="GX178" s="20">
        <f t="shared" si="189"/>
        <v>8.0726688341261168E-13</v>
      </c>
      <c r="GY178" s="59">
        <f t="shared" si="137"/>
        <v>289.0460262814712</v>
      </c>
      <c r="GZ178" s="59">
        <f ca="1">AVERAGE(OFFSET($GY$3,0,0,'Données projet'!$E$18+1,1))-AVERAGE(OFFSET($H$3,0,0,'Données projet'!$E$18+1,1))</f>
        <v>285.8437404763045</v>
      </c>
      <c r="HA178" s="59">
        <f t="shared" si="160"/>
        <v>276.01618888357268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12.091957131656184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12.091957131656184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-1.0286385077051818E-13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315.34103933739129</v>
      </c>
      <c r="T179" s="59">
        <f t="shared" si="142"/>
        <v>165.80901858372513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33.419347480070073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33.419347480070073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-2.0395418687257919E-13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317.328615425664</v>
      </c>
      <c r="AO179" s="59">
        <f t="shared" si="144"/>
        <v>324.95872842255744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17.646446773338674</v>
      </c>
      <c r="AV179" s="21">
        <f>EXP(-LN(2)/25)*AV178+(1-EXP(-LN(2)/25))/(LN(2)/25)*Calculateur!AQ179*Calculateur!AS179*VLOOKUP('Données projet'!$B$10,Paramètres!$A$1:$I$89,3,0)*0.475*44/12</f>
        <v>1.3571895899927584</v>
      </c>
      <c r="AW179" s="21">
        <f>EXP(-LN(2)/2)*AW178+(1-EXP(-LN(2)/2))/(LN(2)/2)*AQ179*AT179*VLOOKUP('Données projet'!$B$10,Paramètres!$A$1:$I$89,3,0)*0.475*44/12</f>
        <v>9.3318633526455942E-17</v>
      </c>
      <c r="AX179" s="21">
        <f t="shared" si="166"/>
        <v>19.003636363331431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-6.5483618527650828E-14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418.31716673276725</v>
      </c>
      <c r="BJ179" s="59">
        <f t="shared" si="146"/>
        <v>472.37891533957929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13.767311628561893</v>
      </c>
      <c r="BQ179" s="21">
        <f>EXP(-LN(2)/25)*BQ178+(1-EXP(-LN(2)/25))/(LN(2)/25)*Calculateur!BL179*Calculateur!BN179*VLOOKUP('Données projet'!$B$11,Paramètres!$A$1:$I$89,3,0)*0.475*44/12</f>
        <v>1.2380496181410543</v>
      </c>
      <c r="BR179" s="21">
        <f>EXP(-LN(2)/2)*BR178+(1-EXP(-LN(2)/2))/(LN(2)/2)*BL179*BO179*VLOOKUP('Données projet'!$B$11,Paramètres!$A$1:$I$89,3,0)*0.475*44/12</f>
        <v>1.4473640042033521E-16</v>
      </c>
      <c r="BS179" s="22">
        <f t="shared" si="169"/>
        <v>15.005361246702948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1.1368683772161603E-13</v>
      </c>
      <c r="BZ179" s="13">
        <f>BY179*VLOOKUP('Données projet'!$B$12,Paramètres!$A$1:$I$89,3,0)*VLOOKUP('Données projet'!$B$12,Paramètres!$A$1:$I$89,5,0)</f>
        <v>6.6506800067145386E-14</v>
      </c>
      <c r="CA179" s="13">
        <f t="shared" si="170"/>
        <v>1.0476989505385114E-12</v>
      </c>
      <c r="CB179" s="20">
        <f t="shared" si="171"/>
        <v>1.9405750156381857E-12</v>
      </c>
      <c r="CC179" s="59">
        <f t="shared" si="119"/>
        <v>289.12040147383954</v>
      </c>
      <c r="CD179" s="59">
        <f ca="1">AVERAGE(OFFSET($CC$3,0,0,'Données projet'!$E$12+1,1))-AVERAGE(OFFSET($H$3,0,0,'Données projet'!$E$12+1,1))</f>
        <v>184.11352167663844</v>
      </c>
      <c r="CE179" s="59">
        <f t="shared" si="148"/>
        <v>145.86653500981791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10.008349110113095</v>
      </c>
      <c r="CL179" s="21">
        <f>EXP(-LN(2)/25)*CL178+(1-EXP(-LN(2)/25))/(LN(2)/25)*Calculateur!CG179*Calculateur!CI179*VLOOKUP('Données projet'!$B$12,Paramètres!$A$1:$I$89,3,0)*0.475*44/12</f>
        <v>1.9643394433262509</v>
      </c>
      <c r="CM179" s="21">
        <f>EXP(-LN(2)/2)*CM178+(1-EXP(-LN(2)/2))/(LN(2)/2)*CG179*CJ179*VLOOKUP('Données projet'!$B$12,Paramètres!$A$1:$I$89,3,0)*0.475*44/12</f>
        <v>2.1475782144214503E-12</v>
      </c>
      <c r="CN179" s="22">
        <f t="shared" si="172"/>
        <v>11.972688553441493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-3.979039320256561E-13</v>
      </c>
      <c r="CU179" s="17">
        <f>CT179*VLOOKUP('Données projet'!$B$13,Paramètres!$A$1:$I$89,3,0)*VLOOKUP('Données projet'!$B$13,Paramètres!$A$1:$I$89,5,0)</f>
        <v>-1.9139179130434059E-13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303.76035885073708</v>
      </c>
      <c r="CZ179" s="59">
        <f t="shared" si="150"/>
        <v>127.43112562890414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70.418021025649864</v>
      </c>
      <c r="DG179" s="21">
        <f>EXP(-LN(2)/25)*DG178+(1-EXP(-LN(2)/25))/(LN(2)/25)*Calculateur!DB179*Calculateur!DD179*VLOOKUP('Données projet'!$B$13,Paramètres!$A$1:$I$89,3,0)*0.475*44/12</f>
        <v>24.927766828918379</v>
      </c>
      <c r="DH179" s="21">
        <f>EXP(-LN(2)/2)*DH178+(1-EXP(-LN(2)/2))/(LN(2)/2)*DB179*DE179*VLOOKUP('Données projet'!$B$13,Paramètres!$A$1:$I$89,3,0)*0.475*44/12</f>
        <v>0.46704879878631173</v>
      </c>
      <c r="DI179" s="22">
        <f t="shared" si="175"/>
        <v>95.812836653354552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5.6843418860808015E-14</v>
      </c>
      <c r="DP179" s="17">
        <f>DO179*VLOOKUP('Données projet'!$B$14,Paramètres!$A$1:$I$89,3,0)*VLOOKUP('Données projet'!$B$14,Paramètres!$A$1:$I$89,5,0)</f>
        <v>3.2810021366458389E-14</v>
      </c>
      <c r="DQ179" s="13">
        <f t="shared" si="176"/>
        <v>5.6117125884464641E-13</v>
      </c>
      <c r="DR179" s="20">
        <f t="shared" si="177"/>
        <v>1.0345173963676741E-12</v>
      </c>
      <c r="DS179" s="59">
        <f t="shared" si="125"/>
        <v>289.12040147383863</v>
      </c>
      <c r="DT179" s="59">
        <f ca="1">AVERAGE(OFFSET($DS$3,0,0,'Données projet'!$E$14+1,1))-AVERAGE(OFFSET($H$3,0,0,'Données projet'!$E$14+1,1))</f>
        <v>243.65374431792841</v>
      </c>
      <c r="DU179" s="59">
        <f t="shared" si="152"/>
        <v>271.60754570002939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5.9848829678293525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5.9848829678293525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-4.5474735088646412E-13</v>
      </c>
      <c r="EK179" s="17">
        <f>EJ179*VLOOKUP('Données projet'!$B$15,Paramètres!$A$1:$I$89,3,0)*VLOOKUP('Données projet'!$B$15,Paramètres!$A$1:$I$89,5,0)</f>
        <v>-3.0504452297464016E-13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321.44781099085594</v>
      </c>
      <c r="EP179" s="59">
        <f t="shared" si="154"/>
        <v>201.22243186578183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37.494743057420173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37.494743057420173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2.8421709430404007E-14</v>
      </c>
      <c r="FF179" s="17">
        <f>FE179*VLOOKUP('Données projet'!$B$16,Paramètres!$A$1:$I$89,3,0)*VLOOKUP('Données projet'!$B$16,Paramètres!$A$1:$I$89,5,0)</f>
        <v>2.4829205358400945E-14</v>
      </c>
      <c r="FG179" s="13">
        <f t="shared" si="182"/>
        <v>4.3867331143352915E-13</v>
      </c>
      <c r="FH179" s="20">
        <f t="shared" si="183"/>
        <v>8.0726688341261168E-13</v>
      </c>
      <c r="FI179" s="59">
        <f t="shared" si="131"/>
        <v>289.1204014738384</v>
      </c>
      <c r="FJ179" s="59">
        <f ca="1">AVERAGE(OFFSET($FI$3,0,0,'Données projet'!$E$16+1,1))-AVERAGE(OFFSET($H$3,0,0,'Données projet'!$E$16+1,1))</f>
        <v>285.8437404763045</v>
      </c>
      <c r="FK179" s="59">
        <f t="shared" si="156"/>
        <v>276.01618888357268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11.854841227669999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11.854841227669999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-1.7053025658242404E-13</v>
      </c>
      <c r="GA179" s="17">
        <f>FZ179*VLOOKUP('Données projet'!$B$17,Paramètres!$A$1:$I$89,3,0)*VLOOKUP('Données projet'!$B$17,Paramètres!$A$1:$I$89,5,0)</f>
        <v>-1.3567387213697657E-13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323.01113210765487</v>
      </c>
      <c r="GF179" s="59">
        <f t="shared" si="158"/>
        <v>311.68541696405975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13.6088107771066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13.6088107771066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2.8421709430404007E-14</v>
      </c>
      <c r="GV179" s="17">
        <f>GU179*VLOOKUP('Données projet'!$B$18,Paramètres!$A$1:$I$89,3,0)*VLOOKUP('Données projet'!$B$18,Paramètres!$A$1:$I$89,5,0)</f>
        <v>2.4829205358400945E-14</v>
      </c>
      <c r="GW179" s="13">
        <f t="shared" si="188"/>
        <v>4.3867331143352915E-13</v>
      </c>
      <c r="GX179" s="20">
        <f t="shared" si="189"/>
        <v>8.0726688341261168E-13</v>
      </c>
      <c r="GY179" s="59">
        <f t="shared" si="137"/>
        <v>289.1204014738384</v>
      </c>
      <c r="GZ179" s="59">
        <f ca="1">AVERAGE(OFFSET($GY$3,0,0,'Données projet'!$E$18+1,1))-AVERAGE(OFFSET($H$3,0,0,'Données projet'!$E$18+1,1))</f>
        <v>285.8437404763045</v>
      </c>
      <c r="HA179" s="59">
        <f t="shared" si="160"/>
        <v>276.01618888357268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11.854841227669999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11.854841227669999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-1.0286385077051818E-13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315.34103933739129</v>
      </c>
      <c r="T180" s="59">
        <f t="shared" si="142"/>
        <v>165.80901858372513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32.764014459775126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32.764014459775126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-2.0395418687257919E-13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317.328615425664</v>
      </c>
      <c r="AO180" s="59">
        <f t="shared" si="144"/>
        <v>324.95872842255744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17.300410715383251</v>
      </c>
      <c r="AV180" s="21">
        <f>EXP(-LN(2)/25)*AV179+(1-EXP(-LN(2)/25))/(LN(2)/25)*Calculateur!AQ180*Calculateur!AS180*VLOOKUP('Données projet'!$B$10,Paramètres!$A$1:$I$89,3,0)*0.475*44/12</f>
        <v>1.3200771692829079</v>
      </c>
      <c r="AW180" s="21">
        <f>EXP(-LN(2)/2)*AW179+(1-EXP(-LN(2)/2))/(LN(2)/2)*AQ180*AT180*VLOOKUP('Données projet'!$B$10,Paramètres!$A$1:$I$89,3,0)*0.475*44/12</f>
        <v>6.5986238577619298E-17</v>
      </c>
      <c r="AX180" s="21">
        <f t="shared" si="166"/>
        <v>18.620487884666158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-6.5483618527650828E-14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418.31716673276725</v>
      </c>
      <c r="BJ180" s="59">
        <f t="shared" si="146"/>
        <v>472.37891533957929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13.497343044756731</v>
      </c>
      <c r="BQ180" s="21">
        <f>EXP(-LN(2)/25)*BQ179+(1-EXP(-LN(2)/25))/(LN(2)/25)*Calculateur!BL180*Calculateur!BN180*VLOOKUP('Données projet'!$B$11,Paramètres!$A$1:$I$89,3,0)*0.475*44/12</f>
        <v>1.2041950862267874</v>
      </c>
      <c r="BR180" s="21">
        <f>EXP(-LN(2)/2)*BR179+(1-EXP(-LN(2)/2))/(LN(2)/2)*BL180*BO180*VLOOKUP('Données projet'!$B$11,Paramètres!$A$1:$I$89,3,0)*0.475*44/12</f>
        <v>1.0234409022175049E-16</v>
      </c>
      <c r="BS180" s="22">
        <f t="shared" si="169"/>
        <v>14.701538130983518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1.1368683772161603E-13</v>
      </c>
      <c r="BZ180" s="13">
        <f>BY180*VLOOKUP('Données projet'!$B$12,Paramètres!$A$1:$I$89,3,0)*VLOOKUP('Données projet'!$B$12,Paramètres!$A$1:$I$89,5,0)</f>
        <v>6.6506800067145386E-14</v>
      </c>
      <c r="CA180" s="13">
        <f t="shared" si="170"/>
        <v>1.0476989505385114E-12</v>
      </c>
      <c r="CB180" s="20">
        <f t="shared" si="171"/>
        <v>1.9405750156381857E-12</v>
      </c>
      <c r="CC180" s="59">
        <f t="shared" si="119"/>
        <v>289.19348642289719</v>
      </c>
      <c r="CD180" s="59">
        <f ca="1">AVERAGE(OFFSET($CC$3,0,0,'Données projet'!$E$12+1,1))-AVERAGE(OFFSET($H$3,0,0,'Données projet'!$E$12+1,1))</f>
        <v>184.11352167663844</v>
      </c>
      <c r="CE180" s="59">
        <f t="shared" si="148"/>
        <v>145.86653500981791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9.8120914885539658</v>
      </c>
      <c r="CL180" s="21">
        <f>EXP(-LN(2)/25)*CL179+(1-EXP(-LN(2)/25))/(LN(2)/25)*Calculateur!CG180*Calculateur!CI180*VLOOKUP('Données projet'!$B$12,Paramètres!$A$1:$I$89,3,0)*0.475*44/12</f>
        <v>1.9106244779483728</v>
      </c>
      <c r="CM180" s="21">
        <f>EXP(-LN(2)/2)*CM179+(1-EXP(-LN(2)/2))/(LN(2)/2)*CG180*CJ180*VLOOKUP('Données projet'!$B$12,Paramètres!$A$1:$I$89,3,0)*0.475*44/12</f>
        <v>1.5185671185459049E-12</v>
      </c>
      <c r="CN180" s="22">
        <f t="shared" si="172"/>
        <v>11.722715966503857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-3.979039320256561E-13</v>
      </c>
      <c r="CU180" s="17">
        <f>CT180*VLOOKUP('Données projet'!$B$13,Paramètres!$A$1:$I$89,3,0)*VLOOKUP('Données projet'!$B$13,Paramètres!$A$1:$I$89,5,0)</f>
        <v>-1.9139179130434059E-13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303.76035885073708</v>
      </c>
      <c r="CZ180" s="59">
        <f t="shared" si="150"/>
        <v>127.43112562890414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69.037166584088666</v>
      </c>
      <c r="DG180" s="21">
        <f>EXP(-LN(2)/25)*DG179+(1-EXP(-LN(2)/25))/(LN(2)/25)*Calculateur!DB180*Calculateur!DD180*VLOOKUP('Données projet'!$B$13,Paramètres!$A$1:$I$89,3,0)*0.475*44/12</f>
        <v>24.246115734087322</v>
      </c>
      <c r="DH180" s="21">
        <f>EXP(-LN(2)/2)*DH179+(1-EXP(-LN(2)/2))/(LN(2)/2)*DB180*DE180*VLOOKUP('Données projet'!$B$13,Paramètres!$A$1:$I$89,3,0)*0.475*44/12</f>
        <v>0.33025337276683242</v>
      </c>
      <c r="DI180" s="22">
        <f t="shared" si="175"/>
        <v>93.613535690942825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5.6843418860808015E-14</v>
      </c>
      <c r="DP180" s="17">
        <f>DO180*VLOOKUP('Données projet'!$B$14,Paramètres!$A$1:$I$89,3,0)*VLOOKUP('Données projet'!$B$14,Paramètres!$A$1:$I$89,5,0)</f>
        <v>3.2810021366458389E-14</v>
      </c>
      <c r="DQ180" s="13">
        <f t="shared" si="176"/>
        <v>5.6117125884464641E-13</v>
      </c>
      <c r="DR180" s="20">
        <f t="shared" si="177"/>
        <v>1.0345173963676741E-12</v>
      </c>
      <c r="DS180" s="59">
        <f t="shared" si="125"/>
        <v>289.19348642289629</v>
      </c>
      <c r="DT180" s="59">
        <f ca="1">AVERAGE(OFFSET($DS$3,0,0,'Données projet'!$E$14+1,1))-AVERAGE(OFFSET($H$3,0,0,'Données projet'!$E$14+1,1))</f>
        <v>243.65374431792841</v>
      </c>
      <c r="DU180" s="59">
        <f t="shared" si="152"/>
        <v>271.60754570002939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5.8675230632483801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5.8675230632483801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-4.5474735088646412E-13</v>
      </c>
      <c r="EK180" s="17">
        <f>EJ180*VLOOKUP('Données projet'!$B$15,Paramètres!$A$1:$I$89,3,0)*VLOOKUP('Données projet'!$B$15,Paramètres!$A$1:$I$89,5,0)</f>
        <v>-3.0504452297464016E-13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321.44781099085594</v>
      </c>
      <c r="EP180" s="59">
        <f t="shared" si="154"/>
        <v>201.22243186578183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36.759494015599252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36.759494015599252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2.8421709430404007E-14</v>
      </c>
      <c r="FF180" s="17">
        <f>FE180*VLOOKUP('Données projet'!$B$16,Paramètres!$A$1:$I$89,3,0)*VLOOKUP('Données projet'!$B$16,Paramètres!$A$1:$I$89,5,0)</f>
        <v>2.4829205358400945E-14</v>
      </c>
      <c r="FG180" s="13">
        <f t="shared" si="182"/>
        <v>4.3867331143352915E-13</v>
      </c>
      <c r="FH180" s="20">
        <f t="shared" si="183"/>
        <v>8.0726688341261168E-13</v>
      </c>
      <c r="FI180" s="59">
        <f t="shared" si="131"/>
        <v>289.19348642289606</v>
      </c>
      <c r="FJ180" s="59">
        <f ca="1">AVERAGE(OFFSET($FI$3,0,0,'Données projet'!$E$16+1,1))-AVERAGE(OFFSET($H$3,0,0,'Données projet'!$E$16+1,1))</f>
        <v>285.8437404763045</v>
      </c>
      <c r="FK180" s="59">
        <f t="shared" si="156"/>
        <v>276.01618888357268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11.622375021934563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11.622375021934563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-1.7053025658242404E-13</v>
      </c>
      <c r="GA180" s="17">
        <f>FZ180*VLOOKUP('Données projet'!$B$17,Paramètres!$A$1:$I$89,3,0)*VLOOKUP('Données projet'!$B$17,Paramètres!$A$1:$I$89,5,0)</f>
        <v>-1.3567387213697657E-13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323.01113210765487</v>
      </c>
      <c r="GF180" s="59">
        <f t="shared" si="158"/>
        <v>311.68541696405975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13.341950298322502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13.341950298322502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2.8421709430404007E-14</v>
      </c>
      <c r="GV180" s="17">
        <f>GU180*VLOOKUP('Données projet'!$B$18,Paramètres!$A$1:$I$89,3,0)*VLOOKUP('Données projet'!$B$18,Paramètres!$A$1:$I$89,5,0)</f>
        <v>2.4829205358400945E-14</v>
      </c>
      <c r="GW180" s="13">
        <f t="shared" si="188"/>
        <v>4.3867331143352915E-13</v>
      </c>
      <c r="GX180" s="20">
        <f t="shared" si="189"/>
        <v>8.0726688341261168E-13</v>
      </c>
      <c r="GY180" s="59">
        <f t="shared" si="137"/>
        <v>289.19348642289606</v>
      </c>
      <c r="GZ180" s="59">
        <f ca="1">AVERAGE(OFFSET($GY$3,0,0,'Données projet'!$E$18+1,1))-AVERAGE(OFFSET($H$3,0,0,'Données projet'!$E$18+1,1))</f>
        <v>285.8437404763045</v>
      </c>
      <c r="HA180" s="59">
        <f t="shared" si="160"/>
        <v>276.01618888357268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11.622375021934563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11.622375021934563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-1.0286385077051818E-13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315.34103933739129</v>
      </c>
      <c r="T181" s="59">
        <f t="shared" si="142"/>
        <v>165.80901858372513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32.121532120294489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32.121532120294489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-2.0395418687257919E-13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317.328615425664</v>
      </c>
      <c r="AO181" s="59">
        <f t="shared" si="144"/>
        <v>324.95872842255744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16.961160213463177</v>
      </c>
      <c r="AV181" s="21">
        <f>EXP(-LN(2)/25)*AV180+(1-EXP(-LN(2)/25))/(LN(2)/25)*Calculateur!AQ181*Calculateur!AS181*VLOOKUP('Données projet'!$B$10,Paramètres!$A$1:$I$89,3,0)*0.475*44/12</f>
        <v>1.2839795896690256</v>
      </c>
      <c r="AW181" s="21">
        <f>EXP(-LN(2)/2)*AW180+(1-EXP(-LN(2)/2))/(LN(2)/2)*AQ181*AT181*VLOOKUP('Données projet'!$B$10,Paramètres!$A$1:$I$89,3,0)*0.475*44/12</f>
        <v>4.6659316763227971E-17</v>
      </c>
      <c r="AX181" s="21">
        <f t="shared" si="166"/>
        <v>18.245139803132204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-6.5483618527650828E-14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418.31716673276725</v>
      </c>
      <c r="BJ181" s="59">
        <f t="shared" si="146"/>
        <v>472.37891533957929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13.23266838021541</v>
      </c>
      <c r="BQ181" s="21">
        <f>EXP(-LN(2)/25)*BQ180+(1-EXP(-LN(2)/25))/(LN(2)/25)*Calculateur!BL181*Calculateur!BN181*VLOOKUP('Données projet'!$B$11,Paramètres!$A$1:$I$89,3,0)*0.475*44/12</f>
        <v>1.1712663082680486</v>
      </c>
      <c r="BR181" s="21">
        <f>EXP(-LN(2)/2)*BR180+(1-EXP(-LN(2)/2))/(LN(2)/2)*BL181*BO181*VLOOKUP('Données projet'!$B$11,Paramètres!$A$1:$I$89,3,0)*0.475*44/12</f>
        <v>7.2368200210167604E-17</v>
      </c>
      <c r="BS181" s="22">
        <f t="shared" si="169"/>
        <v>14.403934688483458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1.1368683772161603E-13</v>
      </c>
      <c r="BZ181" s="13">
        <f>BY181*VLOOKUP('Données projet'!$B$12,Paramètres!$A$1:$I$89,3,0)*VLOOKUP('Données projet'!$B$12,Paramètres!$A$1:$I$89,5,0)</f>
        <v>6.6506800067145386E-14</v>
      </c>
      <c r="CA181" s="13">
        <f t="shared" si="170"/>
        <v>1.0476989505385114E-12</v>
      </c>
      <c r="CB181" s="20">
        <f t="shared" si="171"/>
        <v>1.9405750156381857E-12</v>
      </c>
      <c r="CC181" s="59">
        <f t="shared" si="119"/>
        <v>289.2653035114821</v>
      </c>
      <c r="CD181" s="59">
        <f ca="1">AVERAGE(OFFSET($CC$3,0,0,'Données projet'!$E$12+1,1))-AVERAGE(OFFSET($H$3,0,0,'Données projet'!$E$12+1,1))</f>
        <v>184.11352167663844</v>
      </c>
      <c r="CE181" s="59">
        <f t="shared" si="148"/>
        <v>145.86653500981791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9.6196823592482819</v>
      </c>
      <c r="CL181" s="21">
        <f>EXP(-LN(2)/25)*CL180+(1-EXP(-LN(2)/25))/(LN(2)/25)*Calculateur!CG181*Calculateur!CI181*VLOOKUP('Données projet'!$B$12,Paramètres!$A$1:$I$89,3,0)*0.475*44/12</f>
        <v>1.8583783511234999</v>
      </c>
      <c r="CM181" s="21">
        <f>EXP(-LN(2)/2)*CM180+(1-EXP(-LN(2)/2))/(LN(2)/2)*CG181*CJ181*VLOOKUP('Données projet'!$B$12,Paramètres!$A$1:$I$89,3,0)*0.475*44/12</f>
        <v>1.0737891072107251E-12</v>
      </c>
      <c r="CN181" s="22">
        <f t="shared" si="172"/>
        <v>11.478060710372855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-3.979039320256561E-13</v>
      </c>
      <c r="CU181" s="17">
        <f>CT181*VLOOKUP('Données projet'!$B$13,Paramètres!$A$1:$I$89,3,0)*VLOOKUP('Données projet'!$B$13,Paramètres!$A$1:$I$89,5,0)</f>
        <v>-1.9139179130434059E-13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303.76035885073708</v>
      </c>
      <c r="CZ181" s="59">
        <f t="shared" si="150"/>
        <v>127.43112562890414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67.683389855888436</v>
      </c>
      <c r="DG181" s="21">
        <f>EXP(-LN(2)/25)*DG180+(1-EXP(-LN(2)/25))/(LN(2)/25)*Calculateur!DB181*Calculateur!DD181*VLOOKUP('Données projet'!$B$13,Paramètres!$A$1:$I$89,3,0)*0.475*44/12</f>
        <v>23.583104424290894</v>
      </c>
      <c r="DH181" s="21">
        <f>EXP(-LN(2)/2)*DH180+(1-EXP(-LN(2)/2))/(LN(2)/2)*DB181*DE181*VLOOKUP('Données projet'!$B$13,Paramètres!$A$1:$I$89,3,0)*0.475*44/12</f>
        <v>0.23352439939315589</v>
      </c>
      <c r="DI181" s="22">
        <f t="shared" si="175"/>
        <v>91.500018679572491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5.6843418860808015E-14</v>
      </c>
      <c r="DP181" s="17">
        <f>DO181*VLOOKUP('Données projet'!$B$14,Paramètres!$A$1:$I$89,3,0)*VLOOKUP('Données projet'!$B$14,Paramètres!$A$1:$I$89,5,0)</f>
        <v>3.2810021366458389E-14</v>
      </c>
      <c r="DQ181" s="13">
        <f t="shared" si="176"/>
        <v>5.6117125884464641E-13</v>
      </c>
      <c r="DR181" s="20">
        <f t="shared" si="177"/>
        <v>1.0345173963676741E-12</v>
      </c>
      <c r="DS181" s="59">
        <f t="shared" si="125"/>
        <v>289.26530351148119</v>
      </c>
      <c r="DT181" s="59">
        <f ca="1">AVERAGE(OFFSET($DS$3,0,0,'Données projet'!$E$14+1,1))-AVERAGE(OFFSET($H$3,0,0,'Données projet'!$E$14+1,1))</f>
        <v>243.65374431792841</v>
      </c>
      <c r="DU181" s="59">
        <f t="shared" si="152"/>
        <v>271.60754570002939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5.7524645148137674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5.7524645148137674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-4.5474735088646412E-13</v>
      </c>
      <c r="EK181" s="17">
        <f>EJ181*VLOOKUP('Données projet'!$B$15,Paramètres!$A$1:$I$89,3,0)*VLOOKUP('Données projet'!$B$15,Paramètres!$A$1:$I$89,5,0)</f>
        <v>-3.0504452297464016E-13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321.44781099085594</v>
      </c>
      <c r="EP181" s="59">
        <f t="shared" si="154"/>
        <v>201.22243186578183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36.0386627590308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36.0386627590308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2.8421709430404007E-14</v>
      </c>
      <c r="FF181" s="17">
        <f>FE181*VLOOKUP('Données projet'!$B$16,Paramètres!$A$1:$I$89,3,0)*VLOOKUP('Données projet'!$B$16,Paramètres!$A$1:$I$89,5,0)</f>
        <v>2.4829205358400945E-14</v>
      </c>
      <c r="FG181" s="13">
        <f t="shared" si="182"/>
        <v>4.3867331143352915E-13</v>
      </c>
      <c r="FH181" s="20">
        <f t="shared" si="183"/>
        <v>8.0726688341261168E-13</v>
      </c>
      <c r="FI181" s="59">
        <f t="shared" si="131"/>
        <v>289.26530351148097</v>
      </c>
      <c r="FJ181" s="59">
        <f ca="1">AVERAGE(OFFSET($FI$3,0,0,'Données projet'!$E$16+1,1))-AVERAGE(OFFSET($H$3,0,0,'Données projet'!$E$16+1,1))</f>
        <v>285.8437404763045</v>
      </c>
      <c r="FK181" s="59">
        <f t="shared" si="156"/>
        <v>276.01618888357268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11.394467336703213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11.394467336703213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-1.7053025658242404E-13</v>
      </c>
      <c r="GA181" s="17">
        <f>FZ181*VLOOKUP('Données projet'!$B$17,Paramètres!$A$1:$I$89,3,0)*VLOOKUP('Données projet'!$B$17,Paramètres!$A$1:$I$89,5,0)</f>
        <v>-1.3567387213697657E-13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323.01113210765487</v>
      </c>
      <c r="GF181" s="59">
        <f t="shared" si="158"/>
        <v>311.68541696405975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13.08032279075854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13.08032279075854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2.8421709430404007E-14</v>
      </c>
      <c r="GV181" s="17">
        <f>GU181*VLOOKUP('Données projet'!$B$18,Paramètres!$A$1:$I$89,3,0)*VLOOKUP('Données projet'!$B$18,Paramètres!$A$1:$I$89,5,0)</f>
        <v>2.4829205358400945E-14</v>
      </c>
      <c r="GW181" s="13">
        <f t="shared" si="188"/>
        <v>4.3867331143352915E-13</v>
      </c>
      <c r="GX181" s="20">
        <f t="shared" si="189"/>
        <v>8.0726688341261168E-13</v>
      </c>
      <c r="GY181" s="59">
        <f t="shared" si="137"/>
        <v>289.26530351148097</v>
      </c>
      <c r="GZ181" s="59">
        <f ca="1">AVERAGE(OFFSET($GY$3,0,0,'Données projet'!$E$18+1,1))-AVERAGE(OFFSET($H$3,0,0,'Données projet'!$E$18+1,1))</f>
        <v>285.8437404763045</v>
      </c>
      <c r="HA181" s="59">
        <f t="shared" si="160"/>
        <v>276.01618888357268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11.394467336703213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11.394467336703213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-1.0286385077051818E-13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315.34103933739129</v>
      </c>
      <c r="T182" s="59">
        <f t="shared" si="142"/>
        <v>165.80901858372513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31.491648467615537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31.491648467615537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-2.0395418687257919E-13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317.328615425664</v>
      </c>
      <c r="AO182" s="59">
        <f t="shared" si="144"/>
        <v>324.95872842255744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16.628562206963384</v>
      </c>
      <c r="AV182" s="21">
        <f>EXP(-LN(2)/25)*AV181+(1-EXP(-LN(2)/25))/(LN(2)/25)*Calculateur!AQ182*Calculateur!AS182*VLOOKUP('Données projet'!$B$10,Paramètres!$A$1:$I$89,3,0)*0.475*44/12</f>
        <v>1.2488691002679739</v>
      </c>
      <c r="AW182" s="21">
        <f>EXP(-LN(2)/2)*AW181+(1-EXP(-LN(2)/2))/(LN(2)/2)*AQ182*AT182*VLOOKUP('Données projet'!$B$10,Paramètres!$A$1:$I$89,3,0)*0.475*44/12</f>
        <v>3.2993119288809649E-17</v>
      </c>
      <c r="AX182" s="21">
        <f t="shared" si="166"/>
        <v>17.877431307231358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-6.5483618527650828E-14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418.31716673276725</v>
      </c>
      <c r="BJ182" s="59">
        <f t="shared" si="146"/>
        <v>472.37891533957929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12.973183824410139</v>
      </c>
      <c r="BQ182" s="21">
        <f>EXP(-LN(2)/25)*BQ181+(1-EXP(-LN(2)/25))/(LN(2)/25)*Calculateur!BL182*Calculateur!BN182*VLOOKUP('Données projet'!$B$11,Paramètres!$A$1:$I$89,3,0)*0.475*44/12</f>
        <v>1.1392379694742405</v>
      </c>
      <c r="BR182" s="21">
        <f>EXP(-LN(2)/2)*BR181+(1-EXP(-LN(2)/2))/(LN(2)/2)*BL182*BO182*VLOOKUP('Données projet'!$B$11,Paramètres!$A$1:$I$89,3,0)*0.475*44/12</f>
        <v>5.1172045110875247E-17</v>
      </c>
      <c r="BS182" s="22">
        <f t="shared" si="169"/>
        <v>14.11242179388438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1.1368683772161603E-13</v>
      </c>
      <c r="BZ182" s="13">
        <f>BY182*VLOOKUP('Données projet'!$B$12,Paramètres!$A$1:$I$89,3,0)*VLOOKUP('Données projet'!$B$12,Paramètres!$A$1:$I$89,5,0)</f>
        <v>6.6506800067145386E-14</v>
      </c>
      <c r="CA182" s="13">
        <f t="shared" si="170"/>
        <v>1.0476989505385114E-12</v>
      </c>
      <c r="CB182" s="20">
        <f t="shared" si="171"/>
        <v>1.9405750156381857E-12</v>
      </c>
      <c r="CC182" s="59">
        <f t="shared" si="119"/>
        <v>289.33587473413905</v>
      </c>
      <c r="CD182" s="59">
        <f ca="1">AVERAGE(OFFSET($CC$3,0,0,'Données projet'!$E$12+1,1))-AVERAGE(OFFSET($H$3,0,0,'Données projet'!$E$12+1,1))</f>
        <v>184.11352167663844</v>
      </c>
      <c r="CE182" s="59">
        <f t="shared" si="148"/>
        <v>145.86653500981791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9.4310462556103012</v>
      </c>
      <c r="CL182" s="21">
        <f>EXP(-LN(2)/25)*CL181+(1-EXP(-LN(2)/25))/(LN(2)/25)*Calculateur!CG182*Calculateur!CI182*VLOOKUP('Données projet'!$B$12,Paramètres!$A$1:$I$89,3,0)*0.475*44/12</f>
        <v>1.8075608973841577</v>
      </c>
      <c r="CM182" s="21">
        <f>EXP(-LN(2)/2)*CM181+(1-EXP(-LN(2)/2))/(LN(2)/2)*CG182*CJ182*VLOOKUP('Données projet'!$B$12,Paramètres!$A$1:$I$89,3,0)*0.475*44/12</f>
        <v>7.5928355927295246E-13</v>
      </c>
      <c r="CN182" s="22">
        <f t="shared" si="172"/>
        <v>11.238607152995217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-3.979039320256561E-13</v>
      </c>
      <c r="CU182" s="17">
        <f>CT182*VLOOKUP('Données projet'!$B$13,Paramètres!$A$1:$I$89,3,0)*VLOOKUP('Données projet'!$B$13,Paramètres!$A$1:$I$89,5,0)</f>
        <v>-1.9139179130434059E-13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303.76035885073708</v>
      </c>
      <c r="CZ182" s="59">
        <f t="shared" si="150"/>
        <v>127.43112562890414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66.356159863605939</v>
      </c>
      <c r="DG182" s="21">
        <f>EXP(-LN(2)/25)*DG181+(1-EXP(-LN(2)/25))/(LN(2)/25)*Calculateur!DB182*Calculateur!DD182*VLOOKUP('Données projet'!$B$13,Paramètres!$A$1:$I$89,3,0)*0.475*44/12</f>
        <v>22.938223193627099</v>
      </c>
      <c r="DH182" s="21">
        <f>EXP(-LN(2)/2)*DH181+(1-EXP(-LN(2)/2))/(LN(2)/2)*DB182*DE182*VLOOKUP('Données projet'!$B$13,Paramètres!$A$1:$I$89,3,0)*0.475*44/12</f>
        <v>0.16512668638341624</v>
      </c>
      <c r="DI182" s="22">
        <f t="shared" si="175"/>
        <v>89.459509743616451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5.6843418860808015E-14</v>
      </c>
      <c r="DP182" s="17">
        <f>DO182*VLOOKUP('Données projet'!$B$14,Paramètres!$A$1:$I$89,3,0)*VLOOKUP('Données projet'!$B$14,Paramètres!$A$1:$I$89,5,0)</f>
        <v>3.2810021366458389E-14</v>
      </c>
      <c r="DQ182" s="13">
        <f t="shared" si="176"/>
        <v>5.6117125884464641E-13</v>
      </c>
      <c r="DR182" s="20">
        <f t="shared" si="177"/>
        <v>1.0345173963676741E-12</v>
      </c>
      <c r="DS182" s="59">
        <f t="shared" si="125"/>
        <v>289.33587473413814</v>
      </c>
      <c r="DT182" s="59">
        <f ca="1">AVERAGE(OFFSET($DS$3,0,0,'Données projet'!$E$14+1,1))-AVERAGE(OFFSET($H$3,0,0,'Données projet'!$E$14+1,1))</f>
        <v>243.65374431792841</v>
      </c>
      <c r="DU182" s="59">
        <f t="shared" si="152"/>
        <v>271.60754570002939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5.6396621943351724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5.6396621943351724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-4.5474735088646412E-13</v>
      </c>
      <c r="EK182" s="17">
        <f>EJ182*VLOOKUP('Données projet'!$B$15,Paramètres!$A$1:$I$89,3,0)*VLOOKUP('Données projet'!$B$15,Paramètres!$A$1:$I$89,5,0)</f>
        <v>-3.0504452297464016E-13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321.44781099085594</v>
      </c>
      <c r="EP182" s="59">
        <f t="shared" si="154"/>
        <v>201.22243186578183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35.331966563740004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35.331966563740004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2.8421709430404007E-14</v>
      </c>
      <c r="FF182" s="17">
        <f>FE182*VLOOKUP('Données projet'!$B$16,Paramètres!$A$1:$I$89,3,0)*VLOOKUP('Données projet'!$B$16,Paramètres!$A$1:$I$89,5,0)</f>
        <v>2.4829205358400945E-14</v>
      </c>
      <c r="FG182" s="13">
        <f t="shared" si="182"/>
        <v>4.3867331143352915E-13</v>
      </c>
      <c r="FH182" s="20">
        <f t="shared" si="183"/>
        <v>8.0726688341261168E-13</v>
      </c>
      <c r="FI182" s="59">
        <f t="shared" si="131"/>
        <v>289.33587473413792</v>
      </c>
      <c r="FJ182" s="59">
        <f ca="1">AVERAGE(OFFSET($FI$3,0,0,'Données projet'!$E$16+1,1))-AVERAGE(OFFSET($H$3,0,0,'Données projet'!$E$16+1,1))</f>
        <v>285.8437404763045</v>
      </c>
      <c r="FK182" s="59">
        <f t="shared" si="156"/>
        <v>276.01618888357268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11.171028782169289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11.171028782169289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-1.7053025658242404E-13</v>
      </c>
      <c r="GA182" s="17">
        <f>FZ182*VLOOKUP('Données projet'!$B$17,Paramètres!$A$1:$I$89,3,0)*VLOOKUP('Données projet'!$B$17,Paramètres!$A$1:$I$89,5,0)</f>
        <v>-1.3567387213697657E-13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323.01113210765487</v>
      </c>
      <c r="GF182" s="59">
        <f t="shared" si="158"/>
        <v>311.68541696405975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12.823825639040885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12.823825639040885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2.8421709430404007E-14</v>
      </c>
      <c r="GV182" s="17">
        <f>GU182*VLOOKUP('Données projet'!$B$18,Paramètres!$A$1:$I$89,3,0)*VLOOKUP('Données projet'!$B$18,Paramètres!$A$1:$I$89,5,0)</f>
        <v>2.4829205358400945E-14</v>
      </c>
      <c r="GW182" s="13">
        <f t="shared" si="188"/>
        <v>4.3867331143352915E-13</v>
      </c>
      <c r="GX182" s="20">
        <f t="shared" si="189"/>
        <v>8.0726688341261168E-13</v>
      </c>
      <c r="GY182" s="59">
        <f t="shared" si="137"/>
        <v>289.33587473413792</v>
      </c>
      <c r="GZ182" s="59">
        <f ca="1">AVERAGE(OFFSET($GY$3,0,0,'Données projet'!$E$18+1,1))-AVERAGE(OFFSET($H$3,0,0,'Données projet'!$E$18+1,1))</f>
        <v>285.8437404763045</v>
      </c>
      <c r="HA182" s="59">
        <f t="shared" si="160"/>
        <v>276.01618888357268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11.171028782169289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11.171028782169289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-1.0286385077051818E-13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315.34103933739129</v>
      </c>
      <c r="T183" s="59">
        <f t="shared" si="142"/>
        <v>165.80901858372513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30.874116449174529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30.874116449174529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-2.0395418687257919E-13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317.328615425664</v>
      </c>
      <c r="AO183" s="59">
        <f t="shared" si="144"/>
        <v>324.95872842255744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16.302486244506298</v>
      </c>
      <c r="AV183" s="21">
        <f>EXP(-LN(2)/25)*AV182+(1-EXP(-LN(2)/25))/(LN(2)/25)*Calculateur!AQ183*Calculateur!AS183*VLOOKUP('Données projet'!$B$10,Paramètres!$A$1:$I$89,3,0)*0.475*44/12</f>
        <v>1.2147187090459746</v>
      </c>
      <c r="AW183" s="21">
        <f>EXP(-LN(2)/2)*AW182+(1-EXP(-LN(2)/2))/(LN(2)/2)*AQ183*AT183*VLOOKUP('Données projet'!$B$10,Paramètres!$A$1:$I$89,3,0)*0.475*44/12</f>
        <v>2.3329658381613986E-17</v>
      </c>
      <c r="AX183" s="21">
        <f t="shared" si="166"/>
        <v>17.517204953552273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-6.5483618527650828E-14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418.31716673276725</v>
      </c>
      <c r="BJ183" s="59">
        <f t="shared" si="146"/>
        <v>472.37891533957929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12.71878760247426</v>
      </c>
      <c r="BQ183" s="21">
        <f>EXP(-LN(2)/25)*BQ182+(1-EXP(-LN(2)/25))/(LN(2)/25)*Calculateur!BL183*Calculateur!BN183*VLOOKUP('Données projet'!$B$11,Paramètres!$A$1:$I$89,3,0)*0.475*44/12</f>
        <v>1.1080854472890462</v>
      </c>
      <c r="BR183" s="21">
        <f>EXP(-LN(2)/2)*BR182+(1-EXP(-LN(2)/2))/(LN(2)/2)*BL183*BO183*VLOOKUP('Données projet'!$B$11,Paramètres!$A$1:$I$89,3,0)*0.475*44/12</f>
        <v>3.6184100105083802E-17</v>
      </c>
      <c r="BS183" s="22">
        <f t="shared" si="169"/>
        <v>13.826873049763305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1.1368683772161603E-13</v>
      </c>
      <c r="BZ183" s="13">
        <f>BY183*VLOOKUP('Données projet'!$B$12,Paramètres!$A$1:$I$89,3,0)*VLOOKUP('Données projet'!$B$12,Paramètres!$A$1:$I$89,5,0)</f>
        <v>6.6506800067145386E-14</v>
      </c>
      <c r="CA183" s="13">
        <f t="shared" si="170"/>
        <v>1.0476989505385114E-12</v>
      </c>
      <c r="CB183" s="20">
        <f t="shared" si="171"/>
        <v>1.9405750156381857E-12</v>
      </c>
      <c r="CC183" s="59">
        <f t="shared" si="119"/>
        <v>289.40522170385657</v>
      </c>
      <c r="CD183" s="59">
        <f ca="1">AVERAGE(OFFSET($CC$3,0,0,'Données projet'!$E$12+1,1))-AVERAGE(OFFSET($H$3,0,0,'Données projet'!$E$12+1,1))</f>
        <v>184.11352167663844</v>
      </c>
      <c r="CE183" s="59">
        <f t="shared" si="148"/>
        <v>145.86653500981791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9.2461091909079993</v>
      </c>
      <c r="CL183" s="21">
        <f>EXP(-LN(2)/25)*CL182+(1-EXP(-LN(2)/25))/(LN(2)/25)*Calculateur!CG183*Calculateur!CI183*VLOOKUP('Données projet'!$B$12,Paramètres!$A$1:$I$89,3,0)*0.475*44/12</f>
        <v>1.7581330495896916</v>
      </c>
      <c r="CM183" s="21">
        <f>EXP(-LN(2)/2)*CM182+(1-EXP(-LN(2)/2))/(LN(2)/2)*CG183*CJ183*VLOOKUP('Données projet'!$B$12,Paramètres!$A$1:$I$89,3,0)*0.475*44/12</f>
        <v>5.3689455360536257E-13</v>
      </c>
      <c r="CN183" s="22">
        <f t="shared" si="172"/>
        <v>11.004242240498227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-3.979039320256561E-13</v>
      </c>
      <c r="CU183" s="17">
        <f>CT183*VLOOKUP('Données projet'!$B$13,Paramètres!$A$1:$I$89,3,0)*VLOOKUP('Données projet'!$B$13,Paramètres!$A$1:$I$89,5,0)</f>
        <v>-1.9139179130434059E-13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303.76035885073708</v>
      </c>
      <c r="CZ183" s="59">
        <f t="shared" si="150"/>
        <v>127.43112562890414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65.054956041941736</v>
      </c>
      <c r="DG183" s="21">
        <f>EXP(-LN(2)/25)*DG182+(1-EXP(-LN(2)/25))/(LN(2)/25)*Calculateur!DB183*Calculateur!DD183*VLOOKUP('Données projet'!$B$13,Paramètres!$A$1:$I$89,3,0)*0.475*44/12</f>
        <v>22.310976274128635</v>
      </c>
      <c r="DH183" s="21">
        <f>EXP(-LN(2)/2)*DH182+(1-EXP(-LN(2)/2))/(LN(2)/2)*DB183*DE183*VLOOKUP('Données projet'!$B$13,Paramètres!$A$1:$I$89,3,0)*0.475*44/12</f>
        <v>0.11676219969657797</v>
      </c>
      <c r="DI183" s="22">
        <f t="shared" si="175"/>
        <v>87.482694515766951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5.6843418860808015E-14</v>
      </c>
      <c r="DP183" s="17">
        <f>DO183*VLOOKUP('Données projet'!$B$14,Paramètres!$A$1:$I$89,3,0)*VLOOKUP('Données projet'!$B$14,Paramètres!$A$1:$I$89,5,0)</f>
        <v>3.2810021366458389E-14</v>
      </c>
      <c r="DQ183" s="13">
        <f t="shared" si="176"/>
        <v>5.6117125884464641E-13</v>
      </c>
      <c r="DR183" s="20">
        <f t="shared" si="177"/>
        <v>1.0345173963676741E-12</v>
      </c>
      <c r="DS183" s="59">
        <f t="shared" si="125"/>
        <v>289.40522170385566</v>
      </c>
      <c r="DT183" s="59">
        <f ca="1">AVERAGE(OFFSET($DS$3,0,0,'Données projet'!$E$14+1,1))-AVERAGE(OFFSET($H$3,0,0,'Données projet'!$E$14+1,1))</f>
        <v>243.65374431792841</v>
      </c>
      <c r="DU183" s="59">
        <f t="shared" si="152"/>
        <v>271.60754570002939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5.5290718585585408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5.5290718585585408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-4.5474735088646412E-13</v>
      </c>
      <c r="EK183" s="17">
        <f>EJ183*VLOOKUP('Données projet'!$B$15,Paramètres!$A$1:$I$89,3,0)*VLOOKUP('Données projet'!$B$15,Paramètres!$A$1:$I$89,5,0)</f>
        <v>-3.0504452297464016E-13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321.44781099085594</v>
      </c>
      <c r="EP183" s="59">
        <f t="shared" si="154"/>
        <v>201.22243186578183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34.639128249796741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34.639128249796741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2.8421709430404007E-14</v>
      </c>
      <c r="FF183" s="17">
        <f>FE183*VLOOKUP('Données projet'!$B$16,Paramètres!$A$1:$I$89,3,0)*VLOOKUP('Données projet'!$B$16,Paramètres!$A$1:$I$89,5,0)</f>
        <v>2.4829205358400945E-14</v>
      </c>
      <c r="FG183" s="13">
        <f t="shared" si="182"/>
        <v>4.3867331143352915E-13</v>
      </c>
      <c r="FH183" s="20">
        <f t="shared" si="183"/>
        <v>8.0726688341261168E-13</v>
      </c>
      <c r="FI183" s="59">
        <f t="shared" si="131"/>
        <v>289.40522170385543</v>
      </c>
      <c r="FJ183" s="59">
        <f ca="1">AVERAGE(OFFSET($FI$3,0,0,'Données projet'!$E$16+1,1))-AVERAGE(OFFSET($H$3,0,0,'Données projet'!$E$16+1,1))</f>
        <v>285.8437404763045</v>
      </c>
      <c r="FK183" s="59">
        <f t="shared" si="156"/>
        <v>276.01618888357268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10.951971721405714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10.951971721405714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-1.7053025658242404E-13</v>
      </c>
      <c r="GA183" s="17">
        <f>FZ183*VLOOKUP('Données projet'!$B$17,Paramètres!$A$1:$I$89,3,0)*VLOOKUP('Données projet'!$B$17,Paramètres!$A$1:$I$89,5,0)</f>
        <v>-1.3567387213697657E-13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323.01113210765487</v>
      </c>
      <c r="GF183" s="59">
        <f t="shared" si="158"/>
        <v>311.68541696405975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12.572358240020598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12.572358240020598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2.8421709430404007E-14</v>
      </c>
      <c r="GV183" s="17">
        <f>GU183*VLOOKUP('Données projet'!$B$18,Paramètres!$A$1:$I$89,3,0)*VLOOKUP('Données projet'!$B$18,Paramètres!$A$1:$I$89,5,0)</f>
        <v>2.4829205358400945E-14</v>
      </c>
      <c r="GW183" s="13">
        <f t="shared" si="188"/>
        <v>4.3867331143352915E-13</v>
      </c>
      <c r="GX183" s="20">
        <f t="shared" si="189"/>
        <v>8.0726688341261168E-13</v>
      </c>
      <c r="GY183" s="59">
        <f t="shared" si="137"/>
        <v>289.40522170385543</v>
      </c>
      <c r="GZ183" s="59">
        <f ca="1">AVERAGE(OFFSET($GY$3,0,0,'Données projet'!$E$18+1,1))-AVERAGE(OFFSET($H$3,0,0,'Données projet'!$E$18+1,1))</f>
        <v>285.8437404763045</v>
      </c>
      <c r="HA183" s="59">
        <f t="shared" si="160"/>
        <v>276.01618888357268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10.951971721405714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10.951971721405714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-1.0286385077051818E-13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315.34103933739129</v>
      </c>
      <c r="T184" s="59">
        <f t="shared" si="142"/>
        <v>165.80901858372513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30.26869385695781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30.26869385695781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-2.0395418687257919E-13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317.328615425664</v>
      </c>
      <c r="AO184" s="59">
        <f t="shared" si="144"/>
        <v>324.95872842255744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15.982804432786295</v>
      </c>
      <c r="AV184" s="21">
        <f>EXP(-LN(2)/25)*AV183+(1-EXP(-LN(2)/25))/(LN(2)/25)*Calculateur!AQ184*Calculateur!AS184*VLOOKUP('Données projet'!$B$10,Paramètres!$A$1:$I$89,3,0)*0.475*44/12</f>
        <v>1.1815021620678317</v>
      </c>
      <c r="AW184" s="21">
        <f>EXP(-LN(2)/2)*AW183+(1-EXP(-LN(2)/2))/(LN(2)/2)*AQ184*AT184*VLOOKUP('Données projet'!$B$10,Paramètres!$A$1:$I$89,3,0)*0.475*44/12</f>
        <v>1.6496559644404825E-17</v>
      </c>
      <c r="AX184" s="21">
        <f t="shared" si="166"/>
        <v>17.164306594854128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-6.5483618527650828E-14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418.31716673276725</v>
      </c>
      <c r="BJ184" s="59">
        <f t="shared" si="146"/>
        <v>472.37891533957929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12.469379935284168</v>
      </c>
      <c r="BQ184" s="21">
        <f>EXP(-LN(2)/25)*BQ183+(1-EXP(-LN(2)/25))/(LN(2)/25)*Calculateur!BL184*Calculateur!BN184*VLOOKUP('Données projet'!$B$11,Paramètres!$A$1:$I$89,3,0)*0.475*44/12</f>
        <v>1.0777847924612463</v>
      </c>
      <c r="BR184" s="21">
        <f>EXP(-LN(2)/2)*BR183+(1-EXP(-LN(2)/2))/(LN(2)/2)*BL184*BO184*VLOOKUP('Données projet'!$B$11,Paramètres!$A$1:$I$89,3,0)*0.475*44/12</f>
        <v>2.5586022555437624E-17</v>
      </c>
      <c r="BS184" s="22">
        <f t="shared" si="169"/>
        <v>13.547164727745415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1.1368683772161603E-13</v>
      </c>
      <c r="BZ184" s="13">
        <f>BY184*VLOOKUP('Données projet'!$B$12,Paramètres!$A$1:$I$89,3,0)*VLOOKUP('Données projet'!$B$12,Paramètres!$A$1:$I$89,5,0)</f>
        <v>6.6506800067145386E-14</v>
      </c>
      <c r="CA184" s="13">
        <f t="shared" si="170"/>
        <v>1.0476989505385114E-12</v>
      </c>
      <c r="CB184" s="20">
        <f t="shared" si="171"/>
        <v>1.9405750156381857E-12</v>
      </c>
      <c r="CC184" s="59">
        <f t="shared" si="119"/>
        <v>289.47336565868602</v>
      </c>
      <c r="CD184" s="59">
        <f ca="1">AVERAGE(OFFSET($CC$3,0,0,'Données projet'!$E$12+1,1))-AVERAGE(OFFSET($H$3,0,0,'Données projet'!$E$12+1,1))</f>
        <v>184.11352167663844</v>
      </c>
      <c r="CE184" s="59">
        <f t="shared" si="148"/>
        <v>145.86653500981791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9.0647986292440379</v>
      </c>
      <c r="CL184" s="21">
        <f>EXP(-LN(2)/25)*CL183+(1-EXP(-LN(2)/25))/(LN(2)/25)*Calculateur!CG184*Calculateur!CI184*VLOOKUP('Données projet'!$B$12,Paramètres!$A$1:$I$89,3,0)*0.475*44/12</f>
        <v>1.7100568088924628</v>
      </c>
      <c r="CM184" s="21">
        <f>EXP(-LN(2)/2)*CM183+(1-EXP(-LN(2)/2))/(LN(2)/2)*CG184*CJ184*VLOOKUP('Données projet'!$B$12,Paramètres!$A$1:$I$89,3,0)*0.475*44/12</f>
        <v>3.7964177963647623E-13</v>
      </c>
      <c r="CN184" s="22">
        <f t="shared" si="172"/>
        <v>10.77485543813688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-3.979039320256561E-13</v>
      </c>
      <c r="CU184" s="17">
        <f>CT184*VLOOKUP('Données projet'!$B$13,Paramètres!$A$1:$I$89,3,0)*VLOOKUP('Données projet'!$B$13,Paramètres!$A$1:$I$89,5,0)</f>
        <v>-1.9139179130434059E-13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303.76035885073708</v>
      </c>
      <c r="CZ184" s="59">
        <f t="shared" si="150"/>
        <v>127.43112562890414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63.779268033564406</v>
      </c>
      <c r="DG184" s="21">
        <f>EXP(-LN(2)/25)*DG183+(1-EXP(-LN(2)/25))/(LN(2)/25)*Calculateur!DB184*Calculateur!DD184*VLOOKUP('Données projet'!$B$13,Paramètres!$A$1:$I$89,3,0)*0.475*44/12</f>
        <v>21.700881454629336</v>
      </c>
      <c r="DH184" s="21">
        <f>EXP(-LN(2)/2)*DH183+(1-EXP(-LN(2)/2))/(LN(2)/2)*DB184*DE184*VLOOKUP('Données projet'!$B$13,Paramètres!$A$1:$I$89,3,0)*0.475*44/12</f>
        <v>8.2563343191708133E-2</v>
      </c>
      <c r="DI184" s="22">
        <f t="shared" si="175"/>
        <v>85.562712831385454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5.6843418860808015E-14</v>
      </c>
      <c r="DP184" s="17">
        <f>DO184*VLOOKUP('Données projet'!$B$14,Paramètres!$A$1:$I$89,3,0)*VLOOKUP('Données projet'!$B$14,Paramètres!$A$1:$I$89,5,0)</f>
        <v>3.2810021366458389E-14</v>
      </c>
      <c r="DQ184" s="13">
        <f t="shared" si="176"/>
        <v>5.6117125884464641E-13</v>
      </c>
      <c r="DR184" s="20">
        <f t="shared" si="177"/>
        <v>1.0345173963676741E-12</v>
      </c>
      <c r="DS184" s="59">
        <f t="shared" si="125"/>
        <v>289.47336565868511</v>
      </c>
      <c r="DT184" s="59">
        <f ca="1">AVERAGE(OFFSET($DS$3,0,0,'Données projet'!$E$14+1,1))-AVERAGE(OFFSET($H$3,0,0,'Données projet'!$E$14+1,1))</f>
        <v>243.65374431792841</v>
      </c>
      <c r="DU184" s="59">
        <f t="shared" si="152"/>
        <v>271.60754570002939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5.4206501318130442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5.4206501318130442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-4.5474735088646412E-13</v>
      </c>
      <c r="EK184" s="17">
        <f>EJ184*VLOOKUP('Données projet'!$B$15,Paramètres!$A$1:$I$89,3,0)*VLOOKUP('Données projet'!$B$15,Paramètres!$A$1:$I$89,5,0)</f>
        <v>-3.0504452297464016E-13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321.44781099085594</v>
      </c>
      <c r="EP184" s="59">
        <f t="shared" si="154"/>
        <v>201.22243186578183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33.959876072600267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33.959876072600267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2.8421709430404007E-14</v>
      </c>
      <c r="FF184" s="17">
        <f>FE184*VLOOKUP('Données projet'!$B$16,Paramètres!$A$1:$I$89,3,0)*VLOOKUP('Données projet'!$B$16,Paramètres!$A$1:$I$89,5,0)</f>
        <v>2.4829205358400945E-14</v>
      </c>
      <c r="FG184" s="13">
        <f t="shared" si="182"/>
        <v>4.3867331143352915E-13</v>
      </c>
      <c r="FH184" s="20">
        <f t="shared" si="183"/>
        <v>8.0726688341261168E-13</v>
      </c>
      <c r="FI184" s="59">
        <f t="shared" si="131"/>
        <v>289.47336565868488</v>
      </c>
      <c r="FJ184" s="59">
        <f ca="1">AVERAGE(OFFSET($FI$3,0,0,'Données projet'!$E$16+1,1))-AVERAGE(OFFSET($H$3,0,0,'Données projet'!$E$16+1,1))</f>
        <v>285.8437404763045</v>
      </c>
      <c r="FK184" s="59">
        <f t="shared" si="156"/>
        <v>276.01618888357268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10.737210235992098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10.737210235992098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-1.7053025658242404E-13</v>
      </c>
      <c r="GA184" s="17">
        <f>FZ184*VLOOKUP('Données projet'!$B$17,Paramètres!$A$1:$I$89,3,0)*VLOOKUP('Données projet'!$B$17,Paramètres!$A$1:$I$89,5,0)</f>
        <v>-1.3567387213697657E-13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323.01113210765487</v>
      </c>
      <c r="GF184" s="59">
        <f t="shared" si="158"/>
        <v>311.68541696405975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12.325821963315132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12.325821963315132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2.8421709430404007E-14</v>
      </c>
      <c r="GV184" s="17">
        <f>GU184*VLOOKUP('Données projet'!$B$18,Paramètres!$A$1:$I$89,3,0)*VLOOKUP('Données projet'!$B$18,Paramètres!$A$1:$I$89,5,0)</f>
        <v>2.4829205358400945E-14</v>
      </c>
      <c r="GW184" s="13">
        <f t="shared" si="188"/>
        <v>4.3867331143352915E-13</v>
      </c>
      <c r="GX184" s="20">
        <f t="shared" si="189"/>
        <v>8.0726688341261168E-13</v>
      </c>
      <c r="GY184" s="59">
        <f t="shared" si="137"/>
        <v>289.47336565868488</v>
      </c>
      <c r="GZ184" s="59">
        <f ca="1">AVERAGE(OFFSET($GY$3,0,0,'Données projet'!$E$18+1,1))-AVERAGE(OFFSET($H$3,0,0,'Données projet'!$E$18+1,1))</f>
        <v>285.8437404763045</v>
      </c>
      <c r="HA184" s="59">
        <f t="shared" si="160"/>
        <v>276.01618888357268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10.737210235992098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10.737210235992098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-1.0286385077051818E-13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315.34103933739129</v>
      </c>
      <c r="T185" s="59">
        <f t="shared" si="142"/>
        <v>165.80901858372513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29.675143232503142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29.675143232503142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-2.0395418687257919E-13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317.328615425664</v>
      </c>
      <c r="AO185" s="59">
        <f t="shared" si="144"/>
        <v>324.95872842255744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15.669391386407471</v>
      </c>
      <c r="AV185" s="21">
        <f>EXP(-LN(2)/25)*AV184+(1-EXP(-LN(2)/25))/(LN(2)/25)*Calculateur!AQ185*Calculateur!AS185*VLOOKUP('Données projet'!$B$10,Paramètres!$A$1:$I$89,3,0)*0.475*44/12</f>
        <v>1.1491939233135884</v>
      </c>
      <c r="AW185" s="21">
        <f>EXP(-LN(2)/2)*AW184+(1-EXP(-LN(2)/2))/(LN(2)/2)*AQ185*AT185*VLOOKUP('Données projet'!$B$10,Paramètres!$A$1:$I$89,3,0)*0.475*44/12</f>
        <v>1.1664829190806993E-17</v>
      </c>
      <c r="AX185" s="21">
        <f t="shared" si="166"/>
        <v>16.818585309721058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-6.5483618527650828E-14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418.31716673276725</v>
      </c>
      <c r="BJ185" s="59">
        <f t="shared" si="146"/>
        <v>472.37891533957929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12.224863000324019</v>
      </c>
      <c r="BQ185" s="21">
        <f>EXP(-LN(2)/25)*BQ184+(1-EXP(-LN(2)/25))/(LN(2)/25)*Calculateur!BL185*Calculateur!BN185*VLOOKUP('Données projet'!$B$11,Paramètres!$A$1:$I$89,3,0)*0.475*44/12</f>
        <v>1.0483127106331545</v>
      </c>
      <c r="BR185" s="21">
        <f>EXP(-LN(2)/2)*BR184+(1-EXP(-LN(2)/2))/(LN(2)/2)*BL185*BO185*VLOOKUP('Données projet'!$B$11,Paramètres!$A$1:$I$89,3,0)*0.475*44/12</f>
        <v>1.8092050052541901E-17</v>
      </c>
      <c r="BS185" s="22">
        <f t="shared" si="169"/>
        <v>13.273175710957174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1.1368683772161603E-13</v>
      </c>
      <c r="BZ185" s="13">
        <f>BY185*VLOOKUP('Données projet'!$B$12,Paramètres!$A$1:$I$89,3,0)*VLOOKUP('Données projet'!$B$12,Paramètres!$A$1:$I$89,5,0)</f>
        <v>6.6506800067145386E-14</v>
      </c>
      <c r="CA185" s="13">
        <f t="shared" si="170"/>
        <v>1.0476989505385114E-12</v>
      </c>
      <c r="CB185" s="20">
        <f t="shared" si="171"/>
        <v>1.9405750156381857E-12</v>
      </c>
      <c r="CC185" s="59">
        <f t="shared" si="119"/>
        <v>289.54032746824635</v>
      </c>
      <c r="CD185" s="59">
        <f ca="1">AVERAGE(OFFSET($CC$3,0,0,'Données projet'!$E$12+1,1))-AVERAGE(OFFSET($H$3,0,0,'Données projet'!$E$12+1,1))</f>
        <v>184.11352167663844</v>
      </c>
      <c r="CE185" s="59">
        <f t="shared" si="148"/>
        <v>145.86653500981791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8.8870434571057846</v>
      </c>
      <c r="CL185" s="21">
        <f>EXP(-LN(2)/25)*CL184+(1-EXP(-LN(2)/25))/(LN(2)/25)*Calculateur!CG185*Calculateur!CI185*VLOOKUP('Données projet'!$B$12,Paramètres!$A$1:$I$89,3,0)*0.475*44/12</f>
        <v>1.6632952155253191</v>
      </c>
      <c r="CM185" s="21">
        <f>EXP(-LN(2)/2)*CM184+(1-EXP(-LN(2)/2))/(LN(2)/2)*CG185*CJ185*VLOOKUP('Données projet'!$B$12,Paramètres!$A$1:$I$89,3,0)*0.475*44/12</f>
        <v>2.6844727680268129E-13</v>
      </c>
      <c r="CN185" s="22">
        <f t="shared" si="172"/>
        <v>10.550338672631371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-3.979039320256561E-13</v>
      </c>
      <c r="CU185" s="17">
        <f>CT185*VLOOKUP('Données projet'!$B$13,Paramètres!$A$1:$I$89,3,0)*VLOOKUP('Données projet'!$B$13,Paramètres!$A$1:$I$89,5,0)</f>
        <v>-1.9139179130434059E-13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303.76035885073708</v>
      </c>
      <c r="CZ185" s="59">
        <f t="shared" si="150"/>
        <v>127.43112562890414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62.528595488938507</v>
      </c>
      <c r="DG185" s="21">
        <f>EXP(-LN(2)/25)*DG184+(1-EXP(-LN(2)/25))/(LN(2)/25)*Calculateur!DB185*Calculateur!DD185*VLOOKUP('Données projet'!$B$13,Paramètres!$A$1:$I$89,3,0)*0.475*44/12</f>
        <v>21.10746971005274</v>
      </c>
      <c r="DH185" s="21">
        <f>EXP(-LN(2)/2)*DH184+(1-EXP(-LN(2)/2))/(LN(2)/2)*DB185*DE185*VLOOKUP('Données projet'!$B$13,Paramètres!$A$1:$I$89,3,0)*0.475*44/12</f>
        <v>5.8381099848288993E-2</v>
      </c>
      <c r="DI185" s="22">
        <f t="shared" si="175"/>
        <v>83.694446298839537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5.6843418860808015E-14</v>
      </c>
      <c r="DP185" s="17">
        <f>DO185*VLOOKUP('Données projet'!$B$14,Paramètres!$A$1:$I$89,3,0)*VLOOKUP('Données projet'!$B$14,Paramètres!$A$1:$I$89,5,0)</f>
        <v>3.2810021366458389E-14</v>
      </c>
      <c r="DQ185" s="13">
        <f t="shared" si="176"/>
        <v>5.6117125884464641E-13</v>
      </c>
      <c r="DR185" s="20">
        <f t="shared" si="177"/>
        <v>1.0345173963676741E-12</v>
      </c>
      <c r="DS185" s="59">
        <f t="shared" si="125"/>
        <v>289.54032746824544</v>
      </c>
      <c r="DT185" s="59">
        <f ca="1">AVERAGE(OFFSET($DS$3,0,0,'Données projet'!$E$14+1,1))-AVERAGE(OFFSET($H$3,0,0,'Données projet'!$E$14+1,1))</f>
        <v>243.65374431792841</v>
      </c>
      <c r="DU185" s="59">
        <f t="shared" si="152"/>
        <v>271.60754570002939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5.3143544889983039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5.3143544889983039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-4.5474735088646412E-13</v>
      </c>
      <c r="EK185" s="17">
        <f>EJ185*VLOOKUP('Données projet'!$B$15,Paramètres!$A$1:$I$89,3,0)*VLOOKUP('Données projet'!$B$15,Paramètres!$A$1:$I$89,5,0)</f>
        <v>-3.0504452297464016E-13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321.44781099085594</v>
      </c>
      <c r="EP185" s="59">
        <f t="shared" si="154"/>
        <v>201.22243186578183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33.293943616295692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33.293943616295692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2.8421709430404007E-14</v>
      </c>
      <c r="FF185" s="17">
        <f>FE185*VLOOKUP('Données projet'!$B$16,Paramètres!$A$1:$I$89,3,0)*VLOOKUP('Données projet'!$B$16,Paramètres!$A$1:$I$89,5,0)</f>
        <v>2.4829205358400945E-14</v>
      </c>
      <c r="FG185" s="13">
        <f t="shared" si="182"/>
        <v>4.3867331143352915E-13</v>
      </c>
      <c r="FH185" s="20">
        <f t="shared" si="183"/>
        <v>8.0726688341261168E-13</v>
      </c>
      <c r="FI185" s="59">
        <f t="shared" si="131"/>
        <v>289.54032746824521</v>
      </c>
      <c r="FJ185" s="59">
        <f ca="1">AVERAGE(OFFSET($FI$3,0,0,'Données projet'!$E$16+1,1))-AVERAGE(OFFSET($H$3,0,0,'Données projet'!$E$16+1,1))</f>
        <v>285.8437404763045</v>
      </c>
      <c r="FK185" s="59">
        <f t="shared" si="156"/>
        <v>276.01618888357268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10.526660092315872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10.526660092315872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-1.7053025658242404E-13</v>
      </c>
      <c r="GA185" s="17">
        <f>FZ185*VLOOKUP('Données projet'!$B$17,Paramètres!$A$1:$I$89,3,0)*VLOOKUP('Données projet'!$B$17,Paramètres!$A$1:$I$89,5,0)</f>
        <v>-1.3567387213697657E-13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323.01113210765487</v>
      </c>
      <c r="GF185" s="59">
        <f t="shared" si="158"/>
        <v>311.68541696405975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12.084120112623578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12.084120112623578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2.8421709430404007E-14</v>
      </c>
      <c r="GV185" s="17">
        <f>GU185*VLOOKUP('Données projet'!$B$18,Paramètres!$A$1:$I$89,3,0)*VLOOKUP('Données projet'!$B$18,Paramètres!$A$1:$I$89,5,0)</f>
        <v>2.4829205358400945E-14</v>
      </c>
      <c r="GW185" s="13">
        <f t="shared" si="188"/>
        <v>4.3867331143352915E-13</v>
      </c>
      <c r="GX185" s="20">
        <f t="shared" si="189"/>
        <v>8.0726688341261168E-13</v>
      </c>
      <c r="GY185" s="59">
        <f t="shared" si="137"/>
        <v>289.54032746824521</v>
      </c>
      <c r="GZ185" s="59">
        <f ca="1">AVERAGE(OFFSET($GY$3,0,0,'Données projet'!$E$18+1,1))-AVERAGE(OFFSET($H$3,0,0,'Données projet'!$E$18+1,1))</f>
        <v>285.8437404763045</v>
      </c>
      <c r="HA185" s="59">
        <f t="shared" si="160"/>
        <v>276.01618888357268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10.526660092315872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10.526660092315872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-1.0286385077051818E-13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315.34103933739129</v>
      </c>
      <c r="T186" s="59">
        <f t="shared" si="142"/>
        <v>165.80901858372513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29.093231773763897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29.093231773763897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-2.0395418687257919E-13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317.328615425664</v>
      </c>
      <c r="AO186" s="59">
        <f t="shared" si="144"/>
        <v>324.95872842255744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15.362124178705052</v>
      </c>
      <c r="AV186" s="21">
        <f>EXP(-LN(2)/25)*AV185+(1-EXP(-LN(2)/25))/(LN(2)/25)*Calculateur!AQ186*Calculateur!AS186*VLOOKUP('Données projet'!$B$10,Paramètres!$A$1:$I$89,3,0)*0.475*44/12</f>
        <v>1.1177691550470965</v>
      </c>
      <c r="AW186" s="21">
        <f>EXP(-LN(2)/2)*AW185+(1-EXP(-LN(2)/2))/(LN(2)/2)*AQ186*AT186*VLOOKUP('Données projet'!$B$10,Paramètres!$A$1:$I$89,3,0)*0.475*44/12</f>
        <v>8.2482798222024123E-18</v>
      </c>
      <c r="AX186" s="21">
        <f t="shared" si="166"/>
        <v>16.479893333752148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-6.5483618527650828E-14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418.31716673276725</v>
      </c>
      <c r="BJ186" s="59">
        <f t="shared" si="146"/>
        <v>472.37891533957929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11.985140893317833</v>
      </c>
      <c r="BQ186" s="21">
        <f>EXP(-LN(2)/25)*BQ185+(1-EXP(-LN(2)/25))/(LN(2)/25)*Calculateur!BL186*Calculateur!BN186*VLOOKUP('Données projet'!$B$11,Paramètres!$A$1:$I$89,3,0)*0.475*44/12</f>
        <v>1.0196465444325213</v>
      </c>
      <c r="BR186" s="21">
        <f>EXP(-LN(2)/2)*BR185+(1-EXP(-LN(2)/2))/(LN(2)/2)*BL186*BO186*VLOOKUP('Données projet'!$B$11,Paramètres!$A$1:$I$89,3,0)*0.475*44/12</f>
        <v>1.2793011277718812E-17</v>
      </c>
      <c r="BS186" s="22">
        <f t="shared" si="169"/>
        <v>13.004787437750355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1.1368683772161603E-13</v>
      </c>
      <c r="BZ186" s="13">
        <f>BY186*VLOOKUP('Données projet'!$B$12,Paramètres!$A$1:$I$89,3,0)*VLOOKUP('Données projet'!$B$12,Paramètres!$A$1:$I$89,5,0)</f>
        <v>6.6506800067145386E-14</v>
      </c>
      <c r="CA186" s="13">
        <f t="shared" si="170"/>
        <v>1.0476989505385114E-12</v>
      </c>
      <c r="CB186" s="20">
        <f t="shared" si="171"/>
        <v>1.9405750156381857E-12</v>
      </c>
      <c r="CC186" s="59">
        <f t="shared" si="119"/>
        <v>289.60612764011489</v>
      </c>
      <c r="CD186" s="59">
        <f ca="1">AVERAGE(OFFSET($CC$3,0,0,'Données projet'!$E$12+1,1))-AVERAGE(OFFSET($H$3,0,0,'Données projet'!$E$12+1,1))</f>
        <v>184.11352167663844</v>
      </c>
      <c r="CE186" s="59">
        <f t="shared" si="148"/>
        <v>145.86653500981791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8.7127739554732138</v>
      </c>
      <c r="CL186" s="21">
        <f>EXP(-LN(2)/25)*CL185+(1-EXP(-LN(2)/25))/(LN(2)/25)*Calculateur!CG186*Calculateur!CI186*VLOOKUP('Données projet'!$B$12,Paramètres!$A$1:$I$89,3,0)*0.475*44/12</f>
        <v>1.6178123203878854</v>
      </c>
      <c r="CM186" s="21">
        <f>EXP(-LN(2)/2)*CM185+(1-EXP(-LN(2)/2))/(LN(2)/2)*CG186*CJ186*VLOOKUP('Données projet'!$B$12,Paramètres!$A$1:$I$89,3,0)*0.475*44/12</f>
        <v>1.8982088981823811E-13</v>
      </c>
      <c r="CN186" s="22">
        <f t="shared" si="172"/>
        <v>10.33058627586129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-3.979039320256561E-13</v>
      </c>
      <c r="CU186" s="17">
        <f>CT186*VLOOKUP('Données projet'!$B$13,Paramètres!$A$1:$I$89,3,0)*VLOOKUP('Données projet'!$B$13,Paramètres!$A$1:$I$89,5,0)</f>
        <v>-1.9139179130434059E-13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303.76035885073708</v>
      </c>
      <c r="CZ186" s="59">
        <f t="shared" si="150"/>
        <v>127.43112562890414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61.302447870077792</v>
      </c>
      <c r="DG186" s="21">
        <f>EXP(-LN(2)/25)*DG185+(1-EXP(-LN(2)/25))/(LN(2)/25)*Calculateur!DB186*Calculateur!DD186*VLOOKUP('Données projet'!$B$13,Paramètres!$A$1:$I$89,3,0)*0.475*44/12</f>
        <v>20.530284840837759</v>
      </c>
      <c r="DH186" s="21">
        <f>EXP(-LN(2)/2)*DH185+(1-EXP(-LN(2)/2))/(LN(2)/2)*DB186*DE186*VLOOKUP('Données projet'!$B$13,Paramètres!$A$1:$I$89,3,0)*0.475*44/12</f>
        <v>4.1281671595854073E-2</v>
      </c>
      <c r="DI186" s="22">
        <f t="shared" si="175"/>
        <v>81.874014382511405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5.6843418860808015E-14</v>
      </c>
      <c r="DP186" s="17">
        <f>DO186*VLOOKUP('Données projet'!$B$14,Paramètres!$A$1:$I$89,3,0)*VLOOKUP('Données projet'!$B$14,Paramètres!$A$1:$I$89,5,0)</f>
        <v>3.2810021366458389E-14</v>
      </c>
      <c r="DQ186" s="13">
        <f t="shared" si="176"/>
        <v>5.6117125884464641E-13</v>
      </c>
      <c r="DR186" s="20">
        <f t="shared" si="177"/>
        <v>1.0345173963676741E-12</v>
      </c>
      <c r="DS186" s="59">
        <f t="shared" si="125"/>
        <v>289.60612764011398</v>
      </c>
      <c r="DT186" s="59">
        <f ca="1">AVERAGE(OFFSET($DS$3,0,0,'Données projet'!$E$14+1,1))-AVERAGE(OFFSET($H$3,0,0,'Données projet'!$E$14+1,1))</f>
        <v>243.65374431792841</v>
      </c>
      <c r="DU186" s="59">
        <f t="shared" si="152"/>
        <v>271.60754570002939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5.2101432389052205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5.2101432389052205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-4.5474735088646412E-13</v>
      </c>
      <c r="EK186" s="17">
        <f>EJ186*VLOOKUP('Données projet'!$B$15,Paramètres!$A$1:$I$89,3,0)*VLOOKUP('Données projet'!$B$15,Paramètres!$A$1:$I$89,5,0)</f>
        <v>-3.0504452297464016E-13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321.44781099085594</v>
      </c>
      <c r="EP186" s="59">
        <f t="shared" si="154"/>
        <v>201.22243186578183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32.641069689280563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32.641069689280563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2.8421709430404007E-14</v>
      </c>
      <c r="FF186" s="17">
        <f>FE186*VLOOKUP('Données projet'!$B$16,Paramètres!$A$1:$I$89,3,0)*VLOOKUP('Données projet'!$B$16,Paramètres!$A$1:$I$89,5,0)</f>
        <v>2.4829205358400945E-14</v>
      </c>
      <c r="FG186" s="13">
        <f t="shared" si="182"/>
        <v>4.3867331143352915E-13</v>
      </c>
      <c r="FH186" s="20">
        <f t="shared" si="183"/>
        <v>8.0726688341261168E-13</v>
      </c>
      <c r="FI186" s="59">
        <f t="shared" si="131"/>
        <v>289.60612764011375</v>
      </c>
      <c r="FJ186" s="59">
        <f ca="1">AVERAGE(OFFSET($FI$3,0,0,'Données projet'!$E$16+1,1))-AVERAGE(OFFSET($H$3,0,0,'Données projet'!$E$16+1,1))</f>
        <v>285.8437404763045</v>
      </c>
      <c r="FK186" s="59">
        <f t="shared" si="156"/>
        <v>276.01618888357268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10.32023870853423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10.32023870853423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-1.7053025658242404E-13</v>
      </c>
      <c r="GA186" s="17">
        <f>FZ186*VLOOKUP('Données projet'!$B$17,Paramètres!$A$1:$I$89,3,0)*VLOOKUP('Données projet'!$B$17,Paramètres!$A$1:$I$89,5,0)</f>
        <v>-1.3567387213697657E-13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323.01113210765487</v>
      </c>
      <c r="GF186" s="59">
        <f t="shared" si="158"/>
        <v>311.68541696405975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11.847157887800513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11.847157887800513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2.8421709430404007E-14</v>
      </c>
      <c r="GV186" s="17">
        <f>GU186*VLOOKUP('Données projet'!$B$18,Paramètres!$A$1:$I$89,3,0)*VLOOKUP('Données projet'!$B$18,Paramètres!$A$1:$I$89,5,0)</f>
        <v>2.4829205358400945E-14</v>
      </c>
      <c r="GW186" s="13">
        <f t="shared" si="188"/>
        <v>4.3867331143352915E-13</v>
      </c>
      <c r="GX186" s="20">
        <f t="shared" si="189"/>
        <v>8.0726688341261168E-13</v>
      </c>
      <c r="GY186" s="59">
        <f t="shared" si="137"/>
        <v>289.60612764011375</v>
      </c>
      <c r="GZ186" s="59">
        <f ca="1">AVERAGE(OFFSET($GY$3,0,0,'Données projet'!$E$18+1,1))-AVERAGE(OFFSET($H$3,0,0,'Données projet'!$E$18+1,1))</f>
        <v>285.8437404763045</v>
      </c>
      <c r="HA186" s="59">
        <f t="shared" si="160"/>
        <v>276.01618888357268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10.32023870853423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10.32023870853423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-1.0286385077051818E-13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315.34103933739129</v>
      </c>
      <c r="T187" s="59">
        <f t="shared" si="142"/>
        <v>165.80901858372513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28.522731243799583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28.522731243799583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-2.0395418687257919E-13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317.328615425664</v>
      </c>
      <c r="AO187" s="59">
        <f t="shared" si="144"/>
        <v>324.95872842255744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15.060882293531188</v>
      </c>
      <c r="AV187" s="21">
        <f>EXP(-LN(2)/25)*AV186+(1-EXP(-LN(2)/25))/(LN(2)/25)*Calculateur!AQ187*Calculateur!AS187*VLOOKUP('Données projet'!$B$10,Paramètres!$A$1:$I$89,3,0)*0.475*44/12</f>
        <v>1.0872036987214084</v>
      </c>
      <c r="AW187" s="21">
        <f>EXP(-LN(2)/2)*AW186+(1-EXP(-LN(2)/2))/(LN(2)/2)*AQ187*AT187*VLOOKUP('Données projet'!$B$10,Paramètres!$A$1:$I$89,3,0)*0.475*44/12</f>
        <v>5.8324145954034964E-18</v>
      </c>
      <c r="AX187" s="21">
        <f t="shared" si="166"/>
        <v>16.148085992252597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-6.5483618527650828E-14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418.31716673276725</v>
      </c>
      <c r="BJ187" s="59">
        <f t="shared" si="146"/>
        <v>472.37891533957929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11.750119590613991</v>
      </c>
      <c r="BQ187" s="21">
        <f>EXP(-LN(2)/25)*BQ186+(1-EXP(-LN(2)/25))/(LN(2)/25)*Calculateur!BL187*Calculateur!BN187*VLOOKUP('Données projet'!$B$11,Paramètres!$A$1:$I$89,3,0)*0.475*44/12</f>
        <v>0.99176425605413265</v>
      </c>
      <c r="BR187" s="21">
        <f>EXP(-LN(2)/2)*BR186+(1-EXP(-LN(2)/2))/(LN(2)/2)*BL187*BO187*VLOOKUP('Données projet'!$B$11,Paramètres!$A$1:$I$89,3,0)*0.475*44/12</f>
        <v>9.0460250262709505E-18</v>
      </c>
      <c r="BS187" s="22">
        <f t="shared" si="169"/>
        <v>12.741883846668124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1.1368683772161603E-13</v>
      </c>
      <c r="BZ187" s="13">
        <f>BY187*VLOOKUP('Données projet'!$B$12,Paramètres!$A$1:$I$89,3,0)*VLOOKUP('Données projet'!$B$12,Paramètres!$A$1:$I$89,5,0)</f>
        <v>6.6506800067145386E-14</v>
      </c>
      <c r="CA187" s="13">
        <f t="shared" si="170"/>
        <v>1.0476989505385114E-12</v>
      </c>
      <c r="CB187" s="20">
        <f t="shared" si="171"/>
        <v>1.9405750156381857E-12</v>
      </c>
      <c r="CC187" s="59">
        <f t="shared" si="119"/>
        <v>289.67078632610867</v>
      </c>
      <c r="CD187" s="59">
        <f ca="1">AVERAGE(OFFSET($CC$3,0,0,'Données projet'!$E$12+1,1))-AVERAGE(OFFSET($H$3,0,0,'Données projet'!$E$12+1,1))</f>
        <v>184.11352167663844</v>
      </c>
      <c r="CE187" s="59">
        <f t="shared" si="148"/>
        <v>145.86653500981791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8.5419217724737564</v>
      </c>
      <c r="CL187" s="21">
        <f>EXP(-LN(2)/25)*CL186+(1-EXP(-LN(2)/25))/(LN(2)/25)*Calculateur!CG187*Calculateur!CI187*VLOOKUP('Données projet'!$B$12,Paramètres!$A$1:$I$89,3,0)*0.475*44/12</f>
        <v>1.5735731574098262</v>
      </c>
      <c r="CM187" s="21">
        <f>EXP(-LN(2)/2)*CM186+(1-EXP(-LN(2)/2))/(LN(2)/2)*CG187*CJ187*VLOOKUP('Données projet'!$B$12,Paramètres!$A$1:$I$89,3,0)*0.475*44/12</f>
        <v>1.3422363840134064E-13</v>
      </c>
      <c r="CN187" s="22">
        <f t="shared" si="172"/>
        <v>10.115494929883717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-3.979039320256561E-13</v>
      </c>
      <c r="CU187" s="17">
        <f>CT187*VLOOKUP('Données projet'!$B$13,Paramètres!$A$1:$I$89,3,0)*VLOOKUP('Données projet'!$B$13,Paramètres!$A$1:$I$89,5,0)</f>
        <v>-1.9139179130434059E-13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303.76035885073708</v>
      </c>
      <c r="CZ187" s="59">
        <f t="shared" si="150"/>
        <v>127.43112562890414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60.100344258146734</v>
      </c>
      <c r="DG187" s="21">
        <f>EXP(-LN(2)/25)*DG186+(1-EXP(-LN(2)/25))/(LN(2)/25)*Calculateur!DB187*Calculateur!DD187*VLOOKUP('Données projet'!$B$13,Paramètres!$A$1:$I$89,3,0)*0.475*44/12</f>
        <v>19.968883122224291</v>
      </c>
      <c r="DH187" s="21">
        <f>EXP(-LN(2)/2)*DH186+(1-EXP(-LN(2)/2))/(LN(2)/2)*DB187*DE187*VLOOKUP('Données projet'!$B$13,Paramètres!$A$1:$I$89,3,0)*0.475*44/12</f>
        <v>2.9190549924144504E-2</v>
      </c>
      <c r="DI187" s="22">
        <f t="shared" si="175"/>
        <v>80.098417930295156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5.6843418860808015E-14</v>
      </c>
      <c r="DP187" s="17">
        <f>DO187*VLOOKUP('Données projet'!$B$14,Paramètres!$A$1:$I$89,3,0)*VLOOKUP('Données projet'!$B$14,Paramètres!$A$1:$I$89,5,0)</f>
        <v>3.2810021366458389E-14</v>
      </c>
      <c r="DQ187" s="13">
        <f t="shared" si="176"/>
        <v>5.6117125884464641E-13</v>
      </c>
      <c r="DR187" s="20">
        <f t="shared" si="177"/>
        <v>1.0345173963676741E-12</v>
      </c>
      <c r="DS187" s="59">
        <f t="shared" si="125"/>
        <v>289.67078632610776</v>
      </c>
      <c r="DT187" s="59">
        <f ca="1">AVERAGE(OFFSET($DS$3,0,0,'Données projet'!$E$14+1,1))-AVERAGE(OFFSET($H$3,0,0,'Données projet'!$E$14+1,1))</f>
        <v>243.65374431792841</v>
      </c>
      <c r="DU187" s="59">
        <f t="shared" si="152"/>
        <v>271.60754570002939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5.107975507863876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5.107975507863876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-4.5474735088646412E-13</v>
      </c>
      <c r="EK187" s="17">
        <f>EJ187*VLOOKUP('Données projet'!$B$15,Paramètres!$A$1:$I$89,3,0)*VLOOKUP('Données projet'!$B$15,Paramètres!$A$1:$I$89,5,0)</f>
        <v>-3.0504452297464016E-13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321.44781099085594</v>
      </c>
      <c r="EP187" s="59">
        <f t="shared" si="154"/>
        <v>201.22243186578183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32.000998221760426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32.000998221760426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2.8421709430404007E-14</v>
      </c>
      <c r="FF187" s="17">
        <f>FE187*VLOOKUP('Données projet'!$B$16,Paramètres!$A$1:$I$89,3,0)*VLOOKUP('Données projet'!$B$16,Paramètres!$A$1:$I$89,5,0)</f>
        <v>2.4829205358400945E-14</v>
      </c>
      <c r="FG187" s="13">
        <f t="shared" si="182"/>
        <v>4.3867331143352915E-13</v>
      </c>
      <c r="FH187" s="20">
        <f t="shared" si="183"/>
        <v>8.0726688341261168E-13</v>
      </c>
      <c r="FI187" s="59">
        <f t="shared" si="131"/>
        <v>289.67078632610753</v>
      </c>
      <c r="FJ187" s="59">
        <f ca="1">AVERAGE(OFFSET($FI$3,0,0,'Données projet'!$E$16+1,1))-AVERAGE(OFFSET($H$3,0,0,'Données projet'!$E$16+1,1))</f>
        <v>285.8437404763045</v>
      </c>
      <c r="FK187" s="59">
        <f t="shared" si="156"/>
        <v>276.01618888357268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10.117865122183934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10.117865122183934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-1.7053025658242404E-13</v>
      </c>
      <c r="GA187" s="17">
        <f>FZ187*VLOOKUP('Données projet'!$B$17,Paramètres!$A$1:$I$89,3,0)*VLOOKUP('Données projet'!$B$17,Paramètres!$A$1:$I$89,5,0)</f>
        <v>-1.3567387213697657E-13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323.01113210765487</v>
      </c>
      <c r="GF187" s="59">
        <f t="shared" si="158"/>
        <v>311.68541696405975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11.614842347673543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11.614842347673543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2.8421709430404007E-14</v>
      </c>
      <c r="GV187" s="17">
        <f>GU187*VLOOKUP('Données projet'!$B$18,Paramètres!$A$1:$I$89,3,0)*VLOOKUP('Données projet'!$B$18,Paramètres!$A$1:$I$89,5,0)</f>
        <v>2.4829205358400945E-14</v>
      </c>
      <c r="GW187" s="13">
        <f t="shared" si="188"/>
        <v>4.3867331143352915E-13</v>
      </c>
      <c r="GX187" s="20">
        <f t="shared" si="189"/>
        <v>8.0726688341261168E-13</v>
      </c>
      <c r="GY187" s="59">
        <f t="shared" si="137"/>
        <v>289.67078632610753</v>
      </c>
      <c r="GZ187" s="59">
        <f ca="1">AVERAGE(OFFSET($GY$3,0,0,'Données projet'!$E$18+1,1))-AVERAGE(OFFSET($H$3,0,0,'Données projet'!$E$18+1,1))</f>
        <v>285.8437404763045</v>
      </c>
      <c r="HA187" s="59">
        <f t="shared" si="160"/>
        <v>276.01618888357268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10.117865122183934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10.117865122183934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-1.0286385077051818E-13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315.34103933739129</v>
      </c>
      <c r="T188" s="59">
        <f t="shared" si="142"/>
        <v>165.80901858372513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27.963417881256905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27.963417881256905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-2.0395418687257919E-13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317.328615425664</v>
      </c>
      <c r="AO188" s="59">
        <f t="shared" si="144"/>
        <v>324.95872842255744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14.765547577986176</v>
      </c>
      <c r="AV188" s="21">
        <f>EXP(-LN(2)/25)*AV187+(1-EXP(-LN(2)/25))/(LN(2)/25)*Calculateur!AQ188*Calculateur!AS188*VLOOKUP('Données projet'!$B$10,Paramètres!$A$1:$I$89,3,0)*0.475*44/12</f>
        <v>1.0574740564063139</v>
      </c>
      <c r="AW188" s="21">
        <f>EXP(-LN(2)/2)*AW187+(1-EXP(-LN(2)/2))/(LN(2)/2)*AQ188*AT188*VLOOKUP('Données projet'!$B$10,Paramètres!$A$1:$I$89,3,0)*0.475*44/12</f>
        <v>4.1241399111012062E-18</v>
      </c>
      <c r="AX188" s="21">
        <f t="shared" si="166"/>
        <v>15.823021634392489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-6.5483618527650828E-14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418.31716673276725</v>
      </c>
      <c r="BJ188" s="59">
        <f t="shared" si="146"/>
        <v>472.37891533957929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11.519706912307331</v>
      </c>
      <c r="BQ188" s="21">
        <f>EXP(-LN(2)/25)*BQ187+(1-EXP(-LN(2)/25))/(LN(2)/25)*Calculateur!BL188*Calculateur!BN188*VLOOKUP('Données projet'!$B$11,Paramètres!$A$1:$I$89,3,0)*0.475*44/12</f>
        <v>0.96464441031771686</v>
      </c>
      <c r="BR188" s="21">
        <f>EXP(-LN(2)/2)*BR187+(1-EXP(-LN(2)/2))/(LN(2)/2)*BL188*BO188*VLOOKUP('Données projet'!$B$11,Paramètres!$A$1:$I$89,3,0)*0.475*44/12</f>
        <v>6.3965056388594059E-18</v>
      </c>
      <c r="BS188" s="22">
        <f t="shared" si="169"/>
        <v>12.484351322625049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1.1368683772161603E-13</v>
      </c>
      <c r="BZ188" s="13">
        <f>BY188*VLOOKUP('Données projet'!$B$12,Paramètres!$A$1:$I$89,3,0)*VLOOKUP('Données projet'!$B$12,Paramètres!$A$1:$I$89,5,0)</f>
        <v>6.6506800067145386E-14</v>
      </c>
      <c r="CA188" s="13">
        <f t="shared" si="170"/>
        <v>1.0476989505385114E-12</v>
      </c>
      <c r="CB188" s="20">
        <f t="shared" si="171"/>
        <v>1.9405750156381857E-12</v>
      </c>
      <c r="CC188" s="59">
        <f t="shared" si="119"/>
        <v>289.73432332845567</v>
      </c>
      <c r="CD188" s="59">
        <f ca="1">AVERAGE(OFFSET($CC$3,0,0,'Données projet'!$E$12+1,1))-AVERAGE(OFFSET($H$3,0,0,'Données projet'!$E$12+1,1))</f>
        <v>184.11352167663844</v>
      </c>
      <c r="CE188" s="59">
        <f t="shared" si="148"/>
        <v>145.86653500981791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8.3744198965733769</v>
      </c>
      <c r="CL188" s="21">
        <f>EXP(-LN(2)/25)*CL187+(1-EXP(-LN(2)/25))/(LN(2)/25)*Calculateur!CG188*Calculateur!CI188*VLOOKUP('Données projet'!$B$12,Paramètres!$A$1:$I$89,3,0)*0.475*44/12</f>
        <v>1.5305437166698386</v>
      </c>
      <c r="CM188" s="21">
        <f>EXP(-LN(2)/2)*CM187+(1-EXP(-LN(2)/2))/(LN(2)/2)*CG188*CJ188*VLOOKUP('Données projet'!$B$12,Paramètres!$A$1:$I$89,3,0)*0.475*44/12</f>
        <v>9.4910444909119057E-14</v>
      </c>
      <c r="CN188" s="22">
        <f t="shared" si="172"/>
        <v>9.904963613243309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-3.979039320256561E-13</v>
      </c>
      <c r="CU188" s="17">
        <f>CT188*VLOOKUP('Données projet'!$B$13,Paramètres!$A$1:$I$89,3,0)*VLOOKUP('Données projet'!$B$13,Paramètres!$A$1:$I$89,5,0)</f>
        <v>-1.9139179130434059E-13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303.76035885073708</v>
      </c>
      <c r="CZ188" s="59">
        <f t="shared" si="150"/>
        <v>127.43112562890414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58.921813164834838</v>
      </c>
      <c r="DG188" s="21">
        <f>EXP(-LN(2)/25)*DG187+(1-EXP(-LN(2)/25))/(LN(2)/25)*Calculateur!DB188*Calculateur!DD188*VLOOKUP('Données projet'!$B$13,Paramètres!$A$1:$I$89,3,0)*0.475*44/12</f>
        <v>19.422832963129142</v>
      </c>
      <c r="DH188" s="21">
        <f>EXP(-LN(2)/2)*DH187+(1-EXP(-LN(2)/2))/(LN(2)/2)*DB188*DE188*VLOOKUP('Données projet'!$B$13,Paramètres!$A$1:$I$89,3,0)*0.475*44/12</f>
        <v>2.064083579792704E-2</v>
      </c>
      <c r="DI188" s="22">
        <f t="shared" si="175"/>
        <v>78.365286963761903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5.6843418860808015E-14</v>
      </c>
      <c r="DP188" s="17">
        <f>DO188*VLOOKUP('Données projet'!$B$14,Paramètres!$A$1:$I$89,3,0)*VLOOKUP('Données projet'!$B$14,Paramètres!$A$1:$I$89,5,0)</f>
        <v>3.2810021366458389E-14</v>
      </c>
      <c r="DQ188" s="13">
        <f t="shared" si="176"/>
        <v>5.6117125884464641E-13</v>
      </c>
      <c r="DR188" s="20">
        <f t="shared" si="177"/>
        <v>1.0345173963676741E-12</v>
      </c>
      <c r="DS188" s="59">
        <f t="shared" si="125"/>
        <v>289.73432332845476</v>
      </c>
      <c r="DT188" s="59">
        <f ca="1">AVERAGE(OFFSET($DS$3,0,0,'Données projet'!$E$14+1,1))-AVERAGE(OFFSET($H$3,0,0,'Données projet'!$E$14+1,1))</f>
        <v>243.65374431792841</v>
      </c>
      <c r="DU188" s="59">
        <f t="shared" si="152"/>
        <v>271.60754570002939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5.0078112237120891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5.0078112237120891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-4.5474735088646412E-13</v>
      </c>
      <c r="EK188" s="17">
        <f>EJ188*VLOOKUP('Données projet'!$B$15,Paramètres!$A$1:$I$89,3,0)*VLOOKUP('Données projet'!$B$15,Paramètres!$A$1:$I$89,5,0)</f>
        <v>-3.0504452297464016E-13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321.44781099085594</v>
      </c>
      <c r="EP188" s="59">
        <f t="shared" si="154"/>
        <v>201.22243186578183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31.373478165313308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31.373478165313308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2.8421709430404007E-14</v>
      </c>
      <c r="FF188" s="17">
        <f>FE188*VLOOKUP('Données projet'!$B$16,Paramètres!$A$1:$I$89,3,0)*VLOOKUP('Données projet'!$B$16,Paramètres!$A$1:$I$89,5,0)</f>
        <v>2.4829205358400945E-14</v>
      </c>
      <c r="FG188" s="13">
        <f t="shared" si="182"/>
        <v>4.3867331143352915E-13</v>
      </c>
      <c r="FH188" s="20">
        <f t="shared" si="183"/>
        <v>8.0726688341261168E-13</v>
      </c>
      <c r="FI188" s="59">
        <f t="shared" si="131"/>
        <v>289.73432332845454</v>
      </c>
      <c r="FJ188" s="59">
        <f ca="1">AVERAGE(OFFSET($FI$3,0,0,'Données projet'!$E$16+1,1))-AVERAGE(OFFSET($H$3,0,0,'Données projet'!$E$16+1,1))</f>
        <v>285.8437404763045</v>
      </c>
      <c r="FK188" s="59">
        <f t="shared" si="156"/>
        <v>276.01618888357268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9.9194599584262679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9.9194599584262679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-1.7053025658242404E-13</v>
      </c>
      <c r="GA188" s="17">
        <f>FZ188*VLOOKUP('Données projet'!$B$17,Paramètres!$A$1:$I$89,3,0)*VLOOKUP('Données projet'!$B$17,Paramètres!$A$1:$I$89,5,0)</f>
        <v>-1.3567387213697657E-13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323.01113210765487</v>
      </c>
      <c r="GF188" s="59">
        <f t="shared" si="158"/>
        <v>311.68541696405975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11.387082373589974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11.387082373589974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2.8421709430404007E-14</v>
      </c>
      <c r="GV188" s="17">
        <f>GU188*VLOOKUP('Données projet'!$B$18,Paramètres!$A$1:$I$89,3,0)*VLOOKUP('Données projet'!$B$18,Paramètres!$A$1:$I$89,5,0)</f>
        <v>2.4829205358400945E-14</v>
      </c>
      <c r="GW188" s="13">
        <f t="shared" si="188"/>
        <v>4.3867331143352915E-13</v>
      </c>
      <c r="GX188" s="20">
        <f t="shared" si="189"/>
        <v>8.0726688341261168E-13</v>
      </c>
      <c r="GY188" s="59">
        <f t="shared" si="137"/>
        <v>289.73432332845454</v>
      </c>
      <c r="GZ188" s="59">
        <f ca="1">AVERAGE(OFFSET($GY$3,0,0,'Données projet'!$E$18+1,1))-AVERAGE(OFFSET($H$3,0,0,'Données projet'!$E$18+1,1))</f>
        <v>285.8437404763045</v>
      </c>
      <c r="HA188" s="59">
        <f t="shared" si="160"/>
        <v>276.01618888357268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9.9194599584262679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9.9194599584262679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-1.0286385077051818E-13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315.34103933739129</v>
      </c>
      <c r="T189" s="59">
        <f t="shared" si="142"/>
        <v>165.80901858372513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27.415072312606224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27.415072312606224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-2.0395418687257919E-13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317.328615425664</v>
      </c>
      <c r="AO189" s="59">
        <f t="shared" si="144"/>
        <v>324.95872842255744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14.476004196076612</v>
      </c>
      <c r="AV189" s="21">
        <f>EXP(-LN(2)/25)*AV188+(1-EXP(-LN(2)/25))/(LN(2)/25)*Calculateur!AQ189*Calculateur!AS189*VLOOKUP('Données projet'!$B$10,Paramètres!$A$1:$I$89,3,0)*0.475*44/12</f>
        <v>1.0285573727237394</v>
      </c>
      <c r="AW189" s="21">
        <f>EXP(-LN(2)/2)*AW188+(1-EXP(-LN(2)/2))/(LN(2)/2)*AQ189*AT189*VLOOKUP('Données projet'!$B$10,Paramètres!$A$1:$I$89,3,0)*0.475*44/12</f>
        <v>2.9162072977017482E-18</v>
      </c>
      <c r="AX189" s="21">
        <f t="shared" si="166"/>
        <v>15.504561568800352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-6.5483618527650828E-14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418.31716673276725</v>
      </c>
      <c r="BJ189" s="59">
        <f t="shared" si="146"/>
        <v>472.37891533957929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11.293812486084409</v>
      </c>
      <c r="BQ189" s="21">
        <f>EXP(-LN(2)/25)*BQ188+(1-EXP(-LN(2)/25))/(LN(2)/25)*Calculateur!BL189*Calculateur!BN189*VLOOKUP('Données projet'!$B$11,Paramètres!$A$1:$I$89,3,0)*0.475*44/12</f>
        <v>0.93826615818913406</v>
      </c>
      <c r="BR189" s="21">
        <f>EXP(-LN(2)/2)*BR188+(1-EXP(-LN(2)/2))/(LN(2)/2)*BL189*BO189*VLOOKUP('Données projet'!$B$11,Paramètres!$A$1:$I$89,3,0)*0.475*44/12</f>
        <v>4.5230125131354753E-18</v>
      </c>
      <c r="BS189" s="22">
        <f t="shared" si="169"/>
        <v>12.232078644273543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1.1368683772161603E-13</v>
      </c>
      <c r="BZ189" s="13">
        <f>BY189*VLOOKUP('Données projet'!$B$12,Paramètres!$A$1:$I$89,3,0)*VLOOKUP('Données projet'!$B$12,Paramètres!$A$1:$I$89,5,0)</f>
        <v>6.6506800067145386E-14</v>
      </c>
      <c r="CA189" s="13">
        <f t="shared" si="170"/>
        <v>1.0476989505385114E-12</v>
      </c>
      <c r="CB189" s="20">
        <f t="shared" si="171"/>
        <v>1.9405750156381857E-12</v>
      </c>
      <c r="CC189" s="59">
        <f t="shared" si="119"/>
        <v>289.79675810585934</v>
      </c>
      <c r="CD189" s="59">
        <f ca="1">AVERAGE(OFFSET($CC$3,0,0,'Données projet'!$E$12+1,1))-AVERAGE(OFFSET($H$3,0,0,'Données projet'!$E$12+1,1))</f>
        <v>184.11352167663844</v>
      </c>
      <c r="CE189" s="59">
        <f t="shared" si="148"/>
        <v>145.86653500981791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8.2102026302933471</v>
      </c>
      <c r="CL189" s="21">
        <f>EXP(-LN(2)/25)*CL188+(1-EXP(-LN(2)/25))/(LN(2)/25)*Calculateur!CG189*Calculateur!CI189*VLOOKUP('Données projet'!$B$12,Paramètres!$A$1:$I$89,3,0)*0.475*44/12</f>
        <v>1.4886909182497059</v>
      </c>
      <c r="CM189" s="21">
        <f>EXP(-LN(2)/2)*CM188+(1-EXP(-LN(2)/2))/(LN(2)/2)*CG189*CJ189*VLOOKUP('Données projet'!$B$12,Paramètres!$A$1:$I$89,3,0)*0.475*44/12</f>
        <v>6.7111819200670322E-14</v>
      </c>
      <c r="CN189" s="22">
        <f t="shared" si="172"/>
        <v>9.6988935485431202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-3.979039320256561E-13</v>
      </c>
      <c r="CU189" s="17">
        <f>CT189*VLOOKUP('Données projet'!$B$13,Paramètres!$A$1:$I$89,3,0)*VLOOKUP('Données projet'!$B$13,Paramètres!$A$1:$I$89,5,0)</f>
        <v>-1.9139179130434059E-13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303.76035885073708</v>
      </c>
      <c r="CZ189" s="59">
        <f t="shared" si="150"/>
        <v>127.43112562890414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57.7663923474298</v>
      </c>
      <c r="DG189" s="21">
        <f>EXP(-LN(2)/25)*DG188+(1-EXP(-LN(2)/25))/(LN(2)/25)*Calculateur!DB189*Calculateur!DD189*VLOOKUP('Données projet'!$B$13,Paramètres!$A$1:$I$89,3,0)*0.475*44/12</f>
        <v>18.891714574349983</v>
      </c>
      <c r="DH189" s="21">
        <f>EXP(-LN(2)/2)*DH188+(1-EXP(-LN(2)/2))/(LN(2)/2)*DB189*DE189*VLOOKUP('Données projet'!$B$13,Paramètres!$A$1:$I$89,3,0)*0.475*44/12</f>
        <v>1.4595274962072254E-2</v>
      </c>
      <c r="DI189" s="22">
        <f t="shared" si="175"/>
        <v>76.672702196741866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5.6843418860808015E-14</v>
      </c>
      <c r="DP189" s="17">
        <f>DO189*VLOOKUP('Données projet'!$B$14,Paramètres!$A$1:$I$89,3,0)*VLOOKUP('Données projet'!$B$14,Paramètres!$A$1:$I$89,5,0)</f>
        <v>3.2810021366458389E-14</v>
      </c>
      <c r="DQ189" s="13">
        <f t="shared" si="176"/>
        <v>5.6117125884464641E-13</v>
      </c>
      <c r="DR189" s="20">
        <f t="shared" si="177"/>
        <v>1.0345173963676741E-12</v>
      </c>
      <c r="DS189" s="59">
        <f t="shared" si="125"/>
        <v>289.79675810585843</v>
      </c>
      <c r="DT189" s="59">
        <f ca="1">AVERAGE(OFFSET($DS$3,0,0,'Données projet'!$E$14+1,1))-AVERAGE(OFFSET($H$3,0,0,'Données projet'!$E$14+1,1))</f>
        <v>243.65374431792841</v>
      </c>
      <c r="DU189" s="59">
        <f t="shared" si="152"/>
        <v>271.60754570002939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4.9096111000783385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4.9096111000783385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-4.5474735088646412E-13</v>
      </c>
      <c r="EK189" s="17">
        <f>EJ189*VLOOKUP('Données projet'!$B$15,Paramètres!$A$1:$I$89,3,0)*VLOOKUP('Données projet'!$B$15,Paramètres!$A$1:$I$89,5,0)</f>
        <v>-3.0504452297464016E-13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321.44781099085594</v>
      </c>
      <c r="EP189" s="59">
        <f t="shared" si="154"/>
        <v>201.22243186578183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30.758263394423679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30.758263394423679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2.8421709430404007E-14</v>
      </c>
      <c r="FF189" s="17">
        <f>FE189*VLOOKUP('Données projet'!$B$16,Paramètres!$A$1:$I$89,3,0)*VLOOKUP('Données projet'!$B$16,Paramètres!$A$1:$I$89,5,0)</f>
        <v>2.4829205358400945E-14</v>
      </c>
      <c r="FG189" s="13">
        <f t="shared" si="182"/>
        <v>4.3867331143352915E-13</v>
      </c>
      <c r="FH189" s="20">
        <f t="shared" si="183"/>
        <v>8.0726688341261168E-13</v>
      </c>
      <c r="FI189" s="59">
        <f t="shared" si="131"/>
        <v>289.7967581058582</v>
      </c>
      <c r="FJ189" s="59">
        <f ca="1">AVERAGE(OFFSET($FI$3,0,0,'Données projet'!$E$16+1,1))-AVERAGE(OFFSET($H$3,0,0,'Données projet'!$E$16+1,1))</f>
        <v>285.8437404763045</v>
      </c>
      <c r="FK189" s="59">
        <f t="shared" si="156"/>
        <v>276.01618888357268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9.7249453989146879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9.7249453989146879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-1.7053025658242404E-13</v>
      </c>
      <c r="GA189" s="17">
        <f>FZ189*VLOOKUP('Données projet'!$B$17,Paramètres!$A$1:$I$89,3,0)*VLOOKUP('Données projet'!$B$17,Paramètres!$A$1:$I$89,5,0)</f>
        <v>-1.3567387213697657E-13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323.01113210765487</v>
      </c>
      <c r="GF189" s="59">
        <f t="shared" si="158"/>
        <v>311.68541696405975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11.163788633678319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11.163788633678319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2.8421709430404007E-14</v>
      </c>
      <c r="GV189" s="17">
        <f>GU189*VLOOKUP('Données projet'!$B$18,Paramètres!$A$1:$I$89,3,0)*VLOOKUP('Données projet'!$B$18,Paramètres!$A$1:$I$89,5,0)</f>
        <v>2.4829205358400945E-14</v>
      </c>
      <c r="GW189" s="13">
        <f t="shared" si="188"/>
        <v>4.3867331143352915E-13</v>
      </c>
      <c r="GX189" s="20">
        <f t="shared" si="189"/>
        <v>8.0726688341261168E-13</v>
      </c>
      <c r="GY189" s="59">
        <f t="shared" si="137"/>
        <v>289.7967581058582</v>
      </c>
      <c r="GZ189" s="59">
        <f ca="1">AVERAGE(OFFSET($GY$3,0,0,'Données projet'!$E$18+1,1))-AVERAGE(OFFSET($H$3,0,0,'Données projet'!$E$18+1,1))</f>
        <v>285.8437404763045</v>
      </c>
      <c r="HA189" s="59">
        <f t="shared" si="160"/>
        <v>276.01618888357268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9.7249453989146879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9.7249453989146879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-1.0286385077051818E-13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315.34103933739129</v>
      </c>
      <c r="T190" s="59">
        <f t="shared" si="142"/>
        <v>165.80901858372513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26.877479466099011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26.877479466099011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-2.0395418687257919E-13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317.328615425664</v>
      </c>
      <c r="AO190" s="59">
        <f t="shared" si="144"/>
        <v>324.95872842255744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14.19213858328227</v>
      </c>
      <c r="AV190" s="21">
        <f>EXP(-LN(2)/25)*AV189+(1-EXP(-LN(2)/25))/(LN(2)/25)*Calculateur!AQ190*Calculateur!AS190*VLOOKUP('Données projet'!$B$10,Paramètres!$A$1:$I$89,3,0)*0.475*44/12</f>
        <v>1.0004314172771274</v>
      </c>
      <c r="AW190" s="21">
        <f>EXP(-LN(2)/2)*AW189+(1-EXP(-LN(2)/2))/(LN(2)/2)*AQ190*AT190*VLOOKUP('Données projet'!$B$10,Paramètres!$A$1:$I$89,3,0)*0.475*44/12</f>
        <v>2.0620699555506031E-18</v>
      </c>
      <c r="AX190" s="21">
        <f t="shared" si="166"/>
        <v>15.192570000559398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-6.5483618527650828E-14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418.31716673276725</v>
      </c>
      <c r="BJ190" s="59">
        <f t="shared" si="146"/>
        <v>472.37891533957929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11.072347711777724</v>
      </c>
      <c r="BQ190" s="21">
        <f>EXP(-LN(2)/25)*BQ189+(1-EXP(-LN(2)/25))/(LN(2)/25)*Calculateur!BL190*Calculateur!BN190*VLOOKUP('Données projet'!$B$11,Paramètres!$A$1:$I$89,3,0)*0.475*44/12</f>
        <v>0.91260922075217932</v>
      </c>
      <c r="BR190" s="21">
        <f>EXP(-LN(2)/2)*BR189+(1-EXP(-LN(2)/2))/(LN(2)/2)*BL190*BO190*VLOOKUP('Données projet'!$B$11,Paramètres!$A$1:$I$89,3,0)*0.475*44/12</f>
        <v>3.198252819429703E-18</v>
      </c>
      <c r="BS190" s="22">
        <f t="shared" si="169"/>
        <v>11.984956932529903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1.1368683772161603E-13</v>
      </c>
      <c r="BZ190" s="13">
        <f>BY190*VLOOKUP('Données projet'!$B$12,Paramètres!$A$1:$I$89,3,0)*VLOOKUP('Données projet'!$B$12,Paramètres!$A$1:$I$89,5,0)</f>
        <v>6.6506800067145386E-14</v>
      </c>
      <c r="CA190" s="13">
        <f t="shared" si="170"/>
        <v>1.0476989505385114E-12</v>
      </c>
      <c r="CB190" s="20">
        <f t="shared" si="171"/>
        <v>1.9405750156381857E-12</v>
      </c>
      <c r="CC190" s="59">
        <f t="shared" si="119"/>
        <v>289.85810977945835</v>
      </c>
      <c r="CD190" s="59">
        <f ca="1">AVERAGE(OFFSET($CC$3,0,0,'Données projet'!$E$12+1,1))-AVERAGE(OFFSET($H$3,0,0,'Données projet'!$E$12+1,1))</f>
        <v>184.11352167663844</v>
      </c>
      <c r="CE190" s="59">
        <f t="shared" si="148"/>
        <v>145.86653500981791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8.0492055644424276</v>
      </c>
      <c r="CL190" s="21">
        <f>EXP(-LN(2)/25)*CL189+(1-EXP(-LN(2)/25))/(LN(2)/25)*Calculateur!CG190*Calculateur!CI190*VLOOKUP('Données projet'!$B$12,Paramètres!$A$1:$I$89,3,0)*0.475*44/12</f>
        <v>1.4479825868033147</v>
      </c>
      <c r="CM190" s="21">
        <f>EXP(-LN(2)/2)*CM189+(1-EXP(-LN(2)/2))/(LN(2)/2)*CG190*CJ190*VLOOKUP('Données projet'!$B$12,Paramètres!$A$1:$I$89,3,0)*0.475*44/12</f>
        <v>4.7455222454559528E-14</v>
      </c>
      <c r="CN190" s="22">
        <f t="shared" si="172"/>
        <v>9.4971881512457905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-3.979039320256561E-13</v>
      </c>
      <c r="CU190" s="17">
        <f>CT190*VLOOKUP('Données projet'!$B$13,Paramètres!$A$1:$I$89,3,0)*VLOOKUP('Données projet'!$B$13,Paramètres!$A$1:$I$89,5,0)</f>
        <v>-1.9139179130434059E-13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303.76035885073708</v>
      </c>
      <c r="CZ190" s="59">
        <f t="shared" si="150"/>
        <v>127.43112562890414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56.633628627516963</v>
      </c>
      <c r="DG190" s="21">
        <f>EXP(-LN(2)/25)*DG189+(1-EXP(-LN(2)/25))/(LN(2)/25)*Calculateur!DB190*Calculateur!DD190*VLOOKUP('Données projet'!$B$13,Paramètres!$A$1:$I$89,3,0)*0.475*44/12</f>
        <v>18.37511964584229</v>
      </c>
      <c r="DH190" s="21">
        <f>EXP(-LN(2)/2)*DH189+(1-EXP(-LN(2)/2))/(LN(2)/2)*DB190*DE190*VLOOKUP('Données projet'!$B$13,Paramètres!$A$1:$I$89,3,0)*0.475*44/12</f>
        <v>1.0320417898963522E-2</v>
      </c>
      <c r="DI190" s="22">
        <f t="shared" si="175"/>
        <v>75.019068691258227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5.6843418860808015E-14</v>
      </c>
      <c r="DP190" s="17">
        <f>DO190*VLOOKUP('Données projet'!$B$14,Paramètres!$A$1:$I$89,3,0)*VLOOKUP('Données projet'!$B$14,Paramètres!$A$1:$I$89,5,0)</f>
        <v>3.2810021366458389E-14</v>
      </c>
      <c r="DQ190" s="13">
        <f t="shared" si="176"/>
        <v>5.6117125884464641E-13</v>
      </c>
      <c r="DR190" s="20">
        <f t="shared" si="177"/>
        <v>1.0345173963676741E-12</v>
      </c>
      <c r="DS190" s="59">
        <f t="shared" si="125"/>
        <v>289.85810977945744</v>
      </c>
      <c r="DT190" s="59">
        <f ca="1">AVERAGE(OFFSET($DS$3,0,0,'Données projet'!$E$14+1,1))-AVERAGE(OFFSET($H$3,0,0,'Données projet'!$E$14+1,1))</f>
        <v>243.65374431792841</v>
      </c>
      <c r="DU190" s="59">
        <f t="shared" si="152"/>
        <v>271.60754570002939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4.8133366209728843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4.8133366209728843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-4.5474735088646412E-13</v>
      </c>
      <c r="EK190" s="17">
        <f>EJ190*VLOOKUP('Données projet'!$B$15,Paramètres!$A$1:$I$89,3,0)*VLOOKUP('Données projet'!$B$15,Paramètres!$A$1:$I$89,5,0)</f>
        <v>-3.0504452297464016E-13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321.44781099085594</v>
      </c>
      <c r="EP190" s="59">
        <f t="shared" si="154"/>
        <v>201.22243186578183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30.155112609947238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30.155112609947238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2.8421709430404007E-14</v>
      </c>
      <c r="FF190" s="17">
        <f>FE190*VLOOKUP('Données projet'!$B$16,Paramètres!$A$1:$I$89,3,0)*VLOOKUP('Données projet'!$B$16,Paramètres!$A$1:$I$89,5,0)</f>
        <v>2.4829205358400945E-14</v>
      </c>
      <c r="FG190" s="13">
        <f t="shared" si="182"/>
        <v>4.3867331143352915E-13</v>
      </c>
      <c r="FH190" s="20">
        <f t="shared" si="183"/>
        <v>8.0726688341261168E-13</v>
      </c>
      <c r="FI190" s="59">
        <f t="shared" si="131"/>
        <v>289.85810977945721</v>
      </c>
      <c r="FJ190" s="59">
        <f ca="1">AVERAGE(OFFSET($FI$3,0,0,'Données projet'!$E$16+1,1))-AVERAGE(OFFSET($H$3,0,0,'Données projet'!$E$16+1,1))</f>
        <v>285.8437404763045</v>
      </c>
      <c r="FK190" s="59">
        <f t="shared" si="156"/>
        <v>276.01618888357268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9.5342451512729642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9.5342451512729642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-1.7053025658242404E-13</v>
      </c>
      <c r="GA190" s="17">
        <f>FZ190*VLOOKUP('Données projet'!$B$17,Paramètres!$A$1:$I$89,3,0)*VLOOKUP('Données projet'!$B$17,Paramètres!$A$1:$I$89,5,0)</f>
        <v>-1.3567387213697657E-13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323.01113210765487</v>
      </c>
      <c r="GF190" s="59">
        <f t="shared" si="158"/>
        <v>311.68541696405975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10.944873547810598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10.944873547810598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2.8421709430404007E-14</v>
      </c>
      <c r="GV190" s="17">
        <f>GU190*VLOOKUP('Données projet'!$B$18,Paramètres!$A$1:$I$89,3,0)*VLOOKUP('Données projet'!$B$18,Paramètres!$A$1:$I$89,5,0)</f>
        <v>2.4829205358400945E-14</v>
      </c>
      <c r="GW190" s="13">
        <f t="shared" si="188"/>
        <v>4.3867331143352915E-13</v>
      </c>
      <c r="GX190" s="20">
        <f t="shared" si="189"/>
        <v>8.0726688341261168E-13</v>
      </c>
      <c r="GY190" s="59">
        <f t="shared" si="137"/>
        <v>289.85810977945721</v>
      </c>
      <c r="GZ190" s="59">
        <f ca="1">AVERAGE(OFFSET($GY$3,0,0,'Données projet'!$E$18+1,1))-AVERAGE(OFFSET($H$3,0,0,'Données projet'!$E$18+1,1))</f>
        <v>285.8437404763045</v>
      </c>
      <c r="HA190" s="59">
        <f t="shared" si="160"/>
        <v>276.01618888357268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9.5342451512729642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9.5342451512729642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-1.0286385077051818E-13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315.34103933739129</v>
      </c>
      <c r="T191" s="59">
        <f t="shared" si="142"/>
        <v>165.80901858372513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26.350428487412547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26.350428487412547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-2.0395418687257919E-13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317.328615425664</v>
      </c>
      <c r="AO191" s="59">
        <f t="shared" si="144"/>
        <v>324.95872842255744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13.913839402013897</v>
      </c>
      <c r="AV191" s="21">
        <f>EXP(-LN(2)/25)*AV190+(1-EXP(-LN(2)/25))/(LN(2)/25)*Calculateur!AQ191*Calculateur!AS191*VLOOKUP('Données projet'!$B$10,Paramètres!$A$1:$I$89,3,0)*0.475*44/12</f>
        <v>0.97307456756128263</v>
      </c>
      <c r="AW191" s="21">
        <f>EXP(-LN(2)/2)*AW190+(1-EXP(-LN(2)/2))/(LN(2)/2)*AQ191*AT191*VLOOKUP('Données projet'!$B$10,Paramètres!$A$1:$I$89,3,0)*0.475*44/12</f>
        <v>1.4581036488508741E-18</v>
      </c>
      <c r="AX191" s="21">
        <f t="shared" si="166"/>
        <v>14.886913969575179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-6.5483618527650828E-14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418.31716673276725</v>
      </c>
      <c r="BJ191" s="59">
        <f t="shared" si="146"/>
        <v>472.37891533957929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10.855225726615018</v>
      </c>
      <c r="BQ191" s="21">
        <f>EXP(-LN(2)/25)*BQ190+(1-EXP(-LN(2)/25))/(LN(2)/25)*Calculateur!BL191*Calculateur!BN191*VLOOKUP('Données projet'!$B$11,Paramètres!$A$1:$I$89,3,0)*0.475*44/12</f>
        <v>0.88765387361867787</v>
      </c>
      <c r="BR191" s="21">
        <f>EXP(-LN(2)/2)*BR190+(1-EXP(-LN(2)/2))/(LN(2)/2)*BL191*BO191*VLOOKUP('Données projet'!$B$11,Paramètres!$A$1:$I$89,3,0)*0.475*44/12</f>
        <v>2.2615062565677376E-18</v>
      </c>
      <c r="BS191" s="22">
        <f t="shared" si="169"/>
        <v>11.742879600233696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1.1368683772161603E-13</v>
      </c>
      <c r="BZ191" s="13">
        <f>BY191*VLOOKUP('Données projet'!$B$12,Paramètres!$A$1:$I$89,3,0)*VLOOKUP('Données projet'!$B$12,Paramètres!$A$1:$I$89,5,0)</f>
        <v>6.6506800067145386E-14</v>
      </c>
      <c r="CA191" s="13">
        <f t="shared" si="170"/>
        <v>1.0476989505385114E-12</v>
      </c>
      <c r="CB191" s="20">
        <f t="shared" si="171"/>
        <v>1.9405750156381857E-12</v>
      </c>
      <c r="CC191" s="59">
        <f t="shared" si="119"/>
        <v>289.91839713868217</v>
      </c>
      <c r="CD191" s="59">
        <f ca="1">AVERAGE(OFFSET($CC$3,0,0,'Données projet'!$E$12+1,1))-AVERAGE(OFFSET($H$3,0,0,'Données projet'!$E$12+1,1))</f>
        <v>184.11352167663844</v>
      </c>
      <c r="CE191" s="59">
        <f t="shared" si="148"/>
        <v>145.86653500981791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7.8913655528543298</v>
      </c>
      <c r="CL191" s="21">
        <f>EXP(-LN(2)/25)*CL190+(1-EXP(-LN(2)/25))/(LN(2)/25)*Calculateur!CG191*Calculateur!CI191*VLOOKUP('Données projet'!$B$12,Paramètres!$A$1:$I$89,3,0)*0.475*44/12</f>
        <v>1.4083874268210832</v>
      </c>
      <c r="CM191" s="21">
        <f>EXP(-LN(2)/2)*CM190+(1-EXP(-LN(2)/2))/(LN(2)/2)*CG191*CJ191*VLOOKUP('Données projet'!$B$12,Paramètres!$A$1:$I$89,3,0)*0.475*44/12</f>
        <v>3.3555909600335161E-14</v>
      </c>
      <c r="CN191" s="22">
        <f t="shared" si="172"/>
        <v>9.2997529796754463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-3.979039320256561E-13</v>
      </c>
      <c r="CU191" s="17">
        <f>CT191*VLOOKUP('Données projet'!$B$13,Paramètres!$A$1:$I$89,3,0)*VLOOKUP('Données projet'!$B$13,Paramètres!$A$1:$I$89,5,0)</f>
        <v>-1.9139179130434059E-13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303.76035885073708</v>
      </c>
      <c r="CZ191" s="59">
        <f t="shared" si="150"/>
        <v>127.43112562890414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55.523077713233967</v>
      </c>
      <c r="DG191" s="21">
        <f>EXP(-LN(2)/25)*DG190+(1-EXP(-LN(2)/25))/(LN(2)/25)*Calculateur!DB191*Calculateur!DD191*VLOOKUP('Données projet'!$B$13,Paramètres!$A$1:$I$89,3,0)*0.475*44/12</f>
        <v>17.872651032821189</v>
      </c>
      <c r="DH191" s="21">
        <f>EXP(-LN(2)/2)*DH190+(1-EXP(-LN(2)/2))/(LN(2)/2)*DB191*DE191*VLOOKUP('Données projet'!$B$13,Paramètres!$A$1:$I$89,3,0)*0.475*44/12</f>
        <v>7.2976374810361276E-3</v>
      </c>
      <c r="DI191" s="22">
        <f t="shared" si="175"/>
        <v>73.403026383536186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5.6843418860808015E-14</v>
      </c>
      <c r="DP191" s="17">
        <f>DO191*VLOOKUP('Données projet'!$B$14,Paramètres!$A$1:$I$89,3,0)*VLOOKUP('Données projet'!$B$14,Paramètres!$A$1:$I$89,5,0)</f>
        <v>3.2810021366458389E-14</v>
      </c>
      <c r="DQ191" s="13">
        <f t="shared" si="176"/>
        <v>5.6117125884464641E-13</v>
      </c>
      <c r="DR191" s="20">
        <f t="shared" si="177"/>
        <v>1.0345173963676741E-12</v>
      </c>
      <c r="DS191" s="59">
        <f t="shared" si="125"/>
        <v>289.91839713868126</v>
      </c>
      <c r="DT191" s="59">
        <f ca="1">AVERAGE(OFFSET($DS$3,0,0,'Données projet'!$E$14+1,1))-AVERAGE(OFFSET($H$3,0,0,'Données projet'!$E$14+1,1))</f>
        <v>243.65374431792841</v>
      </c>
      <c r="DU191" s="59">
        <f t="shared" si="152"/>
        <v>271.60754570002939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4.7189500256810542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4.7189500256810542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-4.5474735088646412E-13</v>
      </c>
      <c r="EK191" s="17">
        <f>EJ191*VLOOKUP('Données projet'!$B$15,Paramètres!$A$1:$I$89,3,0)*VLOOKUP('Données projet'!$B$15,Paramètres!$A$1:$I$89,5,0)</f>
        <v>-3.0504452297464016E-13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321.44781099085594</v>
      </c>
      <c r="EP191" s="59">
        <f t="shared" si="154"/>
        <v>201.22243186578183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29.563789244468726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29.563789244468726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2.8421709430404007E-14</v>
      </c>
      <c r="FF191" s="17">
        <f>FE191*VLOOKUP('Données projet'!$B$16,Paramètres!$A$1:$I$89,3,0)*VLOOKUP('Données projet'!$B$16,Paramètres!$A$1:$I$89,5,0)</f>
        <v>2.4829205358400945E-14</v>
      </c>
      <c r="FG191" s="13">
        <f t="shared" si="182"/>
        <v>4.3867331143352915E-13</v>
      </c>
      <c r="FH191" s="20">
        <f t="shared" si="183"/>
        <v>8.0726688341261168E-13</v>
      </c>
      <c r="FI191" s="59">
        <f t="shared" si="131"/>
        <v>289.91839713868103</v>
      </c>
      <c r="FJ191" s="59">
        <f ca="1">AVERAGE(OFFSET($FI$3,0,0,'Données projet'!$E$16+1,1))-AVERAGE(OFFSET($H$3,0,0,'Données projet'!$E$16+1,1))</f>
        <v>285.8437404763045</v>
      </c>
      <c r="FK191" s="59">
        <f t="shared" si="156"/>
        <v>276.01618888357268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9.3472844191718298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9.3472844191718298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-1.7053025658242404E-13</v>
      </c>
      <c r="GA191" s="17">
        <f>FZ191*VLOOKUP('Données projet'!$B$17,Paramètres!$A$1:$I$89,3,0)*VLOOKUP('Données projet'!$B$17,Paramètres!$A$1:$I$89,5,0)</f>
        <v>-1.3567387213697657E-13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323.01113210765487</v>
      </c>
      <c r="GF191" s="59">
        <f t="shared" si="158"/>
        <v>311.68541696405975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10.730251253251724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10.730251253251724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2.8421709430404007E-14</v>
      </c>
      <c r="GV191" s="17">
        <f>GU191*VLOOKUP('Données projet'!$B$18,Paramètres!$A$1:$I$89,3,0)*VLOOKUP('Données projet'!$B$18,Paramètres!$A$1:$I$89,5,0)</f>
        <v>2.4829205358400945E-14</v>
      </c>
      <c r="GW191" s="13">
        <f t="shared" si="188"/>
        <v>4.3867331143352915E-13</v>
      </c>
      <c r="GX191" s="20">
        <f t="shared" si="189"/>
        <v>8.0726688341261168E-13</v>
      </c>
      <c r="GY191" s="59">
        <f t="shared" si="137"/>
        <v>289.91839713868103</v>
      </c>
      <c r="GZ191" s="59">
        <f ca="1">AVERAGE(OFFSET($GY$3,0,0,'Données projet'!$E$18+1,1))-AVERAGE(OFFSET($H$3,0,0,'Données projet'!$E$18+1,1))</f>
        <v>285.8437404763045</v>
      </c>
      <c r="HA191" s="59">
        <f t="shared" si="160"/>
        <v>276.01618888357268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9.3472844191718298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9.3472844191718298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-1.0286385077051818E-13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315.34103933739129</v>
      </c>
      <c r="T192" s="59">
        <f t="shared" si="142"/>
        <v>165.80901858372513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25.833712656948769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25.833712656948769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-2.0395418687257919E-13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317.328615425664</v>
      </c>
      <c r="AO192" s="59">
        <f t="shared" si="144"/>
        <v>324.95872842255744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13.640997497944458</v>
      </c>
      <c r="AV192" s="21">
        <f>EXP(-LN(2)/25)*AV191+(1-EXP(-LN(2)/25))/(LN(2)/25)*Calculateur!AQ192*Calculateur!AS192*VLOOKUP('Données projet'!$B$10,Paramètres!$A$1:$I$89,3,0)*0.475*44/12</f>
        <v>0.94646579233955186</v>
      </c>
      <c r="AW192" s="21">
        <f>EXP(-LN(2)/2)*AW191+(1-EXP(-LN(2)/2))/(LN(2)/2)*AQ192*AT192*VLOOKUP('Données projet'!$B$10,Paramètres!$A$1:$I$89,3,0)*0.475*44/12</f>
        <v>1.0310349777753015E-18</v>
      </c>
      <c r="AX192" s="21">
        <f t="shared" si="166"/>
        <v>14.58746329028401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-6.5483618527650828E-14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418.31716673276725</v>
      </c>
      <c r="BJ192" s="59">
        <f t="shared" si="146"/>
        <v>472.37891533957929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10.642361371150018</v>
      </c>
      <c r="BQ192" s="21">
        <f>EXP(-LN(2)/25)*BQ191+(1-EXP(-LN(2)/25))/(LN(2)/25)*Calculateur!BL192*Calculateur!BN192*VLOOKUP('Données projet'!$B$11,Paramètres!$A$1:$I$89,3,0)*0.475*44/12</f>
        <v>0.86338093176488662</v>
      </c>
      <c r="BR192" s="21">
        <f>EXP(-LN(2)/2)*BR191+(1-EXP(-LN(2)/2))/(LN(2)/2)*BL192*BO192*VLOOKUP('Données projet'!$B$11,Paramètres!$A$1:$I$89,3,0)*0.475*44/12</f>
        <v>1.5991264097148515E-18</v>
      </c>
      <c r="BS192" s="22">
        <f t="shared" si="169"/>
        <v>11.505742302914905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1.1368683772161603E-13</v>
      </c>
      <c r="BZ192" s="13">
        <f>BY192*VLOOKUP('Données projet'!$B$12,Paramètres!$A$1:$I$89,3,0)*VLOOKUP('Données projet'!$B$12,Paramètres!$A$1:$I$89,5,0)</f>
        <v>6.6506800067145386E-14</v>
      </c>
      <c r="CA192" s="13">
        <f t="shared" si="170"/>
        <v>1.0476989505385114E-12</v>
      </c>
      <c r="CB192" s="20">
        <f t="shared" si="171"/>
        <v>1.9405750156381857E-12</v>
      </c>
      <c r="CC192" s="59">
        <f t="shared" si="119"/>
        <v>289.97763864700579</v>
      </c>
      <c r="CD192" s="59">
        <f ca="1">AVERAGE(OFFSET($CC$3,0,0,'Données projet'!$E$12+1,1))-AVERAGE(OFFSET($H$3,0,0,'Données projet'!$E$12+1,1))</f>
        <v>184.11352167663844</v>
      </c>
      <c r="CE192" s="59">
        <f t="shared" si="148"/>
        <v>145.86653500981791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7.7366206876205741</v>
      </c>
      <c r="CL192" s="21">
        <f>EXP(-LN(2)/25)*CL191+(1-EXP(-LN(2)/25))/(LN(2)/25)*Calculateur!CG192*Calculateur!CI192*VLOOKUP('Données projet'!$B$12,Paramètres!$A$1:$I$89,3,0)*0.475*44/12</f>
        <v>1.3698749985707848</v>
      </c>
      <c r="CM192" s="21">
        <f>EXP(-LN(2)/2)*CM191+(1-EXP(-LN(2)/2))/(LN(2)/2)*CG192*CJ192*VLOOKUP('Données projet'!$B$12,Paramètres!$A$1:$I$89,3,0)*0.475*44/12</f>
        <v>2.3727611227279764E-14</v>
      </c>
      <c r="CN192" s="22">
        <f t="shared" si="172"/>
        <v>9.1064956861913817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-3.979039320256561E-13</v>
      </c>
      <c r="CU192" s="17">
        <f>CT192*VLOOKUP('Données projet'!$B$13,Paramètres!$A$1:$I$89,3,0)*VLOOKUP('Données projet'!$B$13,Paramètres!$A$1:$I$89,5,0)</f>
        <v>-1.9139179130434059E-13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303.76035885073708</v>
      </c>
      <c r="CZ192" s="59">
        <f t="shared" si="150"/>
        <v>127.43112562890414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54.434304025010888</v>
      </c>
      <c r="DG192" s="21">
        <f>EXP(-LN(2)/25)*DG191+(1-EXP(-LN(2)/25))/(LN(2)/25)*Calculateur!DB192*Calculateur!DD192*VLOOKUP('Données projet'!$B$13,Paramètres!$A$1:$I$89,3,0)*0.475*44/12</f>
        <v>17.383922450446825</v>
      </c>
      <c r="DH192" s="21">
        <f>EXP(-LN(2)/2)*DH191+(1-EXP(-LN(2)/2))/(LN(2)/2)*DB192*DE192*VLOOKUP('Données projet'!$B$13,Paramètres!$A$1:$I$89,3,0)*0.475*44/12</f>
        <v>5.1602089494817609E-3</v>
      </c>
      <c r="DI192" s="22">
        <f t="shared" si="175"/>
        <v>71.823386684407197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5.6843418860808015E-14</v>
      </c>
      <c r="DP192" s="17">
        <f>DO192*VLOOKUP('Données projet'!$B$14,Paramètres!$A$1:$I$89,3,0)*VLOOKUP('Données projet'!$B$14,Paramètres!$A$1:$I$89,5,0)</f>
        <v>3.2810021366458389E-14</v>
      </c>
      <c r="DQ192" s="13">
        <f t="shared" si="176"/>
        <v>5.6117125884464641E-13</v>
      </c>
      <c r="DR192" s="20">
        <f t="shared" si="177"/>
        <v>1.0345173963676741E-12</v>
      </c>
      <c r="DS192" s="59">
        <f t="shared" si="125"/>
        <v>289.97763864700488</v>
      </c>
      <c r="DT192" s="59">
        <f ca="1">AVERAGE(OFFSET($DS$3,0,0,'Données projet'!$E$14+1,1))-AVERAGE(OFFSET($H$3,0,0,'Données projet'!$E$14+1,1))</f>
        <v>243.65374431792841</v>
      </c>
      <c r="DU192" s="59">
        <f t="shared" si="152"/>
        <v>271.60754570002939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4.6264142939527586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4.6264142939527586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-4.5474735088646412E-13</v>
      </c>
      <c r="EK192" s="17">
        <f>EJ192*VLOOKUP('Données projet'!$B$15,Paramètres!$A$1:$I$89,3,0)*VLOOKUP('Données projet'!$B$15,Paramètres!$A$1:$I$89,5,0)</f>
        <v>-3.0504452297464016E-13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321.44781099085594</v>
      </c>
      <c r="EP192" s="59">
        <f t="shared" si="154"/>
        <v>201.22243186578183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28.984061369515608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28.984061369515608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2.8421709430404007E-14</v>
      </c>
      <c r="FF192" s="17">
        <f>FE192*VLOOKUP('Données projet'!$B$16,Paramètres!$A$1:$I$89,3,0)*VLOOKUP('Données projet'!$B$16,Paramètres!$A$1:$I$89,5,0)</f>
        <v>2.4829205358400945E-14</v>
      </c>
      <c r="FG192" s="13">
        <f t="shared" si="182"/>
        <v>4.3867331143352915E-13</v>
      </c>
      <c r="FH192" s="20">
        <f t="shared" si="183"/>
        <v>8.0726688341261168E-13</v>
      </c>
      <c r="FI192" s="59">
        <f t="shared" si="131"/>
        <v>289.97763864700465</v>
      </c>
      <c r="FJ192" s="59">
        <f ca="1">AVERAGE(OFFSET($FI$3,0,0,'Données projet'!$E$16+1,1))-AVERAGE(OFFSET($H$3,0,0,'Données projet'!$E$16+1,1))</f>
        <v>285.8437404763045</v>
      </c>
      <c r="FK192" s="59">
        <f t="shared" si="156"/>
        <v>276.01618888357268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9.1639898729924116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9.1639898729924116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-1.7053025658242404E-13</v>
      </c>
      <c r="GA192" s="17">
        <f>FZ192*VLOOKUP('Données projet'!$B$17,Paramètres!$A$1:$I$89,3,0)*VLOOKUP('Données projet'!$B$17,Paramètres!$A$1:$I$89,5,0)</f>
        <v>-1.3567387213697657E-13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323.01113210765487</v>
      </c>
      <c r="GF192" s="59">
        <f t="shared" si="158"/>
        <v>311.68541696405975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10.519837570982476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10.519837570982476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2.8421709430404007E-14</v>
      </c>
      <c r="GV192" s="17">
        <f>GU192*VLOOKUP('Données projet'!$B$18,Paramètres!$A$1:$I$89,3,0)*VLOOKUP('Données projet'!$B$18,Paramètres!$A$1:$I$89,5,0)</f>
        <v>2.4829205358400945E-14</v>
      </c>
      <c r="GW192" s="13">
        <f t="shared" si="188"/>
        <v>4.3867331143352915E-13</v>
      </c>
      <c r="GX192" s="20">
        <f t="shared" si="189"/>
        <v>8.0726688341261168E-13</v>
      </c>
      <c r="GY192" s="59">
        <f t="shared" si="137"/>
        <v>289.97763864700465</v>
      </c>
      <c r="GZ192" s="59">
        <f ca="1">AVERAGE(OFFSET($GY$3,0,0,'Données projet'!$E$18+1,1))-AVERAGE(OFFSET($H$3,0,0,'Données projet'!$E$18+1,1))</f>
        <v>285.8437404763045</v>
      </c>
      <c r="HA192" s="59">
        <f t="shared" si="160"/>
        <v>276.01618888357268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9.1639898729924116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9.1639898729924116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-1.0286385077051818E-13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315.34103933739129</v>
      </c>
      <c r="T193" s="59">
        <f t="shared" si="142"/>
        <v>165.80901858372513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25.327129308754849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25.327129308754849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-2.0395418687257919E-13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317.328615425664</v>
      </c>
      <c r="AO193" s="59">
        <f t="shared" si="144"/>
        <v>324.95872842255744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13.37350585719669</v>
      </c>
      <c r="AV193" s="21">
        <f>EXP(-LN(2)/25)*AV192+(1-EXP(-LN(2)/25))/(LN(2)/25)*Calculateur!AQ193*Calculateur!AS193*VLOOKUP('Données projet'!$B$10,Paramètres!$A$1:$I$89,3,0)*0.475*44/12</f>
        <v>0.92058463547555403</v>
      </c>
      <c r="AW193" s="21">
        <f>EXP(-LN(2)/2)*AW192+(1-EXP(-LN(2)/2))/(LN(2)/2)*AQ193*AT193*VLOOKUP('Données projet'!$B$10,Paramètres!$A$1:$I$89,3,0)*0.475*44/12</f>
        <v>7.2905182442543705E-19</v>
      </c>
      <c r="AX193" s="21">
        <f t="shared" si="166"/>
        <v>14.294090492672245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-6.5483618527650828E-14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418.31716673276725</v>
      </c>
      <c r="BJ193" s="59">
        <f t="shared" si="146"/>
        <v>472.37891533957929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10.43367115586125</v>
      </c>
      <c r="BQ193" s="21">
        <f>EXP(-LN(2)/25)*BQ192+(1-EXP(-LN(2)/25))/(LN(2)/25)*Calculateur!BL193*Calculateur!BN193*VLOOKUP('Données projet'!$B$11,Paramètres!$A$1:$I$89,3,0)*0.475*44/12</f>
        <v>0.83977173478254585</v>
      </c>
      <c r="BR193" s="21">
        <f>EXP(-LN(2)/2)*BR192+(1-EXP(-LN(2)/2))/(LN(2)/2)*BL193*BO193*VLOOKUP('Données projet'!$B$11,Paramètres!$A$1:$I$89,3,0)*0.475*44/12</f>
        <v>1.1307531282838688E-18</v>
      </c>
      <c r="BS193" s="22">
        <f t="shared" si="169"/>
        <v>11.273442890643796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1.1368683772161603E-13</v>
      </c>
      <c r="BZ193" s="13">
        <f>BY193*VLOOKUP('Données projet'!$B$12,Paramètres!$A$1:$I$89,3,0)*VLOOKUP('Données projet'!$B$12,Paramètres!$A$1:$I$89,5,0)</f>
        <v>6.6506800067145386E-14</v>
      </c>
      <c r="CA193" s="13">
        <f t="shared" si="170"/>
        <v>1.0476989505385114E-12</v>
      </c>
      <c r="CB193" s="20">
        <f t="shared" si="171"/>
        <v>1.9405750156381857E-12</v>
      </c>
      <c r="CC193" s="59">
        <f t="shared" si="119"/>
        <v>290.03585244760421</v>
      </c>
      <c r="CD193" s="59">
        <f ca="1">AVERAGE(OFFSET($CC$3,0,0,'Données projet'!$E$12+1,1))-AVERAGE(OFFSET($H$3,0,0,'Données projet'!$E$12+1,1))</f>
        <v>184.11352167663844</v>
      </c>
      <c r="CE193" s="59">
        <f t="shared" si="148"/>
        <v>145.86653500981791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7.5849102748090038</v>
      </c>
      <c r="CL193" s="21">
        <f>EXP(-LN(2)/25)*CL192+(1-EXP(-LN(2)/25))/(LN(2)/25)*Calculateur!CG193*Calculateur!CI193*VLOOKUP('Données projet'!$B$12,Paramètres!$A$1:$I$89,3,0)*0.475*44/12</f>
        <v>1.3324156946962713</v>
      </c>
      <c r="CM193" s="21">
        <f>EXP(-LN(2)/2)*CM192+(1-EXP(-LN(2)/2))/(LN(2)/2)*CG193*CJ193*VLOOKUP('Données projet'!$B$12,Paramètres!$A$1:$I$89,3,0)*0.475*44/12</f>
        <v>1.677795480016758E-14</v>
      </c>
      <c r="CN193" s="22">
        <f t="shared" si="172"/>
        <v>8.9173259695052902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-3.979039320256561E-13</v>
      </c>
      <c r="CU193" s="17">
        <f>CT193*VLOOKUP('Données projet'!$B$13,Paramètres!$A$1:$I$89,3,0)*VLOOKUP('Données projet'!$B$13,Paramètres!$A$1:$I$89,5,0)</f>
        <v>-1.9139179130434059E-13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303.76035885073708</v>
      </c>
      <c r="CZ193" s="59">
        <f t="shared" si="150"/>
        <v>127.43112562890414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53.366880524727492</v>
      </c>
      <c r="DG193" s="21">
        <f>EXP(-LN(2)/25)*DG192+(1-EXP(-LN(2)/25))/(LN(2)/25)*Calculateur!DB193*Calculateur!DD193*VLOOKUP('Données projet'!$B$13,Paramètres!$A$1:$I$89,3,0)*0.475*44/12</f>
        <v>16.908558176858605</v>
      </c>
      <c r="DH193" s="21">
        <f>EXP(-LN(2)/2)*DH192+(1-EXP(-LN(2)/2))/(LN(2)/2)*DB193*DE193*VLOOKUP('Données projet'!$B$13,Paramètres!$A$1:$I$89,3,0)*0.475*44/12</f>
        <v>3.6488187405180638E-3</v>
      </c>
      <c r="DI193" s="22">
        <f t="shared" si="175"/>
        <v>70.279087520326613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5.6843418860808015E-14</v>
      </c>
      <c r="DP193" s="17">
        <f>DO193*VLOOKUP('Données projet'!$B$14,Paramètres!$A$1:$I$89,3,0)*VLOOKUP('Données projet'!$B$14,Paramètres!$A$1:$I$89,5,0)</f>
        <v>3.2810021366458389E-14</v>
      </c>
      <c r="DQ193" s="13">
        <f t="shared" si="176"/>
        <v>5.6117125884464641E-13</v>
      </c>
      <c r="DR193" s="20">
        <f t="shared" si="177"/>
        <v>1.0345173963676741E-12</v>
      </c>
      <c r="DS193" s="59">
        <f t="shared" si="125"/>
        <v>290.0358524476033</v>
      </c>
      <c r="DT193" s="59">
        <f ca="1">AVERAGE(OFFSET($DS$3,0,0,'Données projet'!$E$14+1,1))-AVERAGE(OFFSET($H$3,0,0,'Données projet'!$E$14+1,1))</f>
        <v>243.65374431792841</v>
      </c>
      <c r="DU193" s="59">
        <f t="shared" si="152"/>
        <v>271.60754570002939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4.5356931314824314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4.5356931314824314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-4.5474735088646412E-13</v>
      </c>
      <c r="EK193" s="17">
        <f>EJ193*VLOOKUP('Données projet'!$B$15,Paramètres!$A$1:$I$89,3,0)*VLOOKUP('Données projet'!$B$15,Paramètres!$A$1:$I$89,5,0)</f>
        <v>-3.0504452297464016E-13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321.44781099085594</v>
      </c>
      <c r="EP193" s="59">
        <f t="shared" si="154"/>
        <v>201.22243186578183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28.415701604591231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28.415701604591231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2.8421709430404007E-14</v>
      </c>
      <c r="FF193" s="17">
        <f>FE193*VLOOKUP('Données projet'!$B$16,Paramètres!$A$1:$I$89,3,0)*VLOOKUP('Données projet'!$B$16,Paramètres!$A$1:$I$89,5,0)</f>
        <v>2.4829205358400945E-14</v>
      </c>
      <c r="FG193" s="13">
        <f t="shared" si="182"/>
        <v>4.3867331143352915E-13</v>
      </c>
      <c r="FH193" s="20">
        <f t="shared" si="183"/>
        <v>8.0726688341261168E-13</v>
      </c>
      <c r="FI193" s="59">
        <f t="shared" si="131"/>
        <v>290.03585244760308</v>
      </c>
      <c r="FJ193" s="59">
        <f ca="1">AVERAGE(OFFSET($FI$3,0,0,'Données projet'!$E$16+1,1))-AVERAGE(OFFSET($H$3,0,0,'Données projet'!$E$16+1,1))</f>
        <v>285.8437404763045</v>
      </c>
      <c r="FK193" s="59">
        <f t="shared" si="156"/>
        <v>276.01618888357268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8.9842896210649368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8.9842896210649368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-1.7053025658242404E-13</v>
      </c>
      <c r="GA193" s="17">
        <f>FZ193*VLOOKUP('Données projet'!$B$17,Paramètres!$A$1:$I$89,3,0)*VLOOKUP('Données projet'!$B$17,Paramètres!$A$1:$I$89,5,0)</f>
        <v>-1.3567387213697657E-13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323.01113210765487</v>
      </c>
      <c r="GF193" s="59">
        <f t="shared" si="158"/>
        <v>311.68541696405975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10.313549972682855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10.313549972682855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2.8421709430404007E-14</v>
      </c>
      <c r="GV193" s="17">
        <f>GU193*VLOOKUP('Données projet'!$B$18,Paramètres!$A$1:$I$89,3,0)*VLOOKUP('Données projet'!$B$18,Paramètres!$A$1:$I$89,5,0)</f>
        <v>2.4829205358400945E-14</v>
      </c>
      <c r="GW193" s="13">
        <f t="shared" si="188"/>
        <v>4.3867331143352915E-13</v>
      </c>
      <c r="GX193" s="20">
        <f t="shared" si="189"/>
        <v>8.0726688341261168E-13</v>
      </c>
      <c r="GY193" s="59">
        <f t="shared" si="137"/>
        <v>290.03585244760308</v>
      </c>
      <c r="GZ193" s="59">
        <f ca="1">AVERAGE(OFFSET($GY$3,0,0,'Données projet'!$E$18+1,1))-AVERAGE(OFFSET($H$3,0,0,'Données projet'!$E$18+1,1))</f>
        <v>285.8437404763045</v>
      </c>
      <c r="HA193" s="59">
        <f t="shared" si="160"/>
        <v>276.01618888357268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8.9842896210649368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8.9842896210649368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-1.0286385077051818E-13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315.34103933739129</v>
      </c>
      <c r="T194" s="59">
        <f t="shared" si="142"/>
        <v>165.80901858372513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24.830479751033678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24.830479751033678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-2.0395418687257919E-13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317.328615425664</v>
      </c>
      <c r="AO194" s="59">
        <f t="shared" si="144"/>
        <v>324.95872842255744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13.111259564370195</v>
      </c>
      <c r="AV194" s="21">
        <f>EXP(-LN(2)/25)*AV193+(1-EXP(-LN(2)/25))/(LN(2)/25)*Calculateur!AQ194*Calculateur!AS194*VLOOKUP('Données projet'!$B$10,Paramètres!$A$1:$I$89,3,0)*0.475*44/12</f>
        <v>0.89541120020703302</v>
      </c>
      <c r="AW194" s="21">
        <f>EXP(-LN(2)/2)*AW193+(1-EXP(-LN(2)/2))/(LN(2)/2)*AQ194*AT194*VLOOKUP('Données projet'!$B$10,Paramètres!$A$1:$I$89,3,0)*0.475*44/12</f>
        <v>5.1551748888765077E-19</v>
      </c>
      <c r="AX194" s="21">
        <f t="shared" si="166"/>
        <v>14.006670764577228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-6.5483618527650828E-14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418.31716673276725</v>
      </c>
      <c r="BJ194" s="59">
        <f t="shared" si="146"/>
        <v>472.37891533957929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10.229073228405831</v>
      </c>
      <c r="BQ194" s="21">
        <f>EXP(-LN(2)/25)*BQ193+(1-EXP(-LN(2)/25))/(LN(2)/25)*Calculateur!BL194*Calculateur!BN194*VLOOKUP('Données projet'!$B$11,Paramètres!$A$1:$I$89,3,0)*0.475*44/12</f>
        <v>0.81680813253324092</v>
      </c>
      <c r="BR194" s="21">
        <f>EXP(-LN(2)/2)*BR193+(1-EXP(-LN(2)/2))/(LN(2)/2)*BL194*BO194*VLOOKUP('Données projet'!$B$11,Paramètres!$A$1:$I$89,3,0)*0.475*44/12</f>
        <v>7.9956320485742574E-19</v>
      </c>
      <c r="BS194" s="22">
        <f t="shared" si="169"/>
        <v>11.045881360939072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1.1368683772161603E-13</v>
      </c>
      <c r="BZ194" s="13">
        <f>BY194*VLOOKUP('Données projet'!$B$12,Paramètres!$A$1:$I$89,3,0)*VLOOKUP('Données projet'!$B$12,Paramètres!$A$1:$I$89,5,0)</f>
        <v>6.6506800067145386E-14</v>
      </c>
      <c r="CA194" s="13">
        <f t="shared" si="170"/>
        <v>1.0476989505385114E-12</v>
      </c>
      <c r="CB194" s="20">
        <f t="shared" si="171"/>
        <v>1.9405750156381857E-12</v>
      </c>
      <c r="CC194" s="59">
        <f t="shared" si="119"/>
        <v>290.09305636890878</v>
      </c>
      <c r="CD194" s="59">
        <f ca="1">AVERAGE(OFFSET($CC$3,0,0,'Données projet'!$E$12+1,1))-AVERAGE(OFFSET($H$3,0,0,'Données projet'!$E$12+1,1))</f>
        <v>184.11352167663844</v>
      </c>
      <c r="CE194" s="59">
        <f t="shared" si="148"/>
        <v>145.86653500981791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7.4361748106584535</v>
      </c>
      <c r="CL194" s="21">
        <f>EXP(-LN(2)/25)*CL193+(1-EXP(-LN(2)/25))/(LN(2)/25)*Calculateur!CG194*Calculateur!CI194*VLOOKUP('Données projet'!$B$12,Paramètres!$A$1:$I$89,3,0)*0.475*44/12</f>
        <v>1.2959807174561055</v>
      </c>
      <c r="CM194" s="21">
        <f>EXP(-LN(2)/2)*CM193+(1-EXP(-LN(2)/2))/(LN(2)/2)*CG194*CJ194*VLOOKUP('Données projet'!$B$12,Paramètres!$A$1:$I$89,3,0)*0.475*44/12</f>
        <v>1.1863805613639882E-14</v>
      </c>
      <c r="CN194" s="22">
        <f t="shared" si="172"/>
        <v>8.7321555281145713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-3.979039320256561E-13</v>
      </c>
      <c r="CU194" s="17">
        <f>CT194*VLOOKUP('Données projet'!$B$13,Paramètres!$A$1:$I$89,3,0)*VLOOKUP('Données projet'!$B$13,Paramètres!$A$1:$I$89,5,0)</f>
        <v>-1.9139179130434059E-13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303.76035885073708</v>
      </c>
      <c r="CZ194" s="59">
        <f t="shared" si="150"/>
        <v>127.43112562890414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52.320388548220606</v>
      </c>
      <c r="DG194" s="21">
        <f>EXP(-LN(2)/25)*DG193+(1-EXP(-LN(2)/25))/(LN(2)/25)*Calculateur!DB194*Calculateur!DD194*VLOOKUP('Données projet'!$B$13,Paramètres!$A$1:$I$89,3,0)*0.475*44/12</f>
        <v>16.446192764329979</v>
      </c>
      <c r="DH194" s="21">
        <f>EXP(-LN(2)/2)*DH193+(1-EXP(-LN(2)/2))/(LN(2)/2)*DB194*DE194*VLOOKUP('Données projet'!$B$13,Paramètres!$A$1:$I$89,3,0)*0.475*44/12</f>
        <v>2.5801044747408805E-3</v>
      </c>
      <c r="DI194" s="22">
        <f t="shared" si="175"/>
        <v>68.76916141702533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5.6843418860808015E-14</v>
      </c>
      <c r="DP194" s="17">
        <f>DO194*VLOOKUP('Données projet'!$B$14,Paramètres!$A$1:$I$89,3,0)*VLOOKUP('Données projet'!$B$14,Paramètres!$A$1:$I$89,5,0)</f>
        <v>3.2810021366458389E-14</v>
      </c>
      <c r="DQ194" s="13">
        <f t="shared" si="176"/>
        <v>5.6117125884464641E-13</v>
      </c>
      <c r="DR194" s="20">
        <f t="shared" si="177"/>
        <v>1.0345173963676741E-12</v>
      </c>
      <c r="DS194" s="59">
        <f t="shared" si="125"/>
        <v>290.09305636890787</v>
      </c>
      <c r="DT194" s="59">
        <f ca="1">AVERAGE(OFFSET($DS$3,0,0,'Données projet'!$E$14+1,1))-AVERAGE(OFFSET($H$3,0,0,'Données projet'!$E$14+1,1))</f>
        <v>243.65374431792841</v>
      </c>
      <c r="DU194" s="59">
        <f t="shared" si="152"/>
        <v>271.60754570002939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4.4467509556737017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4.4467509556737017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-4.5474735088646412E-13</v>
      </c>
      <c r="EK194" s="17">
        <f>EJ194*VLOOKUP('Données projet'!$B$15,Paramètres!$A$1:$I$89,3,0)*VLOOKUP('Données projet'!$B$15,Paramètres!$A$1:$I$89,5,0)</f>
        <v>-3.0504452297464016E-13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321.44781099085594</v>
      </c>
      <c r="EP194" s="59">
        <f t="shared" si="154"/>
        <v>201.22243186578183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27.858487027991796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27.858487027991796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2.8421709430404007E-14</v>
      </c>
      <c r="FF194" s="17">
        <f>FE194*VLOOKUP('Données projet'!$B$16,Paramètres!$A$1:$I$89,3,0)*VLOOKUP('Données projet'!$B$16,Paramètres!$A$1:$I$89,5,0)</f>
        <v>2.4829205358400945E-14</v>
      </c>
      <c r="FG194" s="13">
        <f t="shared" si="182"/>
        <v>4.3867331143352915E-13</v>
      </c>
      <c r="FH194" s="20">
        <f t="shared" si="183"/>
        <v>8.0726688341261168E-13</v>
      </c>
      <c r="FI194" s="59">
        <f t="shared" si="131"/>
        <v>290.09305636890764</v>
      </c>
      <c r="FJ194" s="59">
        <f ca="1">AVERAGE(OFFSET($FI$3,0,0,'Données projet'!$E$16+1,1))-AVERAGE(OFFSET($H$3,0,0,'Données projet'!$E$16+1,1))</f>
        <v>285.8437404763045</v>
      </c>
      <c r="FK194" s="59">
        <f t="shared" si="156"/>
        <v>276.01618888357268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8.8081131814714286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8.8081131814714286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-1.7053025658242404E-13</v>
      </c>
      <c r="GA194" s="17">
        <f>FZ194*VLOOKUP('Données projet'!$B$17,Paramètres!$A$1:$I$89,3,0)*VLOOKUP('Données projet'!$B$17,Paramètres!$A$1:$I$89,5,0)</f>
        <v>-1.3567387213697657E-13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323.01113210765487</v>
      </c>
      <c r="GF194" s="59">
        <f t="shared" si="158"/>
        <v>311.68541696405975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10.111307548362879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10.111307548362879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2.8421709430404007E-14</v>
      </c>
      <c r="GV194" s="17">
        <f>GU194*VLOOKUP('Données projet'!$B$18,Paramètres!$A$1:$I$89,3,0)*VLOOKUP('Données projet'!$B$18,Paramètres!$A$1:$I$89,5,0)</f>
        <v>2.4829205358400945E-14</v>
      </c>
      <c r="GW194" s="13">
        <f t="shared" si="188"/>
        <v>4.3867331143352915E-13</v>
      </c>
      <c r="GX194" s="20">
        <f t="shared" si="189"/>
        <v>8.0726688341261168E-13</v>
      </c>
      <c r="GY194" s="59">
        <f t="shared" si="137"/>
        <v>290.09305636890764</v>
      </c>
      <c r="GZ194" s="59">
        <f ca="1">AVERAGE(OFFSET($GY$3,0,0,'Données projet'!$E$18+1,1))-AVERAGE(OFFSET($H$3,0,0,'Données projet'!$E$18+1,1))</f>
        <v>285.8437404763045</v>
      </c>
      <c r="HA194" s="59">
        <f t="shared" si="160"/>
        <v>276.01618888357268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8.8081131814714286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8.8081131814714286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-1.0286385077051818E-13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315.34103933739129</v>
      </c>
      <c r="T195" s="59">
        <f t="shared" si="142"/>
        <v>165.80901858372513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24.343569188213102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24.343569188213102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-2.0395418687257919E-13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317.328615425664</v>
      </c>
      <c r="AO195" s="59">
        <f t="shared" si="144"/>
        <v>324.95872842255744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12.854155761391585</v>
      </c>
      <c r="AV195" s="21">
        <f>EXP(-LN(2)/25)*AV194+(1-EXP(-LN(2)/25))/(LN(2)/25)*Calculateur!AQ195*Calculateur!AS195*VLOOKUP('Données projet'!$B$10,Paramètres!$A$1:$I$89,3,0)*0.475*44/12</f>
        <v>0.87092613384974316</v>
      </c>
      <c r="AW195" s="21">
        <f>EXP(-LN(2)/2)*AW194+(1-EXP(-LN(2)/2))/(LN(2)/2)*AQ195*AT195*VLOOKUP('Données projet'!$B$10,Paramètres!$A$1:$I$89,3,0)*0.475*44/12</f>
        <v>3.6452591221271852E-19</v>
      </c>
      <c r="AX195" s="21">
        <f t="shared" si="166"/>
        <v>13.725081895241328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-6.5483618527650828E-14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418.31716673276725</v>
      </c>
      <c r="BJ195" s="59">
        <f t="shared" si="146"/>
        <v>472.37891533957929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10.028487341515399</v>
      </c>
      <c r="BQ195" s="21">
        <f>EXP(-LN(2)/25)*BQ194+(1-EXP(-LN(2)/25))/(LN(2)/25)*Calculateur!BL195*Calculateur!BN195*VLOOKUP('Données projet'!$B$11,Paramètres!$A$1:$I$89,3,0)*0.475*44/12</f>
        <v>0.7944724711950466</v>
      </c>
      <c r="BR195" s="21">
        <f>EXP(-LN(2)/2)*BR194+(1-EXP(-LN(2)/2))/(LN(2)/2)*BL195*BO195*VLOOKUP('Données projet'!$B$11,Paramètres!$A$1:$I$89,3,0)*0.475*44/12</f>
        <v>5.6537656414193441E-19</v>
      </c>
      <c r="BS195" s="22">
        <f t="shared" si="169"/>
        <v>10.822959812710446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1.1368683772161603E-13</v>
      </c>
      <c r="BZ195" s="13">
        <f>BY195*VLOOKUP('Données projet'!$B$12,Paramètres!$A$1:$I$89,3,0)*VLOOKUP('Données projet'!$B$12,Paramètres!$A$1:$I$89,5,0)</f>
        <v>6.6506800067145386E-14</v>
      </c>
      <c r="CA195" s="13">
        <f t="shared" si="170"/>
        <v>1.0476989505385114E-12</v>
      </c>
      <c r="CB195" s="20">
        <f t="shared" si="171"/>
        <v>1.9405750156381857E-12</v>
      </c>
      <c r="CC195" s="59">
        <f t="shared" si="119"/>
        <v>290.14926793006759</v>
      </c>
      <c r="CD195" s="59">
        <f ca="1">AVERAGE(OFFSET($CC$3,0,0,'Données projet'!$E$12+1,1))-AVERAGE(OFFSET($H$3,0,0,'Données projet'!$E$12+1,1))</f>
        <v>184.11352167663844</v>
      </c>
      <c r="CE195" s="59">
        <f t="shared" si="148"/>
        <v>145.86653500981791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7.2903559582402204</v>
      </c>
      <c r="CL195" s="21">
        <f>EXP(-LN(2)/25)*CL194+(1-EXP(-LN(2)/25))/(LN(2)/25)*Calculateur!CG195*Calculateur!CI195*VLOOKUP('Données projet'!$B$12,Paramètres!$A$1:$I$89,3,0)*0.475*44/12</f>
        <v>1.2605420565846044</v>
      </c>
      <c r="CM195" s="21">
        <f>EXP(-LN(2)/2)*CM194+(1-EXP(-LN(2)/2))/(LN(2)/2)*CG195*CJ195*VLOOKUP('Données projet'!$B$12,Paramètres!$A$1:$I$89,3,0)*0.475*44/12</f>
        <v>8.3889774000837902E-15</v>
      </c>
      <c r="CN195" s="22">
        <f t="shared" si="172"/>
        <v>8.550898014824833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-3.979039320256561E-13</v>
      </c>
      <c r="CU195" s="17">
        <f>CT195*VLOOKUP('Données projet'!$B$13,Paramètres!$A$1:$I$89,3,0)*VLOOKUP('Données projet'!$B$13,Paramètres!$A$1:$I$89,5,0)</f>
        <v>-1.9139179130434059E-13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303.76035885073708</v>
      </c>
      <c r="CZ195" s="59">
        <f t="shared" si="150"/>
        <v>127.43112562890414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51.294417641075938</v>
      </c>
      <c r="DG195" s="21">
        <f>EXP(-LN(2)/25)*DG194+(1-EXP(-LN(2)/25))/(LN(2)/25)*Calculateur!DB195*Calculateur!DD195*VLOOKUP('Données projet'!$B$13,Paramètres!$A$1:$I$89,3,0)*0.475*44/12</f>
        <v>15.996470758321687</v>
      </c>
      <c r="DH195" s="21">
        <f>EXP(-LN(2)/2)*DH194+(1-EXP(-LN(2)/2))/(LN(2)/2)*DB195*DE195*VLOOKUP('Données projet'!$B$13,Paramètres!$A$1:$I$89,3,0)*0.475*44/12</f>
        <v>1.8244093702590319E-3</v>
      </c>
      <c r="DI195" s="22">
        <f t="shared" si="175"/>
        <v>67.292712808767888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5.6843418860808015E-14</v>
      </c>
      <c r="DP195" s="17">
        <f>DO195*VLOOKUP('Données projet'!$B$14,Paramètres!$A$1:$I$89,3,0)*VLOOKUP('Données projet'!$B$14,Paramètres!$A$1:$I$89,5,0)</f>
        <v>3.2810021366458389E-14</v>
      </c>
      <c r="DQ195" s="13">
        <f t="shared" si="176"/>
        <v>5.6117125884464641E-13</v>
      </c>
      <c r="DR195" s="20">
        <f t="shared" si="177"/>
        <v>1.0345173963676741E-12</v>
      </c>
      <c r="DS195" s="59">
        <f t="shared" si="125"/>
        <v>290.14926793006669</v>
      </c>
      <c r="DT195" s="59">
        <f ca="1">AVERAGE(OFFSET($DS$3,0,0,'Données projet'!$E$14+1,1))-AVERAGE(OFFSET($H$3,0,0,'Données projet'!$E$14+1,1))</f>
        <v>243.65374431792841</v>
      </c>
      <c r="DU195" s="59">
        <f t="shared" si="152"/>
        <v>271.60754570002939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4.3595528816832108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4.3595528816832108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-4.5474735088646412E-13</v>
      </c>
      <c r="EK195" s="17">
        <f>EJ195*VLOOKUP('Données projet'!$B$15,Paramètres!$A$1:$I$89,3,0)*VLOOKUP('Données projet'!$B$15,Paramètres!$A$1:$I$89,5,0)</f>
        <v>-3.0504452297464016E-13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321.44781099085594</v>
      </c>
      <c r="EP195" s="59">
        <f t="shared" si="154"/>
        <v>201.22243186578183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27.312199089372143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27.312199089372143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2.8421709430404007E-14</v>
      </c>
      <c r="FF195" s="17">
        <f>FE195*VLOOKUP('Données projet'!$B$16,Paramètres!$A$1:$I$89,3,0)*VLOOKUP('Données projet'!$B$16,Paramètres!$A$1:$I$89,5,0)</f>
        <v>2.4829205358400945E-14</v>
      </c>
      <c r="FG195" s="13">
        <f t="shared" si="182"/>
        <v>4.3867331143352915E-13</v>
      </c>
      <c r="FH195" s="20">
        <f t="shared" si="183"/>
        <v>8.0726688341261168E-13</v>
      </c>
      <c r="FI195" s="59">
        <f t="shared" si="131"/>
        <v>290.14926793006646</v>
      </c>
      <c r="FJ195" s="59">
        <f ca="1">AVERAGE(OFFSET($FI$3,0,0,'Données projet'!$E$16+1,1))-AVERAGE(OFFSET($H$3,0,0,'Données projet'!$E$16+1,1))</f>
        <v>285.8437404763045</v>
      </c>
      <c r="FK195" s="59">
        <f t="shared" si="156"/>
        <v>276.01618888357268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8.6353914544013328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8.6353914544013328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-1.7053025658242404E-13</v>
      </c>
      <c r="GA195" s="17">
        <f>FZ195*VLOOKUP('Données projet'!$B$17,Paramètres!$A$1:$I$89,3,0)*VLOOKUP('Données projet'!$B$17,Paramètres!$A$1:$I$89,5,0)</f>
        <v>-1.3567387213697657E-13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323.01113210765487</v>
      </c>
      <c r="GF195" s="59">
        <f t="shared" si="158"/>
        <v>311.68541696405975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9.9130309746281178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9.9130309746281178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2.8421709430404007E-14</v>
      </c>
      <c r="GV195" s="17">
        <f>GU195*VLOOKUP('Données projet'!$B$18,Paramètres!$A$1:$I$89,3,0)*VLOOKUP('Données projet'!$B$18,Paramètres!$A$1:$I$89,5,0)</f>
        <v>2.4829205358400945E-14</v>
      </c>
      <c r="GW195" s="13">
        <f t="shared" si="188"/>
        <v>4.3867331143352915E-13</v>
      </c>
      <c r="GX195" s="20">
        <f t="shared" si="189"/>
        <v>8.0726688341261168E-13</v>
      </c>
      <c r="GY195" s="59">
        <f t="shared" si="137"/>
        <v>290.14926793006646</v>
      </c>
      <c r="GZ195" s="59">
        <f ca="1">AVERAGE(OFFSET($GY$3,0,0,'Données projet'!$E$18+1,1))-AVERAGE(OFFSET($H$3,0,0,'Données projet'!$E$18+1,1))</f>
        <v>285.8437404763045</v>
      </c>
      <c r="HA195" s="59">
        <f t="shared" si="160"/>
        <v>276.01618888357268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8.6353914544013328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8.6353914544013328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-1.0286385077051818E-13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315.34103933739129</v>
      </c>
      <c r="T196" s="59">
        <f t="shared" si="142"/>
        <v>165.80901858372513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23.866206644543318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23.866206644543318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-2.0395418687257919E-13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317.328615425664</v>
      </c>
      <c r="AO196" s="59">
        <f t="shared" si="144"/>
        <v>324.95872842255744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12.602093607171549</v>
      </c>
      <c r="AV196" s="21">
        <f>EXP(-LN(2)/25)*AV195+(1-EXP(-LN(2)/25))/(LN(2)/25)*Calculateur!AQ196*Calculateur!AS196*VLOOKUP('Données projet'!$B$10,Paramètres!$A$1:$I$89,3,0)*0.475*44/12</f>
        <v>0.8471106129196071</v>
      </c>
      <c r="AW196" s="21">
        <f>EXP(-LN(2)/2)*AW195+(1-EXP(-LN(2)/2))/(LN(2)/2)*AQ196*AT196*VLOOKUP('Données projet'!$B$10,Paramètres!$A$1:$I$89,3,0)*0.475*44/12</f>
        <v>2.5775874444382538E-19</v>
      </c>
      <c r="AX196" s="21">
        <f t="shared" si="166"/>
        <v>13.449204220091156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-6.5483618527650828E-14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418.31716673276725</v>
      </c>
      <c r="BJ196" s="59">
        <f t="shared" si="146"/>
        <v>472.37891533957929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9.8318348215215785</v>
      </c>
      <c r="BQ196" s="21">
        <f>EXP(-LN(2)/25)*BQ195+(1-EXP(-LN(2)/25))/(LN(2)/25)*Calculateur!BL196*Calculateur!BN196*VLOOKUP('Données projet'!$B$11,Paramètres!$A$1:$I$89,3,0)*0.475*44/12</f>
        <v>0.7727475796907266</v>
      </c>
      <c r="BR196" s="21">
        <f>EXP(-LN(2)/2)*BR195+(1-EXP(-LN(2)/2))/(LN(2)/2)*BL196*BO196*VLOOKUP('Données projet'!$B$11,Paramètres!$A$1:$I$89,3,0)*0.475*44/12</f>
        <v>3.9978160242871287E-19</v>
      </c>
      <c r="BS196" s="22">
        <f t="shared" si="169"/>
        <v>10.604582401212305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1.1368683772161603E-13</v>
      </c>
      <c r="BZ196" s="13">
        <f>BY196*VLOOKUP('Données projet'!$B$12,Paramètres!$A$1:$I$89,3,0)*VLOOKUP('Données projet'!$B$12,Paramètres!$A$1:$I$89,5,0)</f>
        <v>6.6506800067145386E-14</v>
      </c>
      <c r="CA196" s="13">
        <f t="shared" si="170"/>
        <v>1.0476989505385114E-12</v>
      </c>
      <c r="CB196" s="20">
        <f t="shared" si="171"/>
        <v>1.9405750156381857E-12</v>
      </c>
      <c r="CC196" s="59">
        <f t="shared" ref="CC196:CC203" si="195">CB196+(BT196+BU196)*44/12</f>
        <v>290.20450434631044</v>
      </c>
      <c r="CD196" s="59">
        <f ca="1">AVERAGE(OFFSET($CC$3,0,0,'Données projet'!$E$12+1,1))-AVERAGE(OFFSET($H$3,0,0,'Données projet'!$E$12+1,1))</f>
        <v>184.11352167663844</v>
      </c>
      <c r="CE196" s="59">
        <f t="shared" si="148"/>
        <v>145.86653500981791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7.1473965245771911</v>
      </c>
      <c r="CL196" s="21">
        <f>EXP(-LN(2)/25)*CL195+(1-EXP(-LN(2)/25))/(LN(2)/25)*Calculateur!CG196*Calculateur!CI196*VLOOKUP('Données projet'!$B$12,Paramètres!$A$1:$I$89,3,0)*0.475*44/12</f>
        <v>1.2260724677582726</v>
      </c>
      <c r="CM196" s="21">
        <f>EXP(-LN(2)/2)*CM195+(1-EXP(-LN(2)/2))/(LN(2)/2)*CG196*CJ196*VLOOKUP('Données projet'!$B$12,Paramètres!$A$1:$I$89,3,0)*0.475*44/12</f>
        <v>5.9319028068199411E-15</v>
      </c>
      <c r="CN196" s="22">
        <f t="shared" si="172"/>
        <v>8.3734689923354697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-3.979039320256561E-13</v>
      </c>
      <c r="CU196" s="17">
        <f>CT196*VLOOKUP('Données projet'!$B$13,Paramètres!$A$1:$I$89,3,0)*VLOOKUP('Données projet'!$B$13,Paramètres!$A$1:$I$89,5,0)</f>
        <v>-1.9139179130434059E-13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303.76035885073708</v>
      </c>
      <c r="CZ196" s="59">
        <f t="shared" si="150"/>
        <v>127.43112562890414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50.288565397639914</v>
      </c>
      <c r="DG196" s="21">
        <f>EXP(-LN(2)/25)*DG195+(1-EXP(-LN(2)/25))/(LN(2)/25)*Calculateur!DB196*Calculateur!DD196*VLOOKUP('Données projet'!$B$13,Paramètres!$A$1:$I$89,3,0)*0.475*44/12</f>
        <v>15.559046424217543</v>
      </c>
      <c r="DH196" s="21">
        <f>EXP(-LN(2)/2)*DH195+(1-EXP(-LN(2)/2))/(LN(2)/2)*DB196*DE196*VLOOKUP('Données projet'!$B$13,Paramètres!$A$1:$I$89,3,0)*0.475*44/12</f>
        <v>1.2900522373704402E-3</v>
      </c>
      <c r="DI196" s="22">
        <f t="shared" si="175"/>
        <v>65.848901874094821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5.6843418860808015E-14</v>
      </c>
      <c r="DP196" s="17">
        <f>DO196*VLOOKUP('Données projet'!$B$14,Paramètres!$A$1:$I$89,3,0)*VLOOKUP('Données projet'!$B$14,Paramètres!$A$1:$I$89,5,0)</f>
        <v>3.2810021366458389E-14</v>
      </c>
      <c r="DQ196" s="13">
        <f t="shared" si="176"/>
        <v>5.6117125884464641E-13</v>
      </c>
      <c r="DR196" s="20">
        <f t="shared" si="177"/>
        <v>1.0345173963676741E-12</v>
      </c>
      <c r="DS196" s="59">
        <f t="shared" ref="DS196:DS203" si="197">DR196+(DJ196+DK196)*44/12</f>
        <v>290.20450434630953</v>
      </c>
      <c r="DT196" s="59">
        <f ca="1">AVERAGE(OFFSET($DS$3,0,0,'Données projet'!$E$14+1,1))-AVERAGE(OFFSET($H$3,0,0,'Données projet'!$E$14+1,1))</f>
        <v>243.65374431792841</v>
      </c>
      <c r="DU196" s="59">
        <f t="shared" si="152"/>
        <v>271.60754570002939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4.2740647087381003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4.2740647087381003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-4.5474735088646412E-13</v>
      </c>
      <c r="EK196" s="17">
        <f>EJ196*VLOOKUP('Données projet'!$B$15,Paramètres!$A$1:$I$89,3,0)*VLOOKUP('Données projet'!$B$15,Paramètres!$A$1:$I$89,5,0)</f>
        <v>-3.0504452297464016E-13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321.44781099085594</v>
      </c>
      <c r="EP196" s="59">
        <f t="shared" si="154"/>
        <v>201.22243186578183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26.776623524026082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26.776623524026082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2.8421709430404007E-14</v>
      </c>
      <c r="FF196" s="17">
        <f>FE196*VLOOKUP('Données projet'!$B$16,Paramètres!$A$1:$I$89,3,0)*VLOOKUP('Données projet'!$B$16,Paramètres!$A$1:$I$89,5,0)</f>
        <v>2.4829205358400945E-14</v>
      </c>
      <c r="FG196" s="13">
        <f t="shared" si="182"/>
        <v>4.3867331143352915E-13</v>
      </c>
      <c r="FH196" s="20">
        <f t="shared" si="183"/>
        <v>8.0726688341261168E-13</v>
      </c>
      <c r="FI196" s="59">
        <f t="shared" ref="FI196:FI203" si="199">FH196+(EZ196+FA196)*44/12</f>
        <v>290.20450434630931</v>
      </c>
      <c r="FJ196" s="59">
        <f ca="1">AVERAGE(OFFSET($FI$3,0,0,'Données projet'!$E$16+1,1))-AVERAGE(OFFSET($H$3,0,0,'Données projet'!$E$16+1,1))</f>
        <v>285.8437404763045</v>
      </c>
      <c r="FK196" s="59">
        <f t="shared" si="156"/>
        <v>276.01618888357268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8.4660566950492306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8.4660566950492306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-1.7053025658242404E-13</v>
      </c>
      <c r="GA196" s="17">
        <f>FZ196*VLOOKUP('Données projet'!$B$17,Paramètres!$A$1:$I$89,3,0)*VLOOKUP('Données projet'!$B$17,Paramètres!$A$1:$I$89,5,0)</f>
        <v>-1.3567387213697657E-13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323.01113210765487</v>
      </c>
      <c r="GF196" s="59">
        <f t="shared" si="158"/>
        <v>311.68541696405975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9.7186424835675265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9.7186424835675265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2.8421709430404007E-14</v>
      </c>
      <c r="GV196" s="17">
        <f>GU196*VLOOKUP('Données projet'!$B$18,Paramètres!$A$1:$I$89,3,0)*VLOOKUP('Données projet'!$B$18,Paramètres!$A$1:$I$89,5,0)</f>
        <v>2.4829205358400945E-14</v>
      </c>
      <c r="GW196" s="13">
        <f t="shared" si="188"/>
        <v>4.3867331143352915E-13</v>
      </c>
      <c r="GX196" s="20">
        <f t="shared" si="189"/>
        <v>8.0726688341261168E-13</v>
      </c>
      <c r="GY196" s="59">
        <f t="shared" ref="GY196:GY203" si="201">GX196+(GP196+GQ196)*44/12</f>
        <v>290.20450434630931</v>
      </c>
      <c r="GZ196" s="59">
        <f ca="1">AVERAGE(OFFSET($GY$3,0,0,'Données projet'!$E$18+1,1))-AVERAGE(OFFSET($H$3,0,0,'Données projet'!$E$18+1,1))</f>
        <v>285.8437404763045</v>
      </c>
      <c r="HA196" s="59">
        <f t="shared" si="160"/>
        <v>276.01618888357268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8.4660566950492306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8.4660566950492306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-1.0286385077051818E-13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315.34103933739129</v>
      </c>
      <c r="T197" s="59">
        <f t="shared" ref="T197:T203" si="204">$T$3</f>
        <v>165.80901858372513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23.398204889192499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23.398204889192499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-2.0395418687257919E-13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317.328615425664</v>
      </c>
      <c r="AO197" s="59">
        <f t="shared" ref="AO197:AO203" si="205">$AO$3</f>
        <v>324.95872842255744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12.354974238053034</v>
      </c>
      <c r="AV197" s="21">
        <f>EXP(-LN(2)/25)*AV196+(1-EXP(-LN(2)/25))/(LN(2)/25)*Calculateur!AQ197*Calculateur!AS197*VLOOKUP('Données projet'!$B$10,Paramètres!$A$1:$I$89,3,0)*0.475*44/12</f>
        <v>0.82394632866170936</v>
      </c>
      <c r="AW197" s="21">
        <f>EXP(-LN(2)/2)*AW196+(1-EXP(-LN(2)/2))/(LN(2)/2)*AQ197*AT197*VLOOKUP('Données projet'!$B$10,Paramètres!$A$1:$I$89,3,0)*0.475*44/12</f>
        <v>1.8226295610635926E-19</v>
      </c>
      <c r="AX197" s="21">
        <f t="shared" si="166"/>
        <v>13.178920566714742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-6.5483618527650828E-14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418.31716673276725</v>
      </c>
      <c r="BJ197" s="59">
        <f t="shared" ref="BJ197:BJ203" si="206">$BJ$3</f>
        <v>472.37891533957929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9.639038537498644</v>
      </c>
      <c r="BQ197" s="21">
        <f>EXP(-LN(2)/25)*BQ196+(1-EXP(-LN(2)/25))/(LN(2)/25)*Calculateur!BL197*Calculateur!BN197*VLOOKUP('Données projet'!$B$11,Paramètres!$A$1:$I$89,3,0)*0.475*44/12</f>
        <v>0.75161675648705462</v>
      </c>
      <c r="BR197" s="21">
        <f>EXP(-LN(2)/2)*BR196+(1-EXP(-LN(2)/2))/(LN(2)/2)*BL197*BO197*VLOOKUP('Données projet'!$B$11,Paramètres!$A$1:$I$89,3,0)*0.475*44/12</f>
        <v>2.826882820709672E-19</v>
      </c>
      <c r="BS197" s="22">
        <f t="shared" si="169"/>
        <v>10.390655293985699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1.1368683772161603E-13</v>
      </c>
      <c r="BZ197" s="13">
        <f>BY197*VLOOKUP('Données projet'!$B$12,Paramètres!$A$1:$I$89,3,0)*VLOOKUP('Données projet'!$B$12,Paramètres!$A$1:$I$89,5,0)</f>
        <v>6.6506800067145386E-14</v>
      </c>
      <c r="CA197" s="13">
        <f t="shared" si="170"/>
        <v>1.0476989505385114E-12</v>
      </c>
      <c r="CB197" s="20">
        <f t="shared" si="171"/>
        <v>1.9405750156381857E-12</v>
      </c>
      <c r="CC197" s="59">
        <f t="shared" si="195"/>
        <v>290.25878253422167</v>
      </c>
      <c r="CD197" s="59">
        <f ca="1">AVERAGE(OFFSET($CC$3,0,0,'Données projet'!$E$12+1,1))-AVERAGE(OFFSET($H$3,0,0,'Données projet'!$E$12+1,1))</f>
        <v>184.11352167663844</v>
      </c>
      <c r="CE197" s="59">
        <f t="shared" ref="CE197:CE203" si="207">$CE$3</f>
        <v>145.86653500981791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7.0072404382116495</v>
      </c>
      <c r="CL197" s="21">
        <f>EXP(-LN(2)/25)*CL196+(1-EXP(-LN(2)/25))/(LN(2)/25)*Calculateur!CG197*Calculateur!CI197*VLOOKUP('Données projet'!$B$12,Paramètres!$A$1:$I$89,3,0)*0.475*44/12</f>
        <v>1.1925454516510738</v>
      </c>
      <c r="CM197" s="21">
        <f>EXP(-LN(2)/2)*CM196+(1-EXP(-LN(2)/2))/(LN(2)/2)*CG197*CJ197*VLOOKUP('Données projet'!$B$12,Paramètres!$A$1:$I$89,3,0)*0.475*44/12</f>
        <v>4.1944887000418951E-15</v>
      </c>
      <c r="CN197" s="22">
        <f t="shared" si="172"/>
        <v>8.1997858898627278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-3.979039320256561E-13</v>
      </c>
      <c r="CU197" s="17">
        <f>CT197*VLOOKUP('Données projet'!$B$13,Paramètres!$A$1:$I$89,3,0)*VLOOKUP('Données projet'!$B$13,Paramètres!$A$1:$I$89,5,0)</f>
        <v>-1.9139179130434059E-13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303.76035885073708</v>
      </c>
      <c r="CZ197" s="59">
        <f t="shared" ref="CZ197:CZ203" si="208">$CZ$3</f>
        <v>127.43112562890414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49.302437303188384</v>
      </c>
      <c r="DG197" s="21">
        <f>EXP(-LN(2)/25)*DG196+(1-EXP(-LN(2)/25))/(LN(2)/25)*Calculateur!DB197*Calculateur!DD197*VLOOKUP('Données projet'!$B$13,Paramètres!$A$1:$I$89,3,0)*0.475*44/12</f>
        <v>15.133583481532623</v>
      </c>
      <c r="DH197" s="21">
        <f>EXP(-LN(2)/2)*DH196+(1-EXP(-LN(2)/2))/(LN(2)/2)*DB197*DE197*VLOOKUP('Données projet'!$B$13,Paramètres!$A$1:$I$89,3,0)*0.475*44/12</f>
        <v>9.1220468512951596E-4</v>
      </c>
      <c r="DI197" s="22">
        <f t="shared" si="175"/>
        <v>64.436932989406145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5.6843418860808015E-14</v>
      </c>
      <c r="DP197" s="17">
        <f>DO197*VLOOKUP('Données projet'!$B$14,Paramètres!$A$1:$I$89,3,0)*VLOOKUP('Données projet'!$B$14,Paramètres!$A$1:$I$89,5,0)</f>
        <v>3.2810021366458389E-14</v>
      </c>
      <c r="DQ197" s="13">
        <f t="shared" si="176"/>
        <v>5.6117125884464641E-13</v>
      </c>
      <c r="DR197" s="20">
        <f t="shared" si="177"/>
        <v>1.0345173963676741E-12</v>
      </c>
      <c r="DS197" s="59">
        <f t="shared" si="197"/>
        <v>290.25878253422076</v>
      </c>
      <c r="DT197" s="59">
        <f ca="1">AVERAGE(OFFSET($DS$3,0,0,'Données projet'!$E$14+1,1))-AVERAGE(OFFSET($H$3,0,0,'Données projet'!$E$14+1,1))</f>
        <v>243.65374431792841</v>
      </c>
      <c r="DU197" s="59">
        <f t="shared" ref="DU197:DU203" si="209">$DU$3</f>
        <v>271.60754570002939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4.1902529067218062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4.1902529067218062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-4.5474735088646412E-13</v>
      </c>
      <c r="EK197" s="17">
        <f>EJ197*VLOOKUP('Données projet'!$B$15,Paramètres!$A$1:$I$89,3,0)*VLOOKUP('Données projet'!$B$15,Paramètres!$A$1:$I$89,5,0)</f>
        <v>-3.0504452297464016E-13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321.44781099085594</v>
      </c>
      <c r="EP197" s="59">
        <f t="shared" ref="EP197:EP203" si="210">$EP$3</f>
        <v>201.22243186578183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26.251550268847616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26.251550268847616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2.8421709430404007E-14</v>
      </c>
      <c r="FF197" s="17">
        <f>FE197*VLOOKUP('Données projet'!$B$16,Paramètres!$A$1:$I$89,3,0)*VLOOKUP('Données projet'!$B$16,Paramètres!$A$1:$I$89,5,0)</f>
        <v>2.4829205358400945E-14</v>
      </c>
      <c r="FG197" s="13">
        <f t="shared" si="182"/>
        <v>4.3867331143352915E-13</v>
      </c>
      <c r="FH197" s="20">
        <f t="shared" si="183"/>
        <v>8.0726688341261168E-13</v>
      </c>
      <c r="FI197" s="59">
        <f t="shared" si="199"/>
        <v>290.25878253422053</v>
      </c>
      <c r="FJ197" s="59">
        <f ca="1">AVERAGE(OFFSET($FI$3,0,0,'Données projet'!$E$16+1,1))-AVERAGE(OFFSET($H$3,0,0,'Données projet'!$E$16+1,1))</f>
        <v>285.8437404763045</v>
      </c>
      <c r="FK197" s="59">
        <f t="shared" ref="FK197:FK203" si="211">$FK$3</f>
        <v>276.01618888357268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8.300042487044017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8.300042487044017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-1.7053025658242404E-13</v>
      </c>
      <c r="GA197" s="17">
        <f>FZ197*VLOOKUP('Données projet'!$B$17,Paramètres!$A$1:$I$89,3,0)*VLOOKUP('Données projet'!$B$17,Paramètres!$A$1:$I$89,5,0)</f>
        <v>-1.3567387213697657E-13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323.01113210765487</v>
      </c>
      <c r="GF197" s="59">
        <f t="shared" ref="GF197:GF203" si="212">$GF$3</f>
        <v>311.68541696405975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9.5280658322513627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9.5280658322513627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2.8421709430404007E-14</v>
      </c>
      <c r="GV197" s="17">
        <f>GU197*VLOOKUP('Données projet'!$B$18,Paramètres!$A$1:$I$89,3,0)*VLOOKUP('Données projet'!$B$18,Paramètres!$A$1:$I$89,5,0)</f>
        <v>2.4829205358400945E-14</v>
      </c>
      <c r="GW197" s="13">
        <f t="shared" si="188"/>
        <v>4.3867331143352915E-13</v>
      </c>
      <c r="GX197" s="20">
        <f t="shared" si="189"/>
        <v>8.0726688341261168E-13</v>
      </c>
      <c r="GY197" s="59">
        <f t="shared" si="201"/>
        <v>290.25878253422053</v>
      </c>
      <c r="GZ197" s="59">
        <f ca="1">AVERAGE(OFFSET($GY$3,0,0,'Données projet'!$E$18+1,1))-AVERAGE(OFFSET($H$3,0,0,'Données projet'!$E$18+1,1))</f>
        <v>285.8437404763045</v>
      </c>
      <c r="HA197" s="59">
        <f t="shared" ref="HA197:HA203" si="213">$HA$3</f>
        <v>276.01618888357268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8.300042487044017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8.300042487044017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-1.0286385077051818E-13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315.34103933739129</v>
      </c>
      <c r="T198" s="59">
        <f t="shared" si="204"/>
        <v>165.80901858372513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22.939380362811225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22.939380362811225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-2.0395418687257919E-13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317.328615425664</v>
      </c>
      <c r="AO198" s="59">
        <f t="shared" si="205"/>
        <v>324.95872842255744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12.112700729035002</v>
      </c>
      <c r="AV198" s="21">
        <f>EXP(-LN(2)/25)*AV197+(1-EXP(-LN(2)/25))/(LN(2)/25)*Calculateur!AQ198*Calculateur!AS198*VLOOKUP('Données projet'!$B$10,Paramètres!$A$1:$I$89,3,0)*0.475*44/12</f>
        <v>0.8014154729750006</v>
      </c>
      <c r="AW198" s="21">
        <f>EXP(-LN(2)/2)*AW197+(1-EXP(-LN(2)/2))/(LN(2)/2)*AQ198*AT198*VLOOKUP('Données projet'!$B$10,Paramètres!$A$1:$I$89,3,0)*0.475*44/12</f>
        <v>1.2887937222191269E-19</v>
      </c>
      <c r="AX198" s="21">
        <f t="shared" si="166"/>
        <v>12.914116202010002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-6.5483618527650828E-14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418.31716673276725</v>
      </c>
      <c r="BJ198" s="59">
        <f t="shared" si="206"/>
        <v>472.37891533957929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9.4500228710112779</v>
      </c>
      <c r="BQ198" s="21">
        <f>EXP(-LN(2)/25)*BQ197+(1-EXP(-LN(2)/25))/(LN(2)/25)*Calculateur!BL198*Calculateur!BN198*VLOOKUP('Données projet'!$B$11,Paramètres!$A$1:$I$89,3,0)*0.475*44/12</f>
        <v>0.73106375675510871</v>
      </c>
      <c r="BR198" s="21">
        <f>EXP(-LN(2)/2)*BR197+(1-EXP(-LN(2)/2))/(LN(2)/2)*BL198*BO198*VLOOKUP('Données projet'!$B$11,Paramètres!$A$1:$I$89,3,0)*0.475*44/12</f>
        <v>1.9989080121435643E-19</v>
      </c>
      <c r="BS198" s="22">
        <f t="shared" si="169"/>
        <v>10.181086627766387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1.1368683772161603E-13</v>
      </c>
      <c r="BZ198" s="13">
        <f>BY198*VLOOKUP('Données projet'!$B$12,Paramètres!$A$1:$I$89,3,0)*VLOOKUP('Données projet'!$B$12,Paramètres!$A$1:$I$89,5,0)</f>
        <v>6.6506800067145386E-14</v>
      </c>
      <c r="CA198" s="13">
        <f t="shared" si="170"/>
        <v>1.0476989505385114E-12</v>
      </c>
      <c r="CB198" s="20">
        <f t="shared" si="171"/>
        <v>1.9405750156381857E-12</v>
      </c>
      <c r="CC198" s="59">
        <f t="shared" si="195"/>
        <v>290.31211911692043</v>
      </c>
      <c r="CD198" s="59">
        <f ca="1">AVERAGE(OFFSET($CC$3,0,0,'Données projet'!$E$12+1,1))-AVERAGE(OFFSET($H$3,0,0,'Données projet'!$E$12+1,1))</f>
        <v>184.11352167663844</v>
      </c>
      <c r="CE198" s="59">
        <f t="shared" si="207"/>
        <v>145.86653500981791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6.8698327272129642</v>
      </c>
      <c r="CL198" s="21">
        <f>EXP(-LN(2)/25)*CL197+(1-EXP(-LN(2)/25))/(LN(2)/25)*Calculateur!CG198*Calculateur!CI198*VLOOKUP('Données projet'!$B$12,Paramètres!$A$1:$I$89,3,0)*0.475*44/12</f>
        <v>1.1599352335624356</v>
      </c>
      <c r="CM198" s="21">
        <f>EXP(-LN(2)/2)*CM197+(1-EXP(-LN(2)/2))/(LN(2)/2)*CG198*CJ198*VLOOKUP('Données projet'!$B$12,Paramètres!$A$1:$I$89,3,0)*0.475*44/12</f>
        <v>2.9659514034099705E-15</v>
      </c>
      <c r="CN198" s="22">
        <f t="shared" si="172"/>
        <v>8.0297679607754038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-3.979039320256561E-13</v>
      </c>
      <c r="CU198" s="17">
        <f>CT198*VLOOKUP('Données projet'!$B$13,Paramètres!$A$1:$I$89,3,0)*VLOOKUP('Données projet'!$B$13,Paramètres!$A$1:$I$89,5,0)</f>
        <v>-1.9139179130434059E-13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303.76035885073708</v>
      </c>
      <c r="CZ198" s="59">
        <f t="shared" si="208"/>
        <v>127.43112562890414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48.335646579190296</v>
      </c>
      <c r="DG198" s="21">
        <f>EXP(-LN(2)/25)*DG197+(1-EXP(-LN(2)/25))/(LN(2)/25)*Calculateur!DB198*Calculateur!DD198*VLOOKUP('Données projet'!$B$13,Paramètres!$A$1:$I$89,3,0)*0.475*44/12</f>
        <v>14.719754845389547</v>
      </c>
      <c r="DH198" s="21">
        <f>EXP(-LN(2)/2)*DH197+(1-EXP(-LN(2)/2))/(LN(2)/2)*DB198*DE198*VLOOKUP('Données projet'!$B$13,Paramètres!$A$1:$I$89,3,0)*0.475*44/12</f>
        <v>6.4502611868522011E-4</v>
      </c>
      <c r="DI198" s="22">
        <f t="shared" si="175"/>
        <v>63.056046450698524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5.6843418860808015E-14</v>
      </c>
      <c r="DP198" s="17">
        <f>DO198*VLOOKUP('Données projet'!$B$14,Paramètres!$A$1:$I$89,3,0)*VLOOKUP('Données projet'!$B$14,Paramètres!$A$1:$I$89,5,0)</f>
        <v>3.2810021366458389E-14</v>
      </c>
      <c r="DQ198" s="13">
        <f t="shared" si="176"/>
        <v>5.6117125884464641E-13</v>
      </c>
      <c r="DR198" s="20">
        <f t="shared" si="177"/>
        <v>1.0345173963676741E-12</v>
      </c>
      <c r="DS198" s="59">
        <f t="shared" si="197"/>
        <v>290.31211911691952</v>
      </c>
      <c r="DT198" s="59">
        <f ca="1">AVERAGE(OFFSET($DS$3,0,0,'Données projet'!$E$14+1,1))-AVERAGE(OFFSET($H$3,0,0,'Données projet'!$E$14+1,1))</f>
        <v>243.65374431792841</v>
      </c>
      <c r="DU198" s="59">
        <f t="shared" si="209"/>
        <v>271.60754570002939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4.1080846030228999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4.1080846030228999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-4.5474735088646412E-13</v>
      </c>
      <c r="EK198" s="17">
        <f>EJ198*VLOOKUP('Données projet'!$B$15,Paramètres!$A$1:$I$89,3,0)*VLOOKUP('Données projet'!$B$15,Paramètres!$A$1:$I$89,5,0)</f>
        <v>-3.0504452297464016E-13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321.44781099085594</v>
      </c>
      <c r="EP198" s="59">
        <f t="shared" si="210"/>
        <v>201.22243186578183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25.736773379940139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25.736773379940139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2.8421709430404007E-14</v>
      </c>
      <c r="FF198" s="17">
        <f>FE198*VLOOKUP('Données projet'!$B$16,Paramètres!$A$1:$I$89,3,0)*VLOOKUP('Données projet'!$B$16,Paramètres!$A$1:$I$89,5,0)</f>
        <v>2.4829205358400945E-14</v>
      </c>
      <c r="FG198" s="13">
        <f t="shared" si="182"/>
        <v>4.3867331143352915E-13</v>
      </c>
      <c r="FH198" s="20">
        <f t="shared" si="183"/>
        <v>8.0726688341261168E-13</v>
      </c>
      <c r="FI198" s="59">
        <f t="shared" si="199"/>
        <v>290.31211911691929</v>
      </c>
      <c r="FJ198" s="59">
        <f ca="1">AVERAGE(OFFSET($FI$3,0,0,'Données projet'!$E$16+1,1))-AVERAGE(OFFSET($H$3,0,0,'Données projet'!$E$16+1,1))</f>
        <v>285.8437404763045</v>
      </c>
      <c r="FK198" s="59">
        <f t="shared" si="211"/>
        <v>276.01618888357268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8.1372837163991178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8.1372837163991178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-1.7053025658242404E-13</v>
      </c>
      <c r="GA198" s="17">
        <f>FZ198*VLOOKUP('Données projet'!$B$17,Paramètres!$A$1:$I$89,3,0)*VLOOKUP('Données projet'!$B$17,Paramètres!$A$1:$I$89,5,0)</f>
        <v>-1.3567387213697657E-13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323.01113210765487</v>
      </c>
      <c r="GF198" s="59">
        <f t="shared" si="212"/>
        <v>311.68541696405975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9.3412262728272282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9.3412262728272282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2.8421709430404007E-14</v>
      </c>
      <c r="GV198" s="17">
        <f>GU198*VLOOKUP('Données projet'!$B$18,Paramètres!$A$1:$I$89,3,0)*VLOOKUP('Données projet'!$B$18,Paramètres!$A$1:$I$89,5,0)</f>
        <v>2.4829205358400945E-14</v>
      </c>
      <c r="GW198" s="13">
        <f t="shared" si="188"/>
        <v>4.3867331143352915E-13</v>
      </c>
      <c r="GX198" s="20">
        <f t="shared" si="189"/>
        <v>8.0726688341261168E-13</v>
      </c>
      <c r="GY198" s="59">
        <f t="shared" si="201"/>
        <v>290.31211911691929</v>
      </c>
      <c r="GZ198" s="59">
        <f ca="1">AVERAGE(OFFSET($GY$3,0,0,'Données projet'!$E$18+1,1))-AVERAGE(OFFSET($H$3,0,0,'Données projet'!$E$18+1,1))</f>
        <v>285.8437404763045</v>
      </c>
      <c r="HA198" s="59">
        <f t="shared" si="213"/>
        <v>276.01618888357268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8.1372837163991178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8.1372837163991178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-1.0286385077051818E-13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315.34103933739129</v>
      </c>
      <c r="T199" s="59">
        <f t="shared" si="204"/>
        <v>165.80901858372513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22.48955310553696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22.48955310553696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-2.0395418687257919E-13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317.328615425664</v>
      </c>
      <c r="AO199" s="59">
        <f t="shared" si="205"/>
        <v>324.95872842255744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11.875178055756564</v>
      </c>
      <c r="AV199" s="21">
        <f>EXP(-LN(2)/25)*AV198+(1-EXP(-LN(2)/25))/(LN(2)/25)*Calculateur!AQ199*Calculateur!AS199*VLOOKUP('Données projet'!$B$10,Paramètres!$A$1:$I$89,3,0)*0.475*44/12</f>
        <v>0.77950072472189114</v>
      </c>
      <c r="AW199" s="21">
        <f>EXP(-LN(2)/2)*AW198+(1-EXP(-LN(2)/2))/(LN(2)/2)*AQ199*AT199*VLOOKUP('Données projet'!$B$10,Paramètres!$A$1:$I$89,3,0)*0.475*44/12</f>
        <v>9.1131478053179631E-20</v>
      </c>
      <c r="AX199" s="21">
        <f t="shared" si="166"/>
        <v>12.654678780478456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-6.5483618527650828E-14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418.31716673276725</v>
      </c>
      <c r="BJ199" s="59">
        <f t="shared" si="206"/>
        <v>472.37891533957929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9.2647136864555559</v>
      </c>
      <c r="BQ199" s="21">
        <f>EXP(-LN(2)/25)*BQ198+(1-EXP(-LN(2)/25))/(LN(2)/25)*Calculateur!BL199*Calculateur!BN199*VLOOKUP('Données projet'!$B$11,Paramètres!$A$1:$I$89,3,0)*0.475*44/12</f>
        <v>0.71107277988166817</v>
      </c>
      <c r="BR199" s="21">
        <f>EXP(-LN(2)/2)*BR198+(1-EXP(-LN(2)/2))/(LN(2)/2)*BL199*BO199*VLOOKUP('Données projet'!$B$11,Paramètres!$A$1:$I$89,3,0)*0.475*44/12</f>
        <v>1.413441410354836E-19</v>
      </c>
      <c r="BS199" s="22">
        <f t="shared" si="169"/>
        <v>9.9757864663372242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1.1368683772161603E-13</v>
      </c>
      <c r="BZ199" s="13">
        <f>BY199*VLOOKUP('Données projet'!$B$12,Paramètres!$A$1:$I$89,3,0)*VLOOKUP('Données projet'!$B$12,Paramètres!$A$1:$I$89,5,0)</f>
        <v>6.6506800067145386E-14</v>
      </c>
      <c r="CA199" s="13">
        <f t="shared" si="170"/>
        <v>1.0476989505385114E-12</v>
      </c>
      <c r="CB199" s="20">
        <f t="shared" si="171"/>
        <v>1.9405750156381857E-12</v>
      </c>
      <c r="CC199" s="59">
        <f t="shared" si="195"/>
        <v>290.36453042915213</v>
      </c>
      <c r="CD199" s="59">
        <f ca="1">AVERAGE(OFFSET($CC$3,0,0,'Données projet'!$E$12+1,1))-AVERAGE(OFFSET($H$3,0,0,'Données projet'!$E$12+1,1))</f>
        <v>184.11352167663844</v>
      </c>
      <c r="CE199" s="59">
        <f t="shared" si="207"/>
        <v>145.86653500981791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6.7351194976165356</v>
      </c>
      <c r="CL199" s="21">
        <f>EXP(-LN(2)/25)*CL198+(1-EXP(-LN(2)/25))/(LN(2)/25)*Calculateur!CG199*Calculateur!CI199*VLOOKUP('Données projet'!$B$12,Paramètres!$A$1:$I$89,3,0)*0.475*44/12</f>
        <v>1.1282167436023278</v>
      </c>
      <c r="CM199" s="21">
        <f>EXP(-LN(2)/2)*CM198+(1-EXP(-LN(2)/2))/(LN(2)/2)*CG199*CJ199*VLOOKUP('Données projet'!$B$12,Paramètres!$A$1:$I$89,3,0)*0.475*44/12</f>
        <v>2.0972443500209476E-15</v>
      </c>
      <c r="CN199" s="22">
        <f t="shared" si="172"/>
        <v>7.8633362412188657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-3.979039320256561E-13</v>
      </c>
      <c r="CU199" s="17">
        <f>CT199*VLOOKUP('Données projet'!$B$13,Paramètres!$A$1:$I$89,3,0)*VLOOKUP('Données projet'!$B$13,Paramètres!$A$1:$I$89,5,0)</f>
        <v>-1.9139179130434059E-13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303.76035885073708</v>
      </c>
      <c r="CZ199" s="59">
        <f t="shared" si="208"/>
        <v>127.43112562890414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47.3878140316057</v>
      </c>
      <c r="DG199" s="21">
        <f>EXP(-LN(2)/25)*DG198+(1-EXP(-LN(2)/25))/(LN(2)/25)*Calculateur!DB199*Calculateur!DD199*VLOOKUP('Données projet'!$B$13,Paramètres!$A$1:$I$89,3,0)*0.475*44/12</f>
        <v>14.317242375064104</v>
      </c>
      <c r="DH199" s="21">
        <f>EXP(-LN(2)/2)*DH198+(1-EXP(-LN(2)/2))/(LN(2)/2)*DB199*DE199*VLOOKUP('Données projet'!$B$13,Paramètres!$A$1:$I$89,3,0)*0.475*44/12</f>
        <v>4.5610234256475798E-4</v>
      </c>
      <c r="DI199" s="22">
        <f t="shared" si="175"/>
        <v>61.705512509012372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5.6843418860808015E-14</v>
      </c>
      <c r="DP199" s="17">
        <f>DO199*VLOOKUP('Données projet'!$B$14,Paramètres!$A$1:$I$89,3,0)*VLOOKUP('Données projet'!$B$14,Paramètres!$A$1:$I$89,5,0)</f>
        <v>3.2810021366458389E-14</v>
      </c>
      <c r="DQ199" s="13">
        <f t="shared" si="176"/>
        <v>5.6117125884464641E-13</v>
      </c>
      <c r="DR199" s="20">
        <f t="shared" si="177"/>
        <v>1.0345173963676741E-12</v>
      </c>
      <c r="DS199" s="59">
        <f t="shared" si="197"/>
        <v>290.36453042915122</v>
      </c>
      <c r="DT199" s="59">
        <f ca="1">AVERAGE(OFFSET($DS$3,0,0,'Données projet'!$E$14+1,1))-AVERAGE(OFFSET($H$3,0,0,'Données projet'!$E$14+1,1))</f>
        <v>243.65374431792841</v>
      </c>
      <c r="DU199" s="59">
        <f t="shared" si="209"/>
        <v>271.60754570002939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4.0275275696418129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4.0275275696418129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-4.5474735088646412E-13</v>
      </c>
      <c r="EK199" s="17">
        <f>EJ199*VLOOKUP('Données projet'!$B$15,Paramètres!$A$1:$I$89,3,0)*VLOOKUP('Données projet'!$B$15,Paramètres!$A$1:$I$89,5,0)</f>
        <v>-3.0504452297464016E-13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321.44781099085594</v>
      </c>
      <c r="EP199" s="59">
        <f t="shared" si="210"/>
        <v>201.22243186578183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25.232090951841236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25.232090951841236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2.8421709430404007E-14</v>
      </c>
      <c r="FF199" s="17">
        <f>FE199*VLOOKUP('Données projet'!$B$16,Paramètres!$A$1:$I$89,3,0)*VLOOKUP('Données projet'!$B$16,Paramètres!$A$1:$I$89,5,0)</f>
        <v>2.4829205358400945E-14</v>
      </c>
      <c r="FG199" s="13">
        <f t="shared" si="182"/>
        <v>4.3867331143352915E-13</v>
      </c>
      <c r="FH199" s="20">
        <f t="shared" si="183"/>
        <v>8.0726688341261168E-13</v>
      </c>
      <c r="FI199" s="59">
        <f t="shared" si="199"/>
        <v>290.36453042915099</v>
      </c>
      <c r="FJ199" s="59">
        <f ca="1">AVERAGE(OFFSET($FI$3,0,0,'Données projet'!$E$16+1,1))-AVERAGE(OFFSET($H$3,0,0,'Données projet'!$E$16+1,1))</f>
        <v>285.8437404763045</v>
      </c>
      <c r="FK199" s="59">
        <f t="shared" si="211"/>
        <v>276.01618888357268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7.977716545973518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7.977716545973518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-1.7053025658242404E-13</v>
      </c>
      <c r="GA199" s="17">
        <f>FZ199*VLOOKUP('Données projet'!$B$17,Paramètres!$A$1:$I$89,3,0)*VLOOKUP('Données projet'!$B$17,Paramètres!$A$1:$I$89,5,0)</f>
        <v>-1.3567387213697657E-13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323.01113210765487</v>
      </c>
      <c r="GF199" s="59">
        <f t="shared" si="212"/>
        <v>311.68541696405975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9.1580505232025224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9.1580505232025224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2.8421709430404007E-14</v>
      </c>
      <c r="GV199" s="17">
        <f>GU199*VLOOKUP('Données projet'!$B$18,Paramètres!$A$1:$I$89,3,0)*VLOOKUP('Données projet'!$B$18,Paramètres!$A$1:$I$89,5,0)</f>
        <v>2.4829205358400945E-14</v>
      </c>
      <c r="GW199" s="13">
        <f t="shared" si="188"/>
        <v>4.3867331143352915E-13</v>
      </c>
      <c r="GX199" s="20">
        <f t="shared" si="189"/>
        <v>8.0726688341261168E-13</v>
      </c>
      <c r="GY199" s="59">
        <f t="shared" si="201"/>
        <v>290.36453042915099</v>
      </c>
      <c r="GZ199" s="59">
        <f ca="1">AVERAGE(OFFSET($GY$3,0,0,'Données projet'!$E$18+1,1))-AVERAGE(OFFSET($H$3,0,0,'Données projet'!$E$18+1,1))</f>
        <v>285.8437404763045</v>
      </c>
      <c r="HA199" s="59">
        <f t="shared" si="213"/>
        <v>276.01618888357268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7.977716545973518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7.977716545973518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-1.0286385077051818E-13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315.34103933739129</v>
      </c>
      <c r="T200" s="59">
        <f t="shared" si="204"/>
        <v>165.80901858372513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22.048546686410305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22.048546686410305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-2.0395418687257919E-13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317.328615425664</v>
      </c>
      <c r="AO200" s="59">
        <f t="shared" si="205"/>
        <v>324.95872842255744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11.642313057226591</v>
      </c>
      <c r="AV200" s="21">
        <f>EXP(-LN(2)/25)*AV199+(1-EXP(-LN(2)/25))/(LN(2)/25)*Calculateur!AQ200*Calculateur!AS200*VLOOKUP('Données projet'!$B$10,Paramètres!$A$1:$I$89,3,0)*0.475*44/12</f>
        <v>0.75818523641220947</v>
      </c>
      <c r="AW200" s="21">
        <f>EXP(-LN(2)/2)*AW199+(1-EXP(-LN(2)/2))/(LN(2)/2)*AQ200*AT200*VLOOKUP('Données projet'!$B$10,Paramètres!$A$1:$I$89,3,0)*0.475*44/12</f>
        <v>6.4439686110956346E-20</v>
      </c>
      <c r="AX200" s="21">
        <f t="shared" si="166"/>
        <v>12.400498293638801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-6.5483618527650828E-14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418.31716673276725</v>
      </c>
      <c r="BJ200" s="59">
        <f t="shared" si="206"/>
        <v>472.37891533957929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9.0830383019815297</v>
      </c>
      <c r="BQ200" s="21">
        <f>EXP(-LN(2)/25)*BQ199+(1-EXP(-LN(2)/25))/(LN(2)/25)*Calculateur!BL200*Calculateur!BN200*VLOOKUP('Données projet'!$B$11,Paramètres!$A$1:$I$89,3,0)*0.475*44/12</f>
        <v>0.69162845732211164</v>
      </c>
      <c r="BR200" s="21">
        <f>EXP(-LN(2)/2)*BR199+(1-EXP(-LN(2)/2))/(LN(2)/2)*BL200*BO200*VLOOKUP('Données projet'!$B$11,Paramètres!$A$1:$I$89,3,0)*0.475*44/12</f>
        <v>9.9945400607178217E-20</v>
      </c>
      <c r="BS200" s="22">
        <f t="shared" si="169"/>
        <v>9.774666759303642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1.1368683772161603E-13</v>
      </c>
      <c r="BZ200" s="13">
        <f>BY200*VLOOKUP('Données projet'!$B$12,Paramètres!$A$1:$I$89,3,0)*VLOOKUP('Données projet'!$B$12,Paramètres!$A$1:$I$89,5,0)</f>
        <v>6.6506800067145386E-14</v>
      </c>
      <c r="CA200" s="13">
        <f t="shared" si="170"/>
        <v>1.0476989505385114E-12</v>
      </c>
      <c r="CB200" s="20">
        <f t="shared" si="171"/>
        <v>1.9405750156381857E-12</v>
      </c>
      <c r="CC200" s="59">
        <f t="shared" si="195"/>
        <v>290.41603252229072</v>
      </c>
      <c r="CD200" s="59">
        <f ca="1">AVERAGE(OFFSET($CC$3,0,0,'Données projet'!$E$12+1,1))-AVERAGE(OFFSET($H$3,0,0,'Données projet'!$E$12+1,1))</f>
        <v>184.11352167663844</v>
      </c>
      <c r="CE200" s="59">
        <f t="shared" si="207"/>
        <v>145.86653500981791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6.6030479122855361</v>
      </c>
      <c r="CL200" s="21">
        <f>EXP(-LN(2)/25)*CL199+(1-EXP(-LN(2)/25))/(LN(2)/25)*Calculateur!CG200*Calculateur!CI200*VLOOKUP('Données projet'!$B$12,Paramètres!$A$1:$I$89,3,0)*0.475*44/12</f>
        <v>1.0973655974181822</v>
      </c>
      <c r="CM200" s="21">
        <f>EXP(-LN(2)/2)*CM199+(1-EXP(-LN(2)/2))/(LN(2)/2)*CG200*CJ200*VLOOKUP('Données projet'!$B$12,Paramètres!$A$1:$I$89,3,0)*0.475*44/12</f>
        <v>1.4829757017049853E-15</v>
      </c>
      <c r="CN200" s="22">
        <f t="shared" si="172"/>
        <v>7.7004135097037203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-3.979039320256561E-13</v>
      </c>
      <c r="CU200" s="17">
        <f>CT200*VLOOKUP('Données projet'!$B$13,Paramètres!$A$1:$I$89,3,0)*VLOOKUP('Données projet'!$B$13,Paramètres!$A$1:$I$89,5,0)</f>
        <v>-1.9139179130434059E-13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303.76035885073708</v>
      </c>
      <c r="CZ200" s="59">
        <f t="shared" si="208"/>
        <v>127.43112562890414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46.458567902158464</v>
      </c>
      <c r="DG200" s="21">
        <f>EXP(-LN(2)/25)*DG199+(1-EXP(-LN(2)/25))/(LN(2)/25)*Calculateur!DB200*Calculateur!DD200*VLOOKUP('Données projet'!$B$13,Paramètres!$A$1:$I$89,3,0)*0.475*44/12</f>
        <v>13.925736629406922</v>
      </c>
      <c r="DH200" s="21">
        <f>EXP(-LN(2)/2)*DH199+(1-EXP(-LN(2)/2))/(LN(2)/2)*DB200*DE200*VLOOKUP('Données projet'!$B$13,Paramètres!$A$1:$I$89,3,0)*0.475*44/12</f>
        <v>3.2251305934261006E-4</v>
      </c>
      <c r="DI200" s="22">
        <f t="shared" si="175"/>
        <v>60.384627044624729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5.6843418860808015E-14</v>
      </c>
      <c r="DP200" s="17">
        <f>DO200*VLOOKUP('Données projet'!$B$14,Paramètres!$A$1:$I$89,3,0)*VLOOKUP('Données projet'!$B$14,Paramètres!$A$1:$I$89,5,0)</f>
        <v>3.2810021366458389E-14</v>
      </c>
      <c r="DQ200" s="13">
        <f t="shared" si="176"/>
        <v>5.6117125884464641E-13</v>
      </c>
      <c r="DR200" s="20">
        <f t="shared" si="177"/>
        <v>1.0345173963676741E-12</v>
      </c>
      <c r="DS200" s="59">
        <f t="shared" si="197"/>
        <v>290.41603252228981</v>
      </c>
      <c r="DT200" s="59">
        <f ca="1">AVERAGE(OFFSET($DS$3,0,0,'Données projet'!$E$14+1,1))-AVERAGE(OFFSET($H$3,0,0,'Données projet'!$E$14+1,1))</f>
        <v>243.65374431792841</v>
      </c>
      <c r="DU200" s="59">
        <f t="shared" si="209"/>
        <v>271.60754570002939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3.9485502105503905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3.9485502105503905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-4.5474735088646412E-13</v>
      </c>
      <c r="EK200" s="17">
        <f>EJ200*VLOOKUP('Données projet'!$B$15,Paramètres!$A$1:$I$89,3,0)*VLOOKUP('Données projet'!$B$15,Paramètres!$A$1:$I$89,5,0)</f>
        <v>-3.0504452297464016E-13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321.44781099085594</v>
      </c>
      <c r="EP200" s="59">
        <f t="shared" si="210"/>
        <v>201.22243186578183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24.737305038331467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24.737305038331467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2.8421709430404007E-14</v>
      </c>
      <c r="FF200" s="17">
        <f>FE200*VLOOKUP('Données projet'!$B$16,Paramètres!$A$1:$I$89,3,0)*VLOOKUP('Données projet'!$B$16,Paramètres!$A$1:$I$89,5,0)</f>
        <v>2.4829205358400945E-14</v>
      </c>
      <c r="FG200" s="13">
        <f t="shared" si="182"/>
        <v>4.3867331143352915E-13</v>
      </c>
      <c r="FH200" s="20">
        <f t="shared" si="183"/>
        <v>8.0726688341261168E-13</v>
      </c>
      <c r="FI200" s="59">
        <f t="shared" si="199"/>
        <v>290.41603252228958</v>
      </c>
      <c r="FJ200" s="59">
        <f ca="1">AVERAGE(OFFSET($FI$3,0,0,'Données projet'!$E$16+1,1))-AVERAGE(OFFSET($H$3,0,0,'Données projet'!$E$16+1,1))</f>
        <v>285.8437404763045</v>
      </c>
      <c r="FK200" s="59">
        <f t="shared" si="211"/>
        <v>276.01618888357268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7.8212783904335996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7.8212783904335996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-1.7053025658242404E-13</v>
      </c>
      <c r="GA200" s="17">
        <f>FZ200*VLOOKUP('Données projet'!$B$17,Paramètres!$A$1:$I$89,3,0)*VLOOKUP('Données projet'!$B$17,Paramètres!$A$1:$I$89,5,0)</f>
        <v>-1.3567387213697657E-13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323.01113210765487</v>
      </c>
      <c r="GF200" s="59">
        <f t="shared" si="212"/>
        <v>311.68541696405975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8.9784667383017815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8.9784667383017815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2.8421709430404007E-14</v>
      </c>
      <c r="GV200" s="17">
        <f>GU200*VLOOKUP('Données projet'!$B$18,Paramètres!$A$1:$I$89,3,0)*VLOOKUP('Données projet'!$B$18,Paramètres!$A$1:$I$89,5,0)</f>
        <v>2.4829205358400945E-14</v>
      </c>
      <c r="GW200" s="13">
        <f t="shared" si="188"/>
        <v>4.3867331143352915E-13</v>
      </c>
      <c r="GX200" s="20">
        <f t="shared" si="189"/>
        <v>8.0726688341261168E-13</v>
      </c>
      <c r="GY200" s="59">
        <f t="shared" si="201"/>
        <v>290.41603252228958</v>
      </c>
      <c r="GZ200" s="59">
        <f ca="1">AVERAGE(OFFSET($GY$3,0,0,'Données projet'!$E$18+1,1))-AVERAGE(OFFSET($H$3,0,0,'Données projet'!$E$18+1,1))</f>
        <v>285.8437404763045</v>
      </c>
      <c r="HA200" s="59">
        <f t="shared" si="213"/>
        <v>276.01618888357268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7.8212783904335996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7.8212783904335996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-1.0286385077051818E-13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315.34103933739129</v>
      </c>
      <c r="T201" s="59">
        <f t="shared" si="204"/>
        <v>165.80901858372513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21.616188134175371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21.616188134175371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-2.0395418687257919E-13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317.328615425664</v>
      </c>
      <c r="AO201" s="59">
        <f t="shared" si="205"/>
        <v>324.95872842255744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11.414014399284167</v>
      </c>
      <c r="AV201" s="21">
        <f>EXP(-LN(2)/25)*AV200+(1-EXP(-LN(2)/25))/(LN(2)/25)*Calculateur!AQ201*Calculateur!AS201*VLOOKUP('Données projet'!$B$10,Paramètres!$A$1:$I$89,3,0)*0.475*44/12</f>
        <v>0.73745262125128885</v>
      </c>
      <c r="AW201" s="21">
        <f>EXP(-LN(2)/2)*AW200+(1-EXP(-LN(2)/2))/(LN(2)/2)*AQ201*AT201*VLOOKUP('Données projet'!$B$10,Paramètres!$A$1:$I$89,3,0)*0.475*44/12</f>
        <v>4.5565739026589816E-20</v>
      </c>
      <c r="AX201" s="21">
        <f t="shared" si="166"/>
        <v>12.151467020535456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-6.5483618527650828E-14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418.31716673276725</v>
      </c>
      <c r="BJ201" s="59">
        <f t="shared" si="206"/>
        <v>472.37891533957929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8.9049254609859965</v>
      </c>
      <c r="BQ201" s="21">
        <f>EXP(-LN(2)/25)*BQ200+(1-EXP(-LN(2)/25))/(LN(2)/25)*Calculateur!BL201*Calculateur!BN201*VLOOKUP('Données projet'!$B$11,Paramètres!$A$1:$I$89,3,0)*0.475*44/12</f>
        <v>0.67271584078547864</v>
      </c>
      <c r="BR201" s="21">
        <f>EXP(-LN(2)/2)*BR200+(1-EXP(-LN(2)/2))/(LN(2)/2)*BL201*BO201*VLOOKUP('Données projet'!$B$11,Paramètres!$A$1:$I$89,3,0)*0.475*44/12</f>
        <v>7.0672070517741801E-20</v>
      </c>
      <c r="BS201" s="22">
        <f t="shared" si="169"/>
        <v>9.5776413017714752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1.1368683772161603E-13</v>
      </c>
      <c r="BZ201" s="13">
        <f>BY201*VLOOKUP('Données projet'!$B$12,Paramètres!$A$1:$I$89,3,0)*VLOOKUP('Données projet'!$B$12,Paramètres!$A$1:$I$89,5,0)</f>
        <v>6.6506800067145386E-14</v>
      </c>
      <c r="CA201" s="13">
        <f t="shared" si="170"/>
        <v>1.0476989505385114E-12</v>
      </c>
      <c r="CB201" s="20">
        <f t="shared" si="171"/>
        <v>1.9405750156381857E-12</v>
      </c>
      <c r="CC201" s="59">
        <f t="shared" si="195"/>
        <v>290.46664116925484</v>
      </c>
      <c r="CD201" s="59">
        <f ca="1">AVERAGE(OFFSET($CC$3,0,0,'Données projet'!$E$12+1,1))-AVERAGE(OFFSET($H$3,0,0,'Données projet'!$E$12+1,1))</f>
        <v>184.11352167663844</v>
      </c>
      <c r="CE201" s="59">
        <f t="shared" si="207"/>
        <v>145.86653500981791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6.4735661701871647</v>
      </c>
      <c r="CL201" s="21">
        <f>EXP(-LN(2)/25)*CL200+(1-EXP(-LN(2)/25))/(LN(2)/25)*Calculateur!CG201*Calculateur!CI201*VLOOKUP('Données projet'!$B$12,Paramètres!$A$1:$I$89,3,0)*0.475*44/12</f>
        <v>1.0673580774488334</v>
      </c>
      <c r="CM201" s="21">
        <f>EXP(-LN(2)/2)*CM200+(1-EXP(-LN(2)/2))/(LN(2)/2)*CG201*CJ201*VLOOKUP('Données projet'!$B$12,Paramètres!$A$1:$I$89,3,0)*0.475*44/12</f>
        <v>1.0486221750104738E-15</v>
      </c>
      <c r="CN201" s="22">
        <f t="shared" si="172"/>
        <v>7.5409242476359992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-3.979039320256561E-13</v>
      </c>
      <c r="CU201" s="17">
        <f>CT201*VLOOKUP('Données projet'!$B$13,Paramètres!$A$1:$I$89,3,0)*VLOOKUP('Données projet'!$B$13,Paramètres!$A$1:$I$89,5,0)</f>
        <v>-1.9139179130434059E-13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303.76035885073708</v>
      </c>
      <c r="CZ201" s="59">
        <f t="shared" si="208"/>
        <v>127.43112562890414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45.547543722525518</v>
      </c>
      <c r="DG201" s="21">
        <f>EXP(-LN(2)/25)*DG200+(1-EXP(-LN(2)/25))/(LN(2)/25)*Calculateur!DB201*Calculateur!DD201*VLOOKUP('Données projet'!$B$13,Paramètres!$A$1:$I$89,3,0)*0.475*44/12</f>
        <v>13.544936628953128</v>
      </c>
      <c r="DH201" s="21">
        <f>EXP(-LN(2)/2)*DH200+(1-EXP(-LN(2)/2))/(LN(2)/2)*DB201*DE201*VLOOKUP('Données projet'!$B$13,Paramètres!$A$1:$I$89,3,0)*0.475*44/12</f>
        <v>2.2805117128237899E-4</v>
      </c>
      <c r="DI201" s="22">
        <f t="shared" si="175"/>
        <v>59.092708402649926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5.6843418860808015E-14</v>
      </c>
      <c r="DP201" s="17">
        <f>DO201*VLOOKUP('Données projet'!$B$14,Paramètres!$A$1:$I$89,3,0)*VLOOKUP('Données projet'!$B$14,Paramètres!$A$1:$I$89,5,0)</f>
        <v>3.2810021366458389E-14</v>
      </c>
      <c r="DQ201" s="13">
        <f t="shared" si="176"/>
        <v>5.6117125884464641E-13</v>
      </c>
      <c r="DR201" s="20">
        <f t="shared" si="177"/>
        <v>1.0345173963676741E-12</v>
      </c>
      <c r="DS201" s="59">
        <f t="shared" si="197"/>
        <v>290.46664116925393</v>
      </c>
      <c r="DT201" s="59">
        <f ca="1">AVERAGE(OFFSET($DS$3,0,0,'Données projet'!$E$14+1,1))-AVERAGE(OFFSET($H$3,0,0,'Données projet'!$E$14+1,1))</f>
        <v>243.65374431792841</v>
      </c>
      <c r="DU201" s="59">
        <f t="shared" si="209"/>
        <v>271.60754570002939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3.8711215492993181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3.8711215492993181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-4.5474735088646412E-13</v>
      </c>
      <c r="EK201" s="17">
        <f>EJ201*VLOOKUP('Données projet'!$B$15,Paramètres!$A$1:$I$89,3,0)*VLOOKUP('Données projet'!$B$15,Paramètres!$A$1:$I$89,5,0)</f>
        <v>-3.0504452297464016E-13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321.44781099085594</v>
      </c>
      <c r="EP201" s="59">
        <f t="shared" si="210"/>
        <v>201.22243186578183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24.252221574796017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24.252221574796017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2.8421709430404007E-14</v>
      </c>
      <c r="FF201" s="17">
        <f>FE201*VLOOKUP('Données projet'!$B$16,Paramètres!$A$1:$I$89,3,0)*VLOOKUP('Données projet'!$B$16,Paramètres!$A$1:$I$89,5,0)</f>
        <v>2.4829205358400945E-14</v>
      </c>
      <c r="FG201" s="13">
        <f t="shared" si="182"/>
        <v>4.3867331143352915E-13</v>
      </c>
      <c r="FH201" s="20">
        <f t="shared" si="183"/>
        <v>8.0726688341261168E-13</v>
      </c>
      <c r="FI201" s="59">
        <f t="shared" si="199"/>
        <v>290.46664116925371</v>
      </c>
      <c r="FJ201" s="59">
        <f ca="1">AVERAGE(OFFSET($FI$3,0,0,'Données projet'!$E$16+1,1))-AVERAGE(OFFSET($H$3,0,0,'Données projet'!$E$16+1,1))</f>
        <v>285.8437404763045</v>
      </c>
      <c r="FK201" s="59">
        <f t="shared" si="211"/>
        <v>276.01618888357268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7.6679078917059664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7.6679078917059664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-1.7053025658242404E-13</v>
      </c>
      <c r="GA201" s="17">
        <f>FZ201*VLOOKUP('Données projet'!$B$17,Paramètres!$A$1:$I$89,3,0)*VLOOKUP('Données projet'!$B$17,Paramètres!$A$1:$I$89,5,0)</f>
        <v>-1.3567387213697657E-13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323.01113210765487</v>
      </c>
      <c r="GF201" s="59">
        <f t="shared" si="212"/>
        <v>311.68541696405975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8.8024044818876526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8.8024044818876526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2.8421709430404007E-14</v>
      </c>
      <c r="GV201" s="17">
        <f>GU201*VLOOKUP('Données projet'!$B$18,Paramètres!$A$1:$I$89,3,0)*VLOOKUP('Données projet'!$B$18,Paramètres!$A$1:$I$89,5,0)</f>
        <v>2.4829205358400945E-14</v>
      </c>
      <c r="GW201" s="13">
        <f t="shared" si="188"/>
        <v>4.3867331143352915E-13</v>
      </c>
      <c r="GX201" s="20">
        <f t="shared" si="189"/>
        <v>8.0726688341261168E-13</v>
      </c>
      <c r="GY201" s="59">
        <f t="shared" si="201"/>
        <v>290.46664116925371</v>
      </c>
      <c r="GZ201" s="59">
        <f ca="1">AVERAGE(OFFSET($GY$3,0,0,'Données projet'!$E$18+1,1))-AVERAGE(OFFSET($H$3,0,0,'Données projet'!$E$18+1,1))</f>
        <v>285.8437404763045</v>
      </c>
      <c r="HA201" s="59">
        <f t="shared" si="213"/>
        <v>276.01618888357268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7.6679078917059664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7.6679078917059664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-1.0286385077051818E-13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315.34103933739129</v>
      </c>
      <c r="T202" s="59">
        <f t="shared" si="204"/>
        <v>165.80901858372513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21.192307869437084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21.192307869437084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-2.0395418687257919E-13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317.328615425664</v>
      </c>
      <c r="AO202" s="59">
        <f t="shared" si="205"/>
        <v>324.95872842255744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11.190192538775561</v>
      </c>
      <c r="AV202" s="21">
        <f>EXP(-LN(2)/25)*AV201+(1-EXP(-LN(2)/25))/(LN(2)/25)*Calculateur!AQ202*Calculateur!AS202*VLOOKUP('Données projet'!$B$10,Paramètres!$A$1:$I$89,3,0)*0.475*44/12</f>
        <v>0.71728694054222453</v>
      </c>
      <c r="AW202" s="21">
        <f>EXP(-LN(2)/2)*AW201+(1-EXP(-LN(2)/2))/(LN(2)/2)*AQ202*AT202*VLOOKUP('Données projet'!$B$10,Paramètres!$A$1:$I$89,3,0)*0.475*44/12</f>
        <v>3.2219843055478173E-20</v>
      </c>
      <c r="AX202" s="21">
        <f t="shared" si="166"/>
        <v>11.907479479317786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-6.5483618527650828E-14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418.31716673276725</v>
      </c>
      <c r="BJ202" s="59">
        <f t="shared" si="206"/>
        <v>472.37891533957929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8.7303053041642791</v>
      </c>
      <c r="BQ202" s="21">
        <f>EXP(-LN(2)/25)*BQ201+(1-EXP(-LN(2)/25))/(LN(2)/25)*Calculateur!BL202*Calculateur!BN202*VLOOKUP('Données projet'!$B$11,Paramètres!$A$1:$I$89,3,0)*0.475*44/12</f>
        <v>0.65432039074261117</v>
      </c>
      <c r="BR202" s="21">
        <f>EXP(-LN(2)/2)*BR201+(1-EXP(-LN(2)/2))/(LN(2)/2)*BL202*BO202*VLOOKUP('Données projet'!$B$11,Paramètres!$A$1:$I$89,3,0)*0.475*44/12</f>
        <v>4.9972700303589109E-20</v>
      </c>
      <c r="BS202" s="22">
        <f t="shared" si="169"/>
        <v>9.3846256949068909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1.1368683772161603E-13</v>
      </c>
      <c r="BZ202" s="13">
        <f>BY202*VLOOKUP('Données projet'!$B$12,Paramètres!$A$1:$I$89,3,0)*VLOOKUP('Données projet'!$B$12,Paramètres!$A$1:$I$89,5,0)</f>
        <v>6.6506800067145386E-14</v>
      </c>
      <c r="CA202" s="13">
        <f t="shared" si="170"/>
        <v>1.0476989505385114E-12</v>
      </c>
      <c r="CB202" s="20">
        <f t="shared" si="171"/>
        <v>1.9405750156381857E-12</v>
      </c>
      <c r="CC202" s="59">
        <f t="shared" si="195"/>
        <v>290.51637186933806</v>
      </c>
      <c r="CD202" s="59">
        <f ca="1">AVERAGE(OFFSET($CC$3,0,0,'Données projet'!$E$12+1,1))-AVERAGE(OFFSET($H$3,0,0,'Données projet'!$E$12+1,1))</f>
        <v>184.11352167663844</v>
      </c>
      <c r="CE202" s="59">
        <f t="shared" si="207"/>
        <v>145.86653500981791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6.3466234860752779</v>
      </c>
      <c r="CL202" s="21">
        <f>EXP(-LN(2)/25)*CL201+(1-EXP(-LN(2)/25))/(LN(2)/25)*Calculateur!CG202*Calculateur!CI202*VLOOKUP('Données projet'!$B$12,Paramètres!$A$1:$I$89,3,0)*0.475*44/12</f>
        <v>1.0381711146910733</v>
      </c>
      <c r="CM202" s="21">
        <f>EXP(-LN(2)/2)*CM201+(1-EXP(-LN(2)/2))/(LN(2)/2)*CG202*CJ202*VLOOKUP('Données projet'!$B$12,Paramètres!$A$1:$I$89,3,0)*0.475*44/12</f>
        <v>7.4148785085249263E-16</v>
      </c>
      <c r="CN202" s="22">
        <f t="shared" si="172"/>
        <v>7.3847946007663525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-3.979039320256561E-13</v>
      </c>
      <c r="CU202" s="17">
        <f>CT202*VLOOKUP('Données projet'!$B$13,Paramètres!$A$1:$I$89,3,0)*VLOOKUP('Données projet'!$B$13,Paramètres!$A$1:$I$89,5,0)</f>
        <v>-1.9139179130434059E-13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303.76035885073708</v>
      </c>
      <c r="CZ202" s="59">
        <f t="shared" si="208"/>
        <v>127.43112562890414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44.654384171385288</v>
      </c>
      <c r="DG202" s="21">
        <f>EXP(-LN(2)/25)*DG201+(1-EXP(-LN(2)/25))/(LN(2)/25)*Calculateur!DB202*Calculateur!DD202*VLOOKUP('Données projet'!$B$13,Paramètres!$A$1:$I$89,3,0)*0.475*44/12</f>
        <v>13.174549624537145</v>
      </c>
      <c r="DH202" s="21">
        <f>EXP(-LN(2)/2)*DH201+(1-EXP(-LN(2)/2))/(LN(2)/2)*DB202*DE202*VLOOKUP('Données projet'!$B$13,Paramètres!$A$1:$I$89,3,0)*0.475*44/12</f>
        <v>1.6125652967130503E-4</v>
      </c>
      <c r="DI202" s="22">
        <f t="shared" si="175"/>
        <v>57.829095052452104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5.6843418860808015E-14</v>
      </c>
      <c r="DP202" s="17">
        <f>DO202*VLOOKUP('Données projet'!$B$14,Paramètres!$A$1:$I$89,3,0)*VLOOKUP('Données projet'!$B$14,Paramètres!$A$1:$I$89,5,0)</f>
        <v>3.2810021366458389E-14</v>
      </c>
      <c r="DQ202" s="13">
        <f t="shared" si="176"/>
        <v>5.6117125884464641E-13</v>
      </c>
      <c r="DR202" s="20">
        <f t="shared" si="177"/>
        <v>1.0345173963676741E-12</v>
      </c>
      <c r="DS202" s="59">
        <f t="shared" si="197"/>
        <v>290.51637186933715</v>
      </c>
      <c r="DT202" s="59">
        <f ca="1">AVERAGE(OFFSET($DS$3,0,0,'Données projet'!$E$14+1,1))-AVERAGE(OFFSET($H$3,0,0,'Données projet'!$E$14+1,1))</f>
        <v>243.65374431792841</v>
      </c>
      <c r="DU202" s="59">
        <f t="shared" si="209"/>
        <v>271.60754570002939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3.7952112168685592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3.7952112168685592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-4.5474735088646412E-13</v>
      </c>
      <c r="EK202" s="17">
        <f>EJ202*VLOOKUP('Données projet'!$B$15,Paramètres!$A$1:$I$89,3,0)*VLOOKUP('Données projet'!$B$15,Paramètres!$A$1:$I$89,5,0)</f>
        <v>-3.0504452297464016E-13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321.44781099085594</v>
      </c>
      <c r="EP202" s="59">
        <f t="shared" si="210"/>
        <v>201.22243186578183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23.776650302108802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23.776650302108802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2.8421709430404007E-14</v>
      </c>
      <c r="FF202" s="17">
        <f>FE202*VLOOKUP('Données projet'!$B$16,Paramètres!$A$1:$I$89,3,0)*VLOOKUP('Données projet'!$B$16,Paramètres!$A$1:$I$89,5,0)</f>
        <v>2.4829205358400945E-14</v>
      </c>
      <c r="FG202" s="13">
        <f t="shared" si="182"/>
        <v>4.3867331143352915E-13</v>
      </c>
      <c r="FH202" s="20">
        <f t="shared" si="183"/>
        <v>8.0726688341261168E-13</v>
      </c>
      <c r="FI202" s="59">
        <f t="shared" si="199"/>
        <v>290.51637186933692</v>
      </c>
      <c r="FJ202" s="59">
        <f ca="1">AVERAGE(OFFSET($FI$3,0,0,'Données projet'!$E$16+1,1))-AVERAGE(OFFSET($H$3,0,0,'Données projet'!$E$16+1,1))</f>
        <v>285.8437404763045</v>
      </c>
      <c r="FK202" s="59">
        <f t="shared" si="211"/>
        <v>276.01618888357268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7.517544894911615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7.517544894911615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-1.7053025658242404E-13</v>
      </c>
      <c r="GA202" s="17">
        <f>FZ202*VLOOKUP('Données projet'!$B$17,Paramètres!$A$1:$I$89,3,0)*VLOOKUP('Données projet'!$B$17,Paramètres!$A$1:$I$89,5,0)</f>
        <v>-1.3567387213697657E-13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323.01113210765487</v>
      </c>
      <c r="GF202" s="59">
        <f t="shared" si="212"/>
        <v>311.68541696405975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8.6297946989344307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8.6297946989344307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2.8421709430404007E-14</v>
      </c>
      <c r="GV202" s="17">
        <f>GU202*VLOOKUP('Données projet'!$B$18,Paramètres!$A$1:$I$89,3,0)*VLOOKUP('Données projet'!$B$18,Paramètres!$A$1:$I$89,5,0)</f>
        <v>2.4829205358400945E-14</v>
      </c>
      <c r="GW202" s="13">
        <f t="shared" si="188"/>
        <v>4.3867331143352915E-13</v>
      </c>
      <c r="GX202" s="20">
        <f t="shared" si="189"/>
        <v>8.0726688341261168E-13</v>
      </c>
      <c r="GY202" s="59">
        <f t="shared" si="201"/>
        <v>290.51637186933692</v>
      </c>
      <c r="GZ202" s="59">
        <f ca="1">AVERAGE(OFFSET($GY$3,0,0,'Données projet'!$E$18+1,1))-AVERAGE(OFFSET($H$3,0,0,'Données projet'!$E$18+1,1))</f>
        <v>285.8437404763045</v>
      </c>
      <c r="HA202" s="59">
        <f t="shared" si="213"/>
        <v>276.01618888357268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7.517544894911615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7.517544894911615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-1.0286385077051818E-13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315.34103933739129</v>
      </c>
      <c r="T203" s="59">
        <f t="shared" si="204"/>
        <v>165.80901858372513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20.776739638148882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20.776739638148882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-2.0395418687257919E-13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317.328615425664</v>
      </c>
      <c r="AO203" s="59">
        <f t="shared" si="205"/>
        <v>324.95872842255744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10.970759688433674</v>
      </c>
      <c r="AV203" s="21">
        <f>EXP(-LN(2)/25)*AV202+(1-EXP(-LN(2)/25))/(LN(2)/25)*Calculateur!AQ203*Calculateur!AS203*VLOOKUP('Données projet'!$B$10,Paramètres!$A$1:$I$89,3,0)*0.475*44/12</f>
        <v>0.69767269143261657</v>
      </c>
      <c r="AW203" s="21">
        <f>EXP(-LN(2)/2)*AW202+(1-EXP(-LN(2)/2))/(LN(2)/2)*AQ203*AT203*VLOOKUP('Données projet'!$B$10,Paramètres!$A$1:$I$89,3,0)*0.475*44/12</f>
        <v>2.2782869513294908E-20</v>
      </c>
      <c r="AX203" s="21">
        <f t="shared" si="166"/>
        <v>11.668432379866291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-6.5483618527650828E-14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418.31716673276725</v>
      </c>
      <c r="BJ203" s="59">
        <f t="shared" si="206"/>
        <v>472.37891533957929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8.559109342110057</v>
      </c>
      <c r="BQ203" s="21">
        <f>EXP(-LN(2)/25)*BQ202+(1-EXP(-LN(2)/25))/(LN(2)/25)*Calculateur!BL203*Calculateur!BN203*VLOOKUP('Données projet'!$B$11,Paramètres!$A$1:$I$89,3,0)*0.475*44/12</f>
        <v>0.63642796524854062</v>
      </c>
      <c r="BR203" s="21">
        <f>EXP(-LN(2)/2)*BR202+(1-EXP(-LN(2)/2))/(LN(2)/2)*BL203*BO203*VLOOKUP('Données projet'!$B$11,Paramètres!$A$1:$I$89,3,0)*0.475*44/12</f>
        <v>3.5336035258870901E-20</v>
      </c>
      <c r="BS203" s="22">
        <f t="shared" si="169"/>
        <v>9.1955373073585971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1.1368683772161603E-13</v>
      </c>
      <c r="BZ203" s="13">
        <f>BY203*VLOOKUP('Données projet'!$B$12,Paramètres!$A$1:$I$89,3,0)*VLOOKUP('Données projet'!$B$12,Paramètres!$A$1:$I$89,5,0)</f>
        <v>6.6506800067145386E-14</v>
      </c>
      <c r="CA203" s="13">
        <f t="shared" si="170"/>
        <v>1.0476989505385114E-12</v>
      </c>
      <c r="CB203" s="20">
        <f t="shared" si="171"/>
        <v>1.9405750156381857E-12</v>
      </c>
      <c r="CC203" s="59">
        <f t="shared" si="195"/>
        <v>290.56523985295604</v>
      </c>
      <c r="CD203" s="59">
        <f ca="1">AVERAGE(OFFSET($CC$3,0,0,'Données projet'!$E$12+1,1))-AVERAGE(OFFSET($H$3,0,0,'Données projet'!$E$12+1,1))</f>
        <v>184.11352167663844</v>
      </c>
      <c r="CE203" s="59">
        <f t="shared" si="207"/>
        <v>145.86653500981791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6.2221700705714333</v>
      </c>
      <c r="CL203" s="21">
        <f>EXP(-LN(2)/25)*CL202+(1-EXP(-LN(2)/25))/(LN(2)/25)*Calculateur!CG203*Calculateur!CI203*VLOOKUP('Données projet'!$B$12,Paramètres!$A$1:$I$89,3,0)*0.475*44/12</f>
        <v>1.0097822709647997</v>
      </c>
      <c r="CM203" s="21">
        <f>EXP(-LN(2)/2)*CM202+(1-EXP(-LN(2)/2))/(LN(2)/2)*CG203*CJ203*VLOOKUP('Données projet'!$B$12,Paramètres!$A$1:$I$89,3,0)*0.475*44/12</f>
        <v>5.2431108750523689E-16</v>
      </c>
      <c r="CN203" s="22">
        <f t="shared" si="172"/>
        <v>7.2319523415362337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-3.979039320256561E-13</v>
      </c>
      <c r="CU203" s="17">
        <f>CT203*VLOOKUP('Données projet'!$B$13,Paramètres!$A$1:$I$89,3,0)*VLOOKUP('Données projet'!$B$13,Paramètres!$A$1:$I$89,5,0)</f>
        <v>-1.9139179130434059E-13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303.76035885073708</v>
      </c>
      <c r="CZ203" s="59">
        <f t="shared" si="208"/>
        <v>127.43112562890414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43.778738934269391</v>
      </c>
      <c r="DG203" s="21">
        <f>EXP(-LN(2)/25)*DG202+(1-EXP(-LN(2)/25))/(LN(2)/25)*Calculateur!DB203*Calculateur!DD203*VLOOKUP('Données projet'!$B$13,Paramètres!$A$1:$I$89,3,0)*0.475*44/12</f>
        <v>12.814290872234722</v>
      </c>
      <c r="DH203" s="21">
        <f>EXP(-LN(2)/2)*DH202+(1-EXP(-LN(2)/2))/(LN(2)/2)*DB203*DE203*VLOOKUP('Données projet'!$B$13,Paramètres!$A$1:$I$89,3,0)*0.475*44/12</f>
        <v>1.1402558564118949E-4</v>
      </c>
      <c r="DI203" s="22">
        <f t="shared" si="175"/>
        <v>56.593143832089751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5.6843418860808015E-14</v>
      </c>
      <c r="DP203" s="17">
        <f>DO203*VLOOKUP('Données projet'!$B$14,Paramètres!$A$1:$I$89,3,0)*VLOOKUP('Données projet'!$B$14,Paramètres!$A$1:$I$89,5,0)</f>
        <v>3.2810021366458389E-14</v>
      </c>
      <c r="DQ203" s="13">
        <f t="shared" si="176"/>
        <v>5.6117125884464641E-13</v>
      </c>
      <c r="DR203" s="20">
        <f t="shared" si="177"/>
        <v>1.0345173963676741E-12</v>
      </c>
      <c r="DS203" s="59">
        <f t="shared" si="197"/>
        <v>290.56523985295513</v>
      </c>
      <c r="DT203" s="59">
        <f ca="1">AVERAGE(OFFSET($DS$3,0,0,'Données projet'!$E$14+1,1))-AVERAGE(OFFSET($H$3,0,0,'Données projet'!$E$14+1,1))</f>
        <v>243.65374431792841</v>
      </c>
      <c r="DU203" s="59">
        <f t="shared" si="209"/>
        <v>271.60754570002939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3.7207894397560364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3.7207894397560364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-4.5474735088646412E-13</v>
      </c>
      <c r="EK203" s="17">
        <f>EJ203*VLOOKUP('Données projet'!$B$15,Paramètres!$A$1:$I$89,3,0)*VLOOKUP('Données projet'!$B$15,Paramètres!$A$1:$I$89,5,0)</f>
        <v>-3.0504452297464016E-13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321.44781099085594</v>
      </c>
      <c r="EP203" s="59">
        <f t="shared" si="210"/>
        <v>201.22243186578183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23.310404692009147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23.310404692009147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2.8421709430404007E-14</v>
      </c>
      <c r="FF203" s="17">
        <f>FE203*VLOOKUP('Données projet'!$B$16,Paramètres!$A$1:$I$89,3,0)*VLOOKUP('Données projet'!$B$16,Paramètres!$A$1:$I$89,5,0)</f>
        <v>2.4829205358400945E-14</v>
      </c>
      <c r="FG203" s="13">
        <f t="shared" si="182"/>
        <v>4.3867331143352915E-13</v>
      </c>
      <c r="FH203" s="20">
        <f t="shared" si="183"/>
        <v>8.0726688341261168E-13</v>
      </c>
      <c r="FI203" s="59">
        <f t="shared" si="199"/>
        <v>290.5652398529549</v>
      </c>
      <c r="FJ203" s="59">
        <f ca="1">AVERAGE(OFFSET($FI$3,0,0,'Données projet'!$E$16+1,1))-AVERAGE(OFFSET($H$3,0,0,'Données projet'!$E$16+1,1))</f>
        <v>285.8437404763045</v>
      </c>
      <c r="FK203" s="59">
        <f t="shared" si="211"/>
        <v>276.01618888357268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7.3701304247720287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7.3701304247720287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-1.7053025658242404E-13</v>
      </c>
      <c r="GA203" s="17">
        <f>FZ203*VLOOKUP('Données projet'!$B$17,Paramètres!$A$1:$I$89,3,0)*VLOOKUP('Données projet'!$B$17,Paramètres!$A$1:$I$89,5,0)</f>
        <v>-1.3567387213697657E-13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323.01113210765487</v>
      </c>
      <c r="GF203" s="59">
        <f t="shared" si="212"/>
        <v>311.68541696405975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8.4605696885433499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8.4605696885433499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2.8421709430404007E-14</v>
      </c>
      <c r="GV203" s="17">
        <f>GU203*VLOOKUP('Données projet'!$B$18,Paramètres!$A$1:$I$89,3,0)*VLOOKUP('Données projet'!$B$18,Paramètres!$A$1:$I$89,5,0)</f>
        <v>2.4829205358400945E-14</v>
      </c>
      <c r="GW203" s="13">
        <f t="shared" si="188"/>
        <v>4.3867331143352915E-13</v>
      </c>
      <c r="GX203" s="20">
        <f t="shared" si="189"/>
        <v>8.0726688341261168E-13</v>
      </c>
      <c r="GY203" s="59">
        <f t="shared" si="201"/>
        <v>290.5652398529549</v>
      </c>
      <c r="GZ203" s="59">
        <f ca="1">AVERAGE(OFFSET($GY$3,0,0,'Données projet'!$E$18+1,1))-AVERAGE(OFFSET($H$3,0,0,'Données projet'!$E$18+1,1))</f>
        <v>285.8437404763045</v>
      </c>
      <c r="HA203" s="59">
        <f t="shared" si="213"/>
        <v>276.01618888357268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7.3701304247720287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7.3701304247720287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1.1457367676485573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1.3267648858502221</v>
      </c>
      <c r="BA205" s="82">
        <f>EXP(LN('Données projet'!B88)/'Données projet'!A88)</f>
        <v>1.2270403014054077</v>
      </c>
      <c r="BV205" s="82">
        <f>EXP(LN('Données projet'!B114)/'Données projet'!A114)</f>
        <v>1.1495553882870988</v>
      </c>
      <c r="CQ205" s="82">
        <f>EXP(LN('Données projet'!B140)/'Données projet'!A140)</f>
        <v>1.1495096359537182</v>
      </c>
      <c r="DL205" s="82">
        <f>EXP(LN('Données projet'!B166)/'Données projet'!A166)</f>
        <v>1.3020054543174677</v>
      </c>
      <c r="EG205" s="82">
        <f>EXP(LN('Données projet'!B192)/'Données projet'!A192)</f>
        <v>1.2054868146447177</v>
      </c>
      <c r="FB205" s="82">
        <f>EXP(LN('Données projet'!B218)/'Données projet'!A218)</f>
        <v>1.1577536725165907</v>
      </c>
      <c r="FW205" s="82">
        <f>EXP(LN('Données projet'!B244)/'Données projet'!A244)</f>
        <v>1.2721747796233518</v>
      </c>
      <c r="GR205" s="82">
        <f>EXP(LN('Données projet'!B270)/'Données projet'!A270)</f>
        <v>1.1577536725165907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4257812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42578125" style="4" bestFit="1" customWidth="1"/>
    <col min="7" max="7" width="11.42578125" style="4" bestFit="1" customWidth="1"/>
    <col min="8" max="8" width="39" style="4" bestFit="1" customWidth="1"/>
    <col min="9" max="9" width="16.4257812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L20" sqref="L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0.71429000000000009</v>
      </c>
      <c r="C6" s="147">
        <f ca="1">IF(OR('Données projet'!B9="",'Données projet'!C9="",'Données projet'!C9=0%),0,Calculateur!S3)</f>
        <v>315.34103933739129</v>
      </c>
      <c r="D6" s="147">
        <f>IF(OR('Données projet'!B9="",'Données projet'!C9="",'Données projet'!C9=0%),0,Calculateur!T3)</f>
        <v>165.80901858372513</v>
      </c>
      <c r="E6" s="147">
        <f ca="1">MIN(C6,D6)</f>
        <v>165.80901858372513</v>
      </c>
      <c r="F6" s="147">
        <f ca="1">E6*B6</f>
        <v>118.43572388416904</v>
      </c>
      <c r="G6" s="147">
        <f ca="1">F6*(100%-'Données projet'!$C$24)*(100%-'Données projet'!$C$25)*(100%-'Données projet'!$C$26)*(100%-'Données projet'!$C$27)</f>
        <v>101.26254392096452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101.26254392096452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maritime</v>
      </c>
      <c r="B7" s="154">
        <f>'Données projet'!D10</f>
        <v>0.71429000000000009</v>
      </c>
      <c r="C7" s="147">
        <f ca="1">IF(OR('Données projet'!B10="",'Données projet'!C10="",'Données projet'!C10=0%),0,Calculateur!AN3)</f>
        <v>317.328615425664</v>
      </c>
      <c r="D7" s="147">
        <f>IF(OR('Données projet'!B10="",'Données projet'!C10="",'Données projet'!C10=0%),0,Calculateur!AO3)</f>
        <v>324.95872842255744</v>
      </c>
      <c r="E7" s="147">
        <f t="shared" ref="E7:E15" ca="1" si="0">MIN(C7,D7)</f>
        <v>317.328615425664</v>
      </c>
      <c r="F7" s="147">
        <f t="shared" ref="F7:F15" ca="1" si="1">E7*B7</f>
        <v>226.66465671239757</v>
      </c>
      <c r="G7" s="147">
        <f ca="1">F7*(100%-'Données projet'!$C$24)*(100%-'Données projet'!$C$25)*(100%-'Données projet'!$C$26)*(100%-'Données projet'!$C$27)</f>
        <v>193.79828148909991</v>
      </c>
      <c r="H7" s="155">
        <f>IF(OR('Données projet'!B10="",'Données projet'!C10="",'Données projet'!C10=0%),0,AVERAGE(Calculateur!$AX$3:$AX$33)*B7)</f>
        <v>7.8477421959632983</v>
      </c>
      <c r="I7" s="149">
        <f>H7*(100%-'Données projet'!$C$24)*(100%-'Données projet'!$C$25)*(100%-'Données projet'!$C$26)*(100%-'Données projet'!$C$27)</f>
        <v>6.7098195775486191</v>
      </c>
      <c r="J7" s="150">
        <f>IF(OR('Données projet'!B10="",'Données projet'!C10="",'Données projet'!C10=0%),0,SUM(Calculateur!$AQ$3:$AQ$33)*VLOOKUP('Données projet'!$B$10,Paramètres!$A$1:$I$89,9,0)*B7)</f>
        <v>64.643316428999995</v>
      </c>
      <c r="K7" s="151">
        <f>J7*(100%-'Données projet'!$C$24)*(100%-'Données projet'!$C$25)*(100%-'Données projet'!$C$26)*(100%-'Données projet'!$C$27)</f>
        <v>55.270035546794993</v>
      </c>
      <c r="L7" s="152">
        <f t="shared" ref="L7:L15" ca="1" si="2">G7+I7+K7</f>
        <v>255.77813661344351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pignon</v>
      </c>
      <c r="B8" s="154">
        <f>'Données projet'!D11</f>
        <v>0.71429000000000009</v>
      </c>
      <c r="C8" s="147">
        <f ca="1">IF(OR('Données projet'!B11="",'Données projet'!C11="",'Données projet'!C11=0%),0,Calculateur!BI3)</f>
        <v>418.31716673276725</v>
      </c>
      <c r="D8" s="147">
        <f>IF(OR('Données projet'!B11="",'Données projet'!C11="",'Données projet'!C11=0%),0,Calculateur!BJ3)</f>
        <v>472.37891533957929</v>
      </c>
      <c r="E8" s="147">
        <f t="shared" ca="1" si="0"/>
        <v>418.31716673276725</v>
      </c>
      <c r="F8" s="147">
        <f t="shared" ca="1" si="1"/>
        <v>298.79976902554836</v>
      </c>
      <c r="G8" s="147">
        <f ca="1">F8*(100%-'Données projet'!$C$24)*(100%-'Données projet'!$C$25)*(100%-'Données projet'!$C$26)*(100%-'Données projet'!$C$27)</f>
        <v>255.47380251684388</v>
      </c>
      <c r="H8" s="155">
        <f>IF(OR('Données projet'!B11="",'Données projet'!C11="",'Données projet'!C11=0%),0,AVERAGE(Calculateur!$BS$3:$BS$33)*B8)</f>
        <v>3.0640940760425237</v>
      </c>
      <c r="I8" s="149">
        <f>H8*(100%-'Données projet'!$C$24)*(100%-'Données projet'!$C$25)*(100%-'Données projet'!$C$26)*(100%-'Données projet'!$C$27)</f>
        <v>2.6198004350163577</v>
      </c>
      <c r="J8" s="150">
        <f>IF(OR('Données projet'!B11="",'Données projet'!C11="",'Données projet'!C11=0%),0,SUM(Calculateur!$BL$3:$BL$33)*VLOOKUP('Données projet'!$B$11,Paramètres!$A$1:$I$89,9,0)*B8)</f>
        <v>26.586445232000003</v>
      </c>
      <c r="K8" s="151">
        <f>J8*(100%-'Données projet'!$C$24)*(100%-'Données projet'!$C$25)*(100%-'Données projet'!$C$26)*(100%-'Données projet'!$C$27)</f>
        <v>22.731410673360003</v>
      </c>
      <c r="L8" s="152">
        <f t="shared" ca="1" si="2"/>
        <v>280.82501362522027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Pin d'Alep</v>
      </c>
      <c r="B9" s="154">
        <f>'Données projet'!D12</f>
        <v>0.71429000000000009</v>
      </c>
      <c r="C9" s="147">
        <f ca="1">IF(OR('Données projet'!B12="",'Données projet'!C12="",'Données projet'!C12=0%),0,Calculateur!CD3)</f>
        <v>184.11352167663844</v>
      </c>
      <c r="D9" s="147">
        <f>IF(OR('Données projet'!B12="",'Données projet'!C12="",'Données projet'!C12=0%),0,Calculateur!CE3)</f>
        <v>145.86653500981791</v>
      </c>
      <c r="E9" s="147">
        <f t="shared" ca="1" si="0"/>
        <v>145.86653500981791</v>
      </c>
      <c r="F9" s="147">
        <f t="shared" ca="1" si="1"/>
        <v>104.19100729216285</v>
      </c>
      <c r="G9" s="147">
        <f ca="1">F9*(100%-'Données projet'!$C$24)*(100%-'Données projet'!$C$25)*(100%-'Données projet'!$C$26)*(100%-'Données projet'!$C$27)</f>
        <v>89.08331123479924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89.08331123479924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Sapin méditerranéen</v>
      </c>
      <c r="B10" s="154">
        <f>'Données projet'!D13</f>
        <v>0.71429000000000009</v>
      </c>
      <c r="C10" s="147">
        <f ca="1">IF(OR('Données projet'!B13="",'Données projet'!C13="",'Données projet'!C13=0%),0,Calculateur!CY3)</f>
        <v>303.76035885073708</v>
      </c>
      <c r="D10" s="147">
        <f>IF(OR('Données projet'!B13="",'Données projet'!C13="",'Données projet'!C13=0%),0,Calculateur!CZ3)</f>
        <v>127.43112562890414</v>
      </c>
      <c r="E10" s="147">
        <f t="shared" ca="1" si="0"/>
        <v>127.43112562890414</v>
      </c>
      <c r="F10" s="147">
        <f t="shared" ca="1" si="1"/>
        <v>91.022778725469948</v>
      </c>
      <c r="G10" s="147">
        <f ca="1">F10*(100%-'Données projet'!$C$24)*(100%-'Données projet'!$C$25)*(100%-'Données projet'!$C$26)*(100%-'Données projet'!$C$27)</f>
        <v>77.824475810276809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77.824475810276809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Peuplier non cultivé</v>
      </c>
      <c r="B11" s="154">
        <f>'Données projet'!D14</f>
        <v>0.71429000000000009</v>
      </c>
      <c r="C11" s="147">
        <f ca="1">IF(OR('Données projet'!B14="",'Données projet'!C14="",'Données projet'!C14=0%),0,Calculateur!DT3)</f>
        <v>243.65374431792841</v>
      </c>
      <c r="D11" s="147">
        <f>IF(OR('Données projet'!B14="",'Données projet'!C14="",'Données projet'!C14=0%),0,Calculateur!DU3)</f>
        <v>271.60754570002939</v>
      </c>
      <c r="E11" s="147">
        <f t="shared" ca="1" si="0"/>
        <v>243.65374431792841</v>
      </c>
      <c r="F11" s="147">
        <f t="shared" ca="1" si="1"/>
        <v>174.0394330288531</v>
      </c>
      <c r="G11" s="147">
        <f ca="1">F11*(100%-'Données projet'!$C$24)*(100%-'Données projet'!$C$25)*(100%-'Données projet'!$C$26)*(100%-'Données projet'!$C$27)</f>
        <v>148.8037152396694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148.8037152396694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Tilleul</v>
      </c>
      <c r="B12" s="154">
        <f>'Données projet'!D15</f>
        <v>0.71429000000000009</v>
      </c>
      <c r="C12" s="147">
        <f ca="1">IF(OR('Données projet'!B15="",'Données projet'!C15="",'Données projet'!C15=0%),0,Calculateur!EO3)</f>
        <v>321.44781099085594</v>
      </c>
      <c r="D12" s="147">
        <f>IF(OR('Données projet'!B15="",'Données projet'!C15="",'Données projet'!C15=0%),0,Calculateur!EP3)</f>
        <v>201.22243186578183</v>
      </c>
      <c r="E12" s="147">
        <f t="shared" ca="1" si="0"/>
        <v>201.22243186578183</v>
      </c>
      <c r="F12" s="147">
        <f t="shared" ca="1" si="1"/>
        <v>143.73117085740932</v>
      </c>
      <c r="G12" s="147">
        <f ca="1">F12*(100%-'Données projet'!$C$24)*(100%-'Données projet'!$C$25)*(100%-'Données projet'!$C$26)*(100%-'Données projet'!$C$27)</f>
        <v>122.89015108308499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3.7500225000000005</v>
      </c>
      <c r="K12" s="151">
        <f>J12*(100%-'Données projet'!$C$24)*(100%-'Données projet'!$C$25)*(100%-'Données projet'!$C$26)*(100%-'Données projet'!$C$27)</f>
        <v>3.2062692375000004</v>
      </c>
      <c r="L12" s="152">
        <f t="shared" ca="1" si="2"/>
        <v>126.09642032058498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Erable champêtre</v>
      </c>
      <c r="B13" s="154">
        <f>'Données projet'!D16</f>
        <v>0.71429000000000009</v>
      </c>
      <c r="C13" s="147">
        <f ca="1">IF(OR('Données projet'!B16="",'Données projet'!C16="",'Données projet'!C16=0%),0,Calculateur!FJ3)</f>
        <v>285.8437404763045</v>
      </c>
      <c r="D13" s="147">
        <f>IF(OR('Données projet'!B16="",'Données projet'!C16="",'Données projet'!C16=0%),0,Calculateur!FK3)</f>
        <v>276.01618888357268</v>
      </c>
      <c r="E13" s="147">
        <f t="shared" ca="1" si="0"/>
        <v>276.01618888357268</v>
      </c>
      <c r="F13" s="147">
        <f t="shared" ca="1" si="1"/>
        <v>197.15560355764717</v>
      </c>
      <c r="G13" s="147">
        <f ca="1">F13*(100%-'Données projet'!$C$24)*(100%-'Données projet'!$C$25)*(100%-'Données projet'!$C$26)*(100%-'Données projet'!$C$27)</f>
        <v>168.56804104178832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11.250067500000002</v>
      </c>
      <c r="K13" s="151">
        <f>J13*(100%-'Données projet'!$C$24)*(100%-'Données projet'!$C$25)*(100%-'Données projet'!$C$26)*(100%-'Données projet'!$C$27)</f>
        <v>9.6188077125000007</v>
      </c>
      <c r="L13" s="152">
        <f t="shared" ca="1" si="2"/>
        <v>178.18684875428832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Erable plane</v>
      </c>
      <c r="B14" s="154">
        <f>'Données projet'!D17</f>
        <v>0.71429000000000009</v>
      </c>
      <c r="C14" s="147">
        <f ca="1">IF(OR('Données projet'!B17="",'Données projet'!C17="",'Données projet'!C17=0%),0,Calculateur!GE3)</f>
        <v>323.01113210765487</v>
      </c>
      <c r="D14" s="147">
        <f>IF(OR('Données projet'!B17="",'Données projet'!C17="",'Données projet'!C17=0%),0,Calculateur!GF3)</f>
        <v>311.68541696405975</v>
      </c>
      <c r="E14" s="147">
        <f t="shared" ca="1" si="0"/>
        <v>311.68541696405975</v>
      </c>
      <c r="F14" s="147">
        <f t="shared" ca="1" si="1"/>
        <v>222.63377648325826</v>
      </c>
      <c r="G14" s="147">
        <f ca="1">F14*(100%-'Données projet'!$C$24)*(100%-'Données projet'!$C$25)*(100%-'Données projet'!$C$26)*(100%-'Données projet'!$C$27)</f>
        <v>190.35187889318581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17.678677500000003</v>
      </c>
      <c r="K14" s="151">
        <f>J14*(100%-'Données projet'!$C$24)*(100%-'Données projet'!$C$25)*(100%-'Données projet'!$C$26)*(100%-'Données projet'!$C$27)</f>
        <v>15.115269262500002</v>
      </c>
      <c r="L14" s="152">
        <f t="shared" ca="1" si="2"/>
        <v>205.46714815568581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>Erable champêtre</v>
      </c>
      <c r="B15" s="157">
        <f>'Données projet'!D18</f>
        <v>0.71429000000000009</v>
      </c>
      <c r="C15" s="158">
        <f ca="1">IF(OR('Données projet'!B18="",'Données projet'!C18="",'Données projet'!C18=0%),0,Calculateur!GZ3)</f>
        <v>285.8437404763045</v>
      </c>
      <c r="D15" s="158">
        <f>IF(OR('Données projet'!B18="",'Données projet'!C18="",'Données projet'!C18=0%),0,Calculateur!HA3)</f>
        <v>276.01618888357268</v>
      </c>
      <c r="E15" s="158">
        <f t="shared" ca="1" si="0"/>
        <v>276.01618888357268</v>
      </c>
      <c r="F15" s="159">
        <f t="shared" ca="1" si="1"/>
        <v>197.15560355764717</v>
      </c>
      <c r="G15" s="159">
        <f ca="1">F15*(100%-'Données projet'!$C$24)*(100%-'Données projet'!$C$25)*(100%-'Données projet'!$C$26)*(100%-'Données projet'!$C$27)</f>
        <v>168.56804104178832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11.250067500000002</v>
      </c>
      <c r="K15" s="163">
        <f>J15*(100%-'Données projet'!$C$24)*(100%-'Données projet'!$C$25)*(100%-'Données projet'!$C$26)*(100%-'Données projet'!$C$27)</f>
        <v>9.6188077125000007</v>
      </c>
      <c r="L15" s="164">
        <f t="shared" ca="1" si="2"/>
        <v>178.18684875428832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1773.8295231245629</v>
      </c>
      <c r="G16" s="166">
        <f t="shared" ca="1" si="3"/>
        <v>1516.6242422715013</v>
      </c>
      <c r="H16" s="167">
        <f t="shared" si="3"/>
        <v>10.911836272005822</v>
      </c>
      <c r="I16" s="167">
        <f t="shared" si="3"/>
        <v>9.3296200125649769</v>
      </c>
      <c r="J16" s="168">
        <f t="shared" si="3"/>
        <v>135.15859666100002</v>
      </c>
      <c r="K16" s="168">
        <f t="shared" si="3"/>
        <v>115.56060014515501</v>
      </c>
      <c r="L16" s="169">
        <f t="shared" ca="1" si="3"/>
        <v>1641.5144624292211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pignon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Pin d'Alep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Sapin méditerranéen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Peuplier non cultivé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Tilleul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Erable champêtre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Erable plane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>Erable champêtre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125" zoomScaleNormal="80" workbookViewId="0">
      <selection activeCell="R42" sqref="R4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4257812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-2786.628622748693</v>
      </c>
      <c r="U10" s="178">
        <f>'Données projet'!D9</f>
        <v>0.71429000000000009</v>
      </c>
      <c r="V10" s="177">
        <f>U10*T10</f>
        <v>-1990.4609589431643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Pin maritime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-371.8231174553606</v>
      </c>
      <c r="U11" s="178">
        <f>'Données projet'!D10</f>
        <v>0.71429000000000009</v>
      </c>
      <c r="V11" s="177">
        <f t="shared" ref="V11" si="0">U11*T11</f>
        <v>-265.58953456718956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Pin pignon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-820.46910931998514</v>
      </c>
      <c r="U12" s="178">
        <f>'Données projet'!D11</f>
        <v>0.71429000000000009</v>
      </c>
      <c r="V12" s="177">
        <f t="shared" ref="V12:V19" si="1">U12*T12</f>
        <v>-586.0528800961722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Pin d'Alep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-2302.0763967869498</v>
      </c>
      <c r="U13" s="178">
        <f>'Données projet'!D12</f>
        <v>0.71429000000000009</v>
      </c>
      <c r="V13" s="177">
        <f t="shared" si="1"/>
        <v>-1644.3501494609507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Sapin méditerranéen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-3224.5328458293948</v>
      </c>
      <c r="U14" s="178">
        <f>'Données projet'!D13</f>
        <v>0.71429000000000009</v>
      </c>
      <c r="V14" s="177">
        <f t="shared" si="1"/>
        <v>-2303.2515664474786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Peuplier non cultivé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286.48664417306463</v>
      </c>
      <c r="U15" s="178">
        <f>'Données projet'!D14</f>
        <v>0.71429000000000009</v>
      </c>
      <c r="V15" s="177">
        <f t="shared" si="1"/>
        <v>204.63454506637837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0</v>
      </c>
      <c r="O16" s="23"/>
      <c r="P16" s="23"/>
      <c r="Q16" s="233"/>
      <c r="R16" s="23"/>
      <c r="S16" s="36" t="str">
        <f>B200</f>
        <v>Tilleul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-2007.4938277137489</v>
      </c>
      <c r="U16" s="178">
        <f>'Données projet'!D15</f>
        <v>0.71429000000000009</v>
      </c>
      <c r="V16" s="177">
        <f t="shared" si="1"/>
        <v>-1433.932766197654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>
        <v>2926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>Erable champêtre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-2190.028823479578</v>
      </c>
      <c r="U17" s="178">
        <f>'Données projet'!D16</f>
        <v>0.71429000000000009</v>
      </c>
      <c r="V17" s="177">
        <f t="shared" si="1"/>
        <v>-1564.315688323228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0</v>
      </c>
      <c r="O18" s="23"/>
      <c r="P18" s="23"/>
      <c r="Q18" s="233"/>
      <c r="R18" s="23"/>
      <c r="S18" s="36" t="str">
        <f>B262</f>
        <v>Erable plane</v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-2068.455095702855</v>
      </c>
      <c r="U18" s="178">
        <f>'Données projet'!D17</f>
        <v>0.71429000000000009</v>
      </c>
      <c r="V18" s="177">
        <f t="shared" si="1"/>
        <v>-1477.4767903095926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>Erable champêtre</v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-2119.1528423624318</v>
      </c>
      <c r="U19" s="178">
        <f>'Données projet'!D18</f>
        <v>0.71429000000000009</v>
      </c>
      <c r="V19" s="177">
        <f t="shared" si="1"/>
        <v>-1513.6896837710615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f>1248+280</f>
        <v>1528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100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100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25</v>
      </c>
      <c r="B23" s="181">
        <f>'Données projet'!D36</f>
        <v>0</v>
      </c>
      <c r="C23" s="193">
        <f>30*'Données projet'!E36+19.4*('Données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>
        <v>100</v>
      </c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-26624.553161828484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0</v>
      </c>
      <c r="C24" s="193">
        <f>30*'Données projet'!E37+19.4*('Données projet'!F37+'Données projet'!G37)+10*'Données projet'!G37</f>
        <v>0</v>
      </c>
      <c r="D24" s="182">
        <f t="shared" ref="D24:D42" si="2">B24*C24</f>
        <v>0</v>
      </c>
      <c r="E24" s="193"/>
      <c r="F24" s="232"/>
      <c r="H24" s="190">
        <v>4</v>
      </c>
      <c r="I24" s="191">
        <v>100</v>
      </c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35</v>
      </c>
      <c r="B25" s="181">
        <f>'Données projet'!D38</f>
        <v>13</v>
      </c>
      <c r="C25" s="193">
        <f>30*'Données projet'!E38+19.4*('Données projet'!F38+'Données projet'!G38)+10*'Données projet'!G38</f>
        <v>0</v>
      </c>
      <c r="D25" s="182">
        <f t="shared" si="2"/>
        <v>0</v>
      </c>
      <c r="E25" s="193"/>
      <c r="F25" s="232"/>
      <c r="H25" s="190">
        <v>5</v>
      </c>
      <c r="I25" s="191">
        <v>100</v>
      </c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-26624.553161828484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14</v>
      </c>
      <c r="C26" s="193">
        <f>30*'Données projet'!E39+19.4*('Données projet'!F39+'Données projet'!G39)+10*'Données projet'!G39</f>
        <v>6</v>
      </c>
      <c r="D26" s="182">
        <f t="shared" si="2"/>
        <v>84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45</v>
      </c>
      <c r="B27" s="181">
        <f>'Données projet'!D40</f>
        <v>14</v>
      </c>
      <c r="C27" s="193">
        <f>30*'Données projet'!E40+19.4*('Données projet'!F40+'Données projet'!G40)+10*'Données projet'!G40</f>
        <v>6</v>
      </c>
      <c r="D27" s="182">
        <f t="shared" si="2"/>
        <v>84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50</v>
      </c>
      <c r="B28" s="181">
        <f>'Données projet'!D41</f>
        <v>14</v>
      </c>
      <c r="C28" s="193">
        <f>30*'Données projet'!E41+19.4*('Données projet'!F41+'Données projet'!G41)+10*'Données projet'!G41</f>
        <v>6</v>
      </c>
      <c r="D28" s="182">
        <f t="shared" si="2"/>
        <v>84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55</v>
      </c>
      <c r="B29" s="181">
        <f>'Données projet'!D42</f>
        <v>14</v>
      </c>
      <c r="C29" s="193">
        <f>30*'Données projet'!E42+19.4*('Données projet'!F42+'Données projet'!G42)+10*'Données projet'!G42</f>
        <v>9</v>
      </c>
      <c r="D29" s="182">
        <f t="shared" si="2"/>
        <v>126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60</v>
      </c>
      <c r="B30" s="181">
        <f>'Données projet'!D43</f>
        <v>14</v>
      </c>
      <c r="C30" s="193">
        <f>30*'Données projet'!E43+19.4*('Données projet'!F43+'Données projet'!G43)+10*'Données projet'!G43</f>
        <v>9</v>
      </c>
      <c r="D30" s="182">
        <f t="shared" si="2"/>
        <v>126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65</v>
      </c>
      <c r="B31" s="181">
        <f>'Données projet'!D44</f>
        <v>14</v>
      </c>
      <c r="C31" s="193">
        <f>30*'Données projet'!E44+19.4*('Données projet'!F44+'Données projet'!G44)+10*'Données projet'!G44</f>
        <v>12</v>
      </c>
      <c r="D31" s="182">
        <f t="shared" si="2"/>
        <v>168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70</v>
      </c>
      <c r="B32" s="181">
        <f>'Données projet'!D45</f>
        <v>14</v>
      </c>
      <c r="C32" s="193">
        <f>30*'Données projet'!E45+19.4*('Données projet'!F45+'Données projet'!G45)+10*'Données projet'!G45</f>
        <v>12</v>
      </c>
      <c r="D32" s="182">
        <f t="shared" si="2"/>
        <v>168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75</v>
      </c>
      <c r="B33" s="181">
        <f>'Données projet'!D46</f>
        <v>14</v>
      </c>
      <c r="C33" s="193">
        <f>30*'Données projet'!E46+19.4*('Données projet'!F46+'Données projet'!G46)+10*'Données projet'!G46</f>
        <v>15</v>
      </c>
      <c r="D33" s="182">
        <f t="shared" si="2"/>
        <v>210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80</v>
      </c>
      <c r="B34" s="181">
        <f>'Données projet'!D47</f>
        <v>14</v>
      </c>
      <c r="C34" s="193">
        <f>30*'Données projet'!E47+19.4*('Données projet'!F47+'Données projet'!G47)+10*'Données projet'!G47</f>
        <v>15</v>
      </c>
      <c r="D34" s="182">
        <f t="shared" si="2"/>
        <v>210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85</v>
      </c>
      <c r="B35" s="181">
        <f>'Données projet'!D48</f>
        <v>14</v>
      </c>
      <c r="C35" s="193">
        <f>30*'Données projet'!E48+19.4*('Données projet'!F48+'Données projet'!G48)+10*'Données projet'!G48</f>
        <v>18</v>
      </c>
      <c r="D35" s="182">
        <f t="shared" si="2"/>
        <v>252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90</v>
      </c>
      <c r="B36" s="181">
        <f>'Données projet'!D49</f>
        <v>14</v>
      </c>
      <c r="C36" s="193">
        <f>30*'Données projet'!E49+19.4*('Données projet'!F49+'Données projet'!G49)+10*'Données projet'!G49</f>
        <v>18</v>
      </c>
      <c r="D36" s="182">
        <f t="shared" si="2"/>
        <v>252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95</v>
      </c>
      <c r="B37" s="181">
        <f>'Données projet'!D50</f>
        <v>14</v>
      </c>
      <c r="C37" s="193">
        <f>30*'Données projet'!E50+19.4*('Données projet'!F50+'Données projet'!G50)+10*'Données projet'!G50</f>
        <v>21</v>
      </c>
      <c r="D37" s="182">
        <f t="shared" si="2"/>
        <v>294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100</v>
      </c>
      <c r="B38" s="181">
        <f>'Données projet'!D51</f>
        <v>14</v>
      </c>
      <c r="C38" s="193">
        <f>30*'Données projet'!E51+19.4*('Données projet'!F51+'Données projet'!G51)+10*'Données projet'!G51</f>
        <v>21</v>
      </c>
      <c r="D38" s="182">
        <f t="shared" si="2"/>
        <v>294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105</v>
      </c>
      <c r="B39" s="181">
        <f>'Données projet'!D52</f>
        <v>14</v>
      </c>
      <c r="C39" s="193">
        <f>30*'Données projet'!E52+19.4*('Données projet'!F52+'Données projet'!G52)+10*'Données projet'!G52</f>
        <v>21</v>
      </c>
      <c r="D39" s="182">
        <f t="shared" si="2"/>
        <v>294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110</v>
      </c>
      <c r="B40" s="181">
        <f>'Données projet'!D53</f>
        <v>13</v>
      </c>
      <c r="C40" s="193">
        <f>30*'Données projet'!E53+19.4*('Données projet'!F53+'Données projet'!G53)+10*'Données projet'!G53</f>
        <v>21</v>
      </c>
      <c r="D40" s="182">
        <f t="shared" si="2"/>
        <v>273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115</v>
      </c>
      <c r="B41" s="181">
        <f>'Données projet'!D54</f>
        <v>13</v>
      </c>
      <c r="C41" s="193">
        <f>30*'Données projet'!E54+19.4*('Données projet'!F54+'Données projet'!G54)+10*'Données projet'!G54</f>
        <v>21</v>
      </c>
      <c r="D41" s="182">
        <f t="shared" si="2"/>
        <v>273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120</v>
      </c>
      <c r="B42" s="181">
        <f>'Données projet'!D55</f>
        <v>221</v>
      </c>
      <c r="C42" s="193">
        <f>30*'Données projet'!E55+19.4*('Données projet'!F55+'Données projet'!G55)+10*'Données projet'!G55</f>
        <v>24</v>
      </c>
      <c r="D42" s="182">
        <f t="shared" si="2"/>
        <v>5304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maritime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>
        <v>1960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17</v>
      </c>
      <c r="B54" s="181">
        <f>'Données projet'!D62</f>
        <v>41</v>
      </c>
      <c r="C54" s="191">
        <f>17.5*'Données projet'!E62+13.8*('Données projet'!F62+'Données projet'!G62)+10*'Données projet'!H62</f>
        <v>13.8</v>
      </c>
      <c r="D54" s="179">
        <f>B54*C54</f>
        <v>565.80000000000007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23</v>
      </c>
      <c r="B55" s="181">
        <f>'Données projet'!D63</f>
        <v>57.75</v>
      </c>
      <c r="C55" s="191">
        <f>17.5*'Données projet'!E63+13.8*('Données projet'!F63+'Données projet'!G63)+10*'Données projet'!H63</f>
        <v>16.058</v>
      </c>
      <c r="D55" s="179">
        <f t="shared" ref="D55:D73" si="4">B55*C55</f>
        <v>927.34950000000003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25</v>
      </c>
      <c r="B56" s="181">
        <f>'Données projet'!D64</f>
        <v>0</v>
      </c>
      <c r="C56" s="191">
        <f>17.5*'Données projet'!E64+13.8*('Données projet'!F64+'Données projet'!G64)+10*'Données projet'!H64</f>
        <v>14.91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29</v>
      </c>
      <c r="B57" s="181">
        <f>'Données projet'!D65</f>
        <v>54.64</v>
      </c>
      <c r="C57" s="191">
        <f>17.5*'Données projet'!E65+13.8*('Données projet'!F65+'Données projet'!G65)+10*'Données projet'!H65</f>
        <v>15.280000000000001</v>
      </c>
      <c r="D57" s="179">
        <f t="shared" si="4"/>
        <v>834.89920000000006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34</v>
      </c>
      <c r="B58" s="181">
        <f>'Données projet'!D66</f>
        <v>0</v>
      </c>
      <c r="C58" s="191">
        <f>17.5*'Données projet'!E66+13.8*('Données projet'!F66+'Données projet'!G66)+10*'Données projet'!H66</f>
        <v>15.65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36</v>
      </c>
      <c r="B59" s="181">
        <f>'Données projet'!D67</f>
        <v>76</v>
      </c>
      <c r="C59" s="191">
        <f>17.5*'Données projet'!E67+13.8*('Données projet'!F67+'Données projet'!G67)+10*'Données projet'!H67</f>
        <v>16.02</v>
      </c>
      <c r="D59" s="179">
        <f t="shared" si="4"/>
        <v>1217.52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43</v>
      </c>
      <c r="B60" s="181">
        <f>'Données projet'!D68</f>
        <v>0</v>
      </c>
      <c r="C60" s="191">
        <f>17.5*'Données projet'!E68+13.8*('Données projet'!F68+'Données projet'!G68)+10*'Données projet'!H68</f>
        <v>16.39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44</v>
      </c>
      <c r="B61" s="181">
        <f>'Données projet'!D69</f>
        <v>78</v>
      </c>
      <c r="C61" s="191">
        <f>17.5*'Données projet'!E69+13.8*('Données projet'!F69+'Données projet'!G69)+10*'Données projet'!H69</f>
        <v>16.760000000000002</v>
      </c>
      <c r="D61" s="179">
        <f t="shared" si="4"/>
        <v>1307.2800000000002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52</v>
      </c>
      <c r="B62" s="181">
        <f>'Données projet'!D70</f>
        <v>75.37</v>
      </c>
      <c r="C62" s="191">
        <f>17.5*'Données projet'!E70+13.8*('Données projet'!F70+'Données projet'!G70)+10*'Données projet'!H70</f>
        <v>16.760000000000002</v>
      </c>
      <c r="D62" s="179">
        <f t="shared" si="4"/>
        <v>1263.2012000000002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60</v>
      </c>
      <c r="B63" s="181">
        <f>'Données projet'!D71</f>
        <v>436.34</v>
      </c>
      <c r="C63" s="191">
        <f>17.5*'Données projet'!E71+13.8*('Données projet'!F71+'Données projet'!G71)+10*'Données projet'!H71</f>
        <v>16.760000000000002</v>
      </c>
      <c r="D63" s="179">
        <f t="shared" si="4"/>
        <v>7313.0583999999999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>
        <f>17.5*'Données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>
        <f>17.5*'Données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pignon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>
        <v>3024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24</v>
      </c>
      <c r="B85" s="181">
        <f>'Données projet'!D88</f>
        <v>49</v>
      </c>
      <c r="C85" s="191">
        <f>42*'Données projet'!E88+19.4*('Données projet'!F88+'Données projet'!G88)+10*'Données projet'!H88</f>
        <v>19.399999999999999</v>
      </c>
      <c r="D85" s="179">
        <f>B85*C85</f>
        <v>950.59999999999991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37.56</v>
      </c>
      <c r="C86" s="191">
        <f>42*'Données projet'!E89+19.4*('Données projet'!F89+'Données projet'!G89)+10*'Données projet'!H89</f>
        <v>26.054000000000002</v>
      </c>
      <c r="D86" s="179">
        <f t="shared" ref="D86:D104" si="6">B86*C86</f>
        <v>978.58824000000016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32</v>
      </c>
      <c r="B87" s="181">
        <f>'Données projet'!D90</f>
        <v>0</v>
      </c>
      <c r="C87" s="191">
        <f>42*'Données projet'!E90+19.4*('Données projet'!F90+'Données projet'!G90)+10*'Données projet'!H90</f>
        <v>26.18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38</v>
      </c>
      <c r="B88" s="181">
        <f>'Données projet'!D91</f>
        <v>53.95</v>
      </c>
      <c r="C88" s="191">
        <f>42*'Données projet'!E91+19.4*('Données projet'!F91+'Données projet'!G91)+10*'Données projet'!H91</f>
        <v>28.44</v>
      </c>
      <c r="D88" s="179">
        <f t="shared" si="6"/>
        <v>1534.3380000000002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41</v>
      </c>
      <c r="B89" s="181">
        <f>'Données projet'!D92</f>
        <v>0</v>
      </c>
      <c r="C89" s="191">
        <f>42*'Données projet'!E92+19.4*('Données projet'!F92+'Données projet'!G92)+10*'Données projet'!H92</f>
        <v>30.7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46</v>
      </c>
      <c r="B90" s="181">
        <f>'Données projet'!D93</f>
        <v>65</v>
      </c>
      <c r="C90" s="191">
        <f>42*'Données projet'!E93+19.4*('Données projet'!F93+'Données projet'!G93)+10*'Données projet'!H93</f>
        <v>32.96</v>
      </c>
      <c r="D90" s="179">
        <f t="shared" si="6"/>
        <v>2142.4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50</v>
      </c>
      <c r="B91" s="181">
        <f>'Données projet'!D94</f>
        <v>0</v>
      </c>
      <c r="C91" s="191">
        <f>42*'Données projet'!E94+19.4*('Données projet'!F94+'Données projet'!G94)+10*'Données projet'!H94</f>
        <v>35.22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54</v>
      </c>
      <c r="B92" s="181">
        <f>'Données projet'!D95</f>
        <v>72</v>
      </c>
      <c r="C92" s="191">
        <f>42*'Données projet'!E95+19.4*('Données projet'!F95+'Données projet'!G95)+10*'Données projet'!H95</f>
        <v>37.480000000000004</v>
      </c>
      <c r="D92" s="179">
        <f t="shared" si="6"/>
        <v>2698.5600000000004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59</v>
      </c>
      <c r="B93" s="181">
        <f>'Données projet'!D96</f>
        <v>0</v>
      </c>
      <c r="C93" s="191">
        <f>42*'Données projet'!E96+19.4*('Données projet'!F96+'Données projet'!G96)+10*'Données projet'!H96</f>
        <v>37.480000000000004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62</v>
      </c>
      <c r="B94" s="181">
        <f>'Données projet'!D97</f>
        <v>322.99</v>
      </c>
      <c r="C94" s="191">
        <f>42*'Données projet'!E97+19.4*('Données projet'!F97+'Données projet'!G97)+10*'Données projet'!H97</f>
        <v>37.480000000000004</v>
      </c>
      <c r="D94" s="179">
        <f t="shared" si="6"/>
        <v>12105.665200000001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Pin d'Alep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v>2884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15</v>
      </c>
      <c r="B116" s="181">
        <f>'Données projet'!D114</f>
        <v>0</v>
      </c>
      <c r="C116" s="191">
        <f>42*'Données projet'!E114+19.5*('Données projet'!F114+'Données projet'!G114)+10*'Données projet'!H114</f>
        <v>19.5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18</v>
      </c>
      <c r="B117" s="181">
        <f>'Données projet'!D115</f>
        <v>0</v>
      </c>
      <c r="C117" s="191">
        <f>42*'Données projet'!E115+19.5*('Données projet'!F115+'Données projet'!G115)+10*'Données projet'!H115</f>
        <v>19.5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20</v>
      </c>
      <c r="B118" s="181">
        <f>'Données projet'!D116</f>
        <v>0</v>
      </c>
      <c r="C118" s="191">
        <f>42*'Données projet'!E116+19.5*('Données projet'!F116+'Données projet'!G116)+10*'Données projet'!H116</f>
        <v>19.5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23</v>
      </c>
      <c r="B119" s="181">
        <f>'Données projet'!D117</f>
        <v>0</v>
      </c>
      <c r="C119" s="191">
        <f>42*'Données projet'!E117+19.5*('Données projet'!F117+'Données projet'!G117)+10*'Données projet'!H117</f>
        <v>19.5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25</v>
      </c>
      <c r="B120" s="181">
        <f>'Données projet'!D118</f>
        <v>0</v>
      </c>
      <c r="C120" s="191">
        <f>42*'Données projet'!E118+19.5*('Données projet'!F118+'Données projet'!G118)+10*'Données projet'!H118</f>
        <v>19.5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27</v>
      </c>
      <c r="B121" s="181">
        <f>'Données projet'!D119</f>
        <v>0</v>
      </c>
      <c r="C121" s="191">
        <f>42*'Données projet'!E119+19.5*('Données projet'!F119+'Données projet'!G119)+10*'Données projet'!H119</f>
        <v>19.5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30</v>
      </c>
      <c r="B122" s="181">
        <f>'Données projet'!D120</f>
        <v>0</v>
      </c>
      <c r="C122" s="191">
        <f>42*'Données projet'!E120+19.5*('Données projet'!F120+'Données projet'!G120)+10*'Données projet'!H120</f>
        <v>26.145000000000003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36</v>
      </c>
      <c r="B123" s="181">
        <f>'Données projet'!D121</f>
        <v>29</v>
      </c>
      <c r="C123" s="191">
        <f>42*'Données projet'!E121+19.5*('Données projet'!F121+'Données projet'!G121)+10*'Données projet'!H121</f>
        <v>24</v>
      </c>
      <c r="D123" s="179">
        <f t="shared" si="8"/>
        <v>696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45</v>
      </c>
      <c r="B124" s="181">
        <f>'Données projet'!D122</f>
        <v>0</v>
      </c>
      <c r="C124" s="191">
        <f>42*'Données projet'!E122+19.5*('Données projet'!F122+'Données projet'!G122)+10*'Données projet'!H122</f>
        <v>28.5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52</v>
      </c>
      <c r="B125" s="181">
        <f>'Données projet'!D123</f>
        <v>70</v>
      </c>
      <c r="C125" s="191">
        <f>42*'Données projet'!E123+19.5*('Données projet'!F123+'Données projet'!G123)+10*'Données projet'!H123</f>
        <v>28.5</v>
      </c>
      <c r="D125" s="179">
        <f t="shared" si="8"/>
        <v>1995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58</v>
      </c>
      <c r="B126" s="181">
        <f>'Données projet'!D124</f>
        <v>0</v>
      </c>
      <c r="C126" s="191">
        <f>42*'Données projet'!E124+19.5*('Données projet'!F124+'Données projet'!G124)+10*'Données projet'!H124</f>
        <v>28.5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64</v>
      </c>
      <c r="B127" s="181">
        <f>'Données projet'!D125</f>
        <v>0</v>
      </c>
      <c r="C127" s="191">
        <f>42*'Données projet'!E125+19.5*('Données projet'!F125+'Données projet'!G125)+10*'Données projet'!H125</f>
        <v>28.5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70</v>
      </c>
      <c r="B128" s="181">
        <f>'Données projet'!D126</f>
        <v>0</v>
      </c>
      <c r="C128" s="191">
        <f>42*'Données projet'!E126+19.5*('Données projet'!F126+'Données projet'!G126)+10*'Données projet'!H126</f>
        <v>28.5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74</v>
      </c>
      <c r="B129" s="181">
        <f>'Données projet'!D127</f>
        <v>108.41</v>
      </c>
      <c r="C129" s="191">
        <f>42*'Données projet'!E127+19.5*('Données projet'!F127+'Données projet'!G127)+10*'Données projet'!H127</f>
        <v>33</v>
      </c>
      <c r="D129" s="179">
        <f t="shared" si="8"/>
        <v>3577.5299999999997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80</v>
      </c>
      <c r="B130" s="181">
        <f>'Données projet'!D128</f>
        <v>0</v>
      </c>
      <c r="C130" s="191">
        <f>42*'Données projet'!E128+19.5*('Données projet'!F128+'Données projet'!G128)+10*'Données projet'!H128</f>
        <v>33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86</v>
      </c>
      <c r="B131" s="181">
        <f>'Données projet'!D129</f>
        <v>0</v>
      </c>
      <c r="C131" s="191">
        <f>42*'Données projet'!E129+19.5*('Données projet'!F129+'Données projet'!G129)+10*'Données projet'!H129</f>
        <v>33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90</v>
      </c>
      <c r="B132" s="181">
        <f>'Données projet'!D130</f>
        <v>158.02000000000001</v>
      </c>
      <c r="C132" s="191">
        <f>42*'Données projet'!E130+19.5*('Données projet'!F130+'Données projet'!G130)+10*'Données projet'!H130</f>
        <v>33</v>
      </c>
      <c r="D132" s="179">
        <f t="shared" si="8"/>
        <v>5214.6600000000008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Sapin méditerranéen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v>3556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30</v>
      </c>
      <c r="B147" s="175">
        <f>'Données projet'!D140</f>
        <v>0</v>
      </c>
      <c r="C147" s="191">
        <f>150*'Données projet'!E140+13.8*('Données projet'!F140+'Données projet'!G140)+10*'Données projet'!H140</f>
        <v>13.8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35</v>
      </c>
      <c r="B148" s="175">
        <f>'Données projet'!D141</f>
        <v>0</v>
      </c>
      <c r="C148" s="191">
        <f>150*'Données projet'!E141+13.8*('Données projet'!F141+'Données projet'!G141)+10*'Données projet'!H141</f>
        <v>13.8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0</v>
      </c>
      <c r="C149" s="191">
        <f>150*'Données projet'!E142+13.8*('Données projet'!F142+'Données projet'!G142)+10*'Données projet'!H142</f>
        <v>13.8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0</v>
      </c>
      <c r="C150" s="191">
        <f>150*'Données projet'!E143+13.8*('Données projet'!F143+'Données projet'!G143)+10*'Données projet'!H143</f>
        <v>13.8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0</v>
      </c>
      <c r="C151" s="191">
        <f>150*'Données projet'!E144+13.8*('Données projet'!F144+'Données projet'!G144)+10*'Données projet'!H144</f>
        <v>13.8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67</v>
      </c>
      <c r="B152" s="175">
        <f>'Données projet'!D145</f>
        <v>122</v>
      </c>
      <c r="C152" s="191">
        <f>150*'Données projet'!E145+13.8*('Données projet'!F145+'Données projet'!G145)+10*'Données projet'!H145</f>
        <v>13.8</v>
      </c>
      <c r="D152" s="182">
        <f t="shared" si="10"/>
        <v>1683.6000000000001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75</v>
      </c>
      <c r="B153" s="175">
        <f>'Données projet'!D146</f>
        <v>0</v>
      </c>
      <c r="C153" s="191">
        <f>150*'Données projet'!E146+13.8*('Données projet'!F146+'Données projet'!G146)+10*'Données projet'!H146</f>
        <v>42.558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82</v>
      </c>
      <c r="B154" s="175">
        <f>'Données projet'!D147</f>
        <v>92</v>
      </c>
      <c r="C154" s="191">
        <f>150*'Données projet'!E147+13.8*('Données projet'!F147+'Données projet'!G147)+10*'Données projet'!H147</f>
        <v>41.04</v>
      </c>
      <c r="D154" s="182">
        <f t="shared" si="10"/>
        <v>3775.68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90</v>
      </c>
      <c r="B155" s="175">
        <f>'Données projet'!D148</f>
        <v>0</v>
      </c>
      <c r="C155" s="191">
        <f>150*'Données projet'!E148+13.8*('Données projet'!F148+'Données projet'!G148)+10*'Données projet'!H148</f>
        <v>68.28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98</v>
      </c>
      <c r="B156" s="175">
        <f>'Données projet'!D149</f>
        <v>64</v>
      </c>
      <c r="C156" s="191">
        <f>150*'Données projet'!E149+13.8*('Données projet'!F149+'Données projet'!G149)+10*'Données projet'!H149</f>
        <v>68.28</v>
      </c>
      <c r="D156" s="182">
        <f t="shared" si="10"/>
        <v>4369.92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107</v>
      </c>
      <c r="B157" s="175">
        <f>'Données projet'!D150</f>
        <v>0</v>
      </c>
      <c r="C157" s="191">
        <f>150*'Données projet'!E150+13.8*('Données projet'!F150+'Données projet'!G150)+10*'Données projet'!H150</f>
        <v>68.28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115</v>
      </c>
      <c r="B158" s="175">
        <f>'Données projet'!D151</f>
        <v>65</v>
      </c>
      <c r="C158" s="191">
        <f>150*'Données projet'!E151+13.8*('Données projet'!F151+'Données projet'!G151)+10*'Données projet'!H151</f>
        <v>68.28</v>
      </c>
      <c r="D158" s="182">
        <f t="shared" si="10"/>
        <v>4438.2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126</v>
      </c>
      <c r="B159" s="175">
        <f>'Données projet'!D152</f>
        <v>0</v>
      </c>
      <c r="C159" s="191">
        <f>150*'Données projet'!E152+13.8*('Données projet'!F152+'Données projet'!G152)+10*'Données projet'!H152</f>
        <v>68.28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135</v>
      </c>
      <c r="B160" s="175">
        <f>'Données projet'!D153</f>
        <v>70.010000000000005</v>
      </c>
      <c r="C160" s="191">
        <f>150*'Données projet'!E153+13.8*('Données projet'!F153+'Données projet'!G153)+10*'Données projet'!H153</f>
        <v>95.52</v>
      </c>
      <c r="D160" s="182">
        <f t="shared" si="10"/>
        <v>6687.3552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144</v>
      </c>
      <c r="B161" s="175">
        <f>'Données projet'!D154</f>
        <v>0</v>
      </c>
      <c r="C161" s="191">
        <f>150*'Données projet'!E154+13.8*('Données projet'!F154+'Données projet'!G154)+10*'Données projet'!H154</f>
        <v>95.52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150</v>
      </c>
      <c r="B162" s="175">
        <f>'Données projet'!D155</f>
        <v>173.86</v>
      </c>
      <c r="C162" s="191">
        <f>150*'Données projet'!E155+13.8*('Données projet'!F155+'Données projet'!G155)+10*'Données projet'!H155</f>
        <v>95.52</v>
      </c>
      <c r="D162" s="182">
        <f t="shared" si="10"/>
        <v>16607.107200000002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156</v>
      </c>
      <c r="B163" s="175">
        <f>'Données projet'!D156</f>
        <v>0</v>
      </c>
      <c r="C163" s="191">
        <f>150*'Données projet'!E156+13.8*('Données projet'!F156+'Données projet'!G156)+10*'Données projet'!H156</f>
        <v>95.52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165</v>
      </c>
      <c r="B164" s="175">
        <f>'Données projet'!D157</f>
        <v>214.65</v>
      </c>
      <c r="C164" s="191">
        <f>150*'Données projet'!E157+13.8*('Données projet'!F157+'Données projet'!G157)+10*'Données projet'!H157</f>
        <v>95.52</v>
      </c>
      <c r="D164" s="182">
        <f t="shared" si="10"/>
        <v>20503.367999999999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Peuplier non cultivé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v>3150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10</v>
      </c>
      <c r="B178" s="181">
        <f>'Données projet'!D166</f>
        <v>0</v>
      </c>
      <c r="C178" s="193">
        <f>300*'Données projet'!E166+13.8*('Données projet'!F166+'Données projet'!G168)+10*'Données projet'!H166</f>
        <v>10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15</v>
      </c>
      <c r="B179" s="181">
        <f>'Données projet'!D167</f>
        <v>0</v>
      </c>
      <c r="C179" s="193">
        <f>300*'Données projet'!E167+13.8*('Données projet'!F167+'Données projet'!G169)+10*'Données projet'!H167</f>
        <v>10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20</v>
      </c>
      <c r="B180" s="181">
        <f>'Données projet'!D168</f>
        <v>0</v>
      </c>
      <c r="C180" s="193">
        <f>300*'Données projet'!E168+13.8*('Données projet'!F168+'Données projet'!G170)+10*'Données projet'!H168</f>
        <v>10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25</v>
      </c>
      <c r="B181" s="181">
        <f>'Données projet'!D169</f>
        <v>0</v>
      </c>
      <c r="C181" s="193">
        <f>300*'Données projet'!E169+13.8*('Données projet'!F169+'Données projet'!G171)+10*'Données projet'!H169</f>
        <v>10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30</v>
      </c>
      <c r="B182" s="181">
        <f>'Données projet'!D170</f>
        <v>0</v>
      </c>
      <c r="C182" s="193">
        <f>300*'Données projet'!E170+13.8*('Données projet'!F170+'Données projet'!G172)+10*'Données projet'!H170</f>
        <v>68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35</v>
      </c>
      <c r="B183" s="181">
        <f>'Données projet'!D171</f>
        <v>0</v>
      </c>
      <c r="C183" s="193">
        <f>300*'Données projet'!E171+13.8*('Données projet'!F171+'Données projet'!G173)+10*'Données projet'!H171</f>
        <v>68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40</v>
      </c>
      <c r="B184" s="181">
        <f>'Données projet'!D172</f>
        <v>0</v>
      </c>
      <c r="C184" s="193">
        <f>300*'Données projet'!E172+13.8*('Données projet'!F172+'Données projet'!G174)+10*'Données projet'!H172</f>
        <v>97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45</v>
      </c>
      <c r="B185" s="181">
        <f>'Données projet'!D173</f>
        <v>0</v>
      </c>
      <c r="C185" s="193">
        <f>300*'Données projet'!E173+13.8*('Données projet'!F173+'Données projet'!G175)+10*'Données projet'!H173</f>
        <v>97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50</v>
      </c>
      <c r="B186" s="181">
        <f>'Données projet'!D174</f>
        <v>0</v>
      </c>
      <c r="C186" s="193">
        <f>300*'Données projet'!E174+13.8*('Données projet'!F174+'Données projet'!G176)+10*'Données projet'!H174</f>
        <v>126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55</v>
      </c>
      <c r="B187" s="181">
        <f>'Données projet'!D175</f>
        <v>0</v>
      </c>
      <c r="C187" s="193">
        <f>300*'Données projet'!E175+13.8*('Données projet'!F175+'Données projet'!G177)+10*'Données projet'!H175</f>
        <v>126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60</v>
      </c>
      <c r="B188" s="181">
        <f>'Données projet'!D176</f>
        <v>311</v>
      </c>
      <c r="C188" s="193">
        <f>300*'Données projet'!E176+13.8*('Données projet'!F176+'Données projet'!G178)+10*'Données projet'!H176</f>
        <v>155</v>
      </c>
      <c r="D188" s="179">
        <f t="shared" si="11"/>
        <v>48205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Tilleul</v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>
        <v>3262</v>
      </c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0</v>
      </c>
      <c r="C209" s="193">
        <f>150*'Données projet'!E192+13.8*('Données projet'!F192+'Données projet'!G192)+10*'Données projet'!H192</f>
        <v>10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25</v>
      </c>
      <c r="B210" s="181">
        <f>'Données projet'!D193</f>
        <v>0</v>
      </c>
      <c r="C210" s="193">
        <f>150*'Données projet'!E193+13.8*('Données projet'!F193+'Données projet'!G193)+10*'Données projet'!H193</f>
        <v>10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30</v>
      </c>
      <c r="B211" s="181">
        <f>'Données projet'!D194</f>
        <v>21</v>
      </c>
      <c r="C211" s="193">
        <f>150*'Données projet'!E194+13.8*('Données projet'!F194+'Données projet'!G194)+10*'Données projet'!H194</f>
        <v>10</v>
      </c>
      <c r="D211" s="179">
        <f t="shared" si="12"/>
        <v>210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35</v>
      </c>
      <c r="B212" s="181">
        <f>'Données projet'!D195</f>
        <v>21</v>
      </c>
      <c r="C212" s="193">
        <f>150*'Données projet'!E195+13.8*('Données projet'!F195+'Données projet'!G195)+10*'Données projet'!H195</f>
        <v>10</v>
      </c>
      <c r="D212" s="179">
        <f t="shared" si="12"/>
        <v>210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40</v>
      </c>
      <c r="B213" s="181">
        <f>'Données projet'!D196</f>
        <v>21</v>
      </c>
      <c r="C213" s="193">
        <f>150*'Données projet'!E196+13.8*('Données projet'!F196+'Données projet'!G196)+10*'Données projet'!H196</f>
        <v>38</v>
      </c>
      <c r="D213" s="179">
        <f t="shared" si="12"/>
        <v>798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45</v>
      </c>
      <c r="B214" s="181">
        <f>'Données projet'!D197</f>
        <v>21</v>
      </c>
      <c r="C214" s="193">
        <f>150*'Données projet'!E197+13.8*('Données projet'!F197+'Données projet'!G197)+10*'Données projet'!H197</f>
        <v>38</v>
      </c>
      <c r="D214" s="179">
        <f t="shared" si="12"/>
        <v>798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50</v>
      </c>
      <c r="B215" s="181">
        <f>'Données projet'!D198</f>
        <v>21</v>
      </c>
      <c r="C215" s="193">
        <f>150*'Données projet'!E198+13.8*('Données projet'!F198+'Données projet'!G198)+10*'Données projet'!H198</f>
        <v>52</v>
      </c>
      <c r="D215" s="179">
        <f t="shared" si="12"/>
        <v>1092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55</v>
      </c>
      <c r="B216" s="181">
        <f>'Données projet'!D199</f>
        <v>21</v>
      </c>
      <c r="C216" s="193">
        <f>150*'Données projet'!E199+13.8*('Données projet'!F199+'Données projet'!G199)+10*'Données projet'!H199</f>
        <v>52</v>
      </c>
      <c r="D216" s="179">
        <f t="shared" si="12"/>
        <v>1092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60</v>
      </c>
      <c r="B217" s="181">
        <f>'Données projet'!D200</f>
        <v>21</v>
      </c>
      <c r="C217" s="193">
        <f>150*'Données projet'!E200+13.8*('Données projet'!F200+'Données projet'!G200)+10*'Données projet'!H200</f>
        <v>66</v>
      </c>
      <c r="D217" s="179">
        <f t="shared" si="12"/>
        <v>1386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65</v>
      </c>
      <c r="B218" s="181">
        <f>'Données projet'!D201</f>
        <v>21</v>
      </c>
      <c r="C218" s="193">
        <f>150*'Données projet'!E201+13.8*('Données projet'!F201+'Données projet'!G201)+10*'Données projet'!H201</f>
        <v>66</v>
      </c>
      <c r="D218" s="179">
        <f t="shared" si="12"/>
        <v>1386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70</v>
      </c>
      <c r="B219" s="181">
        <f>'Données projet'!D202</f>
        <v>21</v>
      </c>
      <c r="C219" s="193">
        <f>150*'Données projet'!E202+13.8*('Données projet'!F202+'Données projet'!G202)+10*'Données projet'!H202</f>
        <v>80</v>
      </c>
      <c r="D219" s="179">
        <f t="shared" si="12"/>
        <v>1680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75</v>
      </c>
      <c r="B220" s="181">
        <f>'Données projet'!D203</f>
        <v>21</v>
      </c>
      <c r="C220" s="193">
        <f>150*'Données projet'!E203+13.8*('Données projet'!F203+'Données projet'!G203)+10*'Données projet'!H203</f>
        <v>80</v>
      </c>
      <c r="D220" s="179">
        <f t="shared" si="12"/>
        <v>1680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80</v>
      </c>
      <c r="B221" s="181">
        <f>'Données projet'!D204</f>
        <v>21</v>
      </c>
      <c r="C221" s="193">
        <f>150*'Données projet'!E204+13.8*('Données projet'!F204+'Données projet'!G204)+10*'Données projet'!H204</f>
        <v>94</v>
      </c>
      <c r="D221" s="179">
        <f t="shared" si="12"/>
        <v>1974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85</v>
      </c>
      <c r="B222" s="181">
        <f>'Données projet'!D205</f>
        <v>21</v>
      </c>
      <c r="C222" s="193">
        <f>150*'Données projet'!E205+13.8*('Données projet'!F205+'Données projet'!G205)+10*'Données projet'!H205</f>
        <v>94</v>
      </c>
      <c r="D222" s="179">
        <f t="shared" si="12"/>
        <v>1974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90</v>
      </c>
      <c r="B223" s="181">
        <f>'Données projet'!D206</f>
        <v>21</v>
      </c>
      <c r="C223" s="193">
        <f>150*'Données projet'!E206+13.8*('Données projet'!F206+'Données projet'!G206)+10*'Données projet'!H206</f>
        <v>108</v>
      </c>
      <c r="D223" s="179">
        <f t="shared" si="12"/>
        <v>2268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100</v>
      </c>
      <c r="B224" s="181">
        <f>'Données projet'!D207</f>
        <v>21</v>
      </c>
      <c r="C224" s="193">
        <f>150*'Données projet'!E207+13.8*('Données projet'!F207+'Données projet'!G207)+10*'Données projet'!H207</f>
        <v>108</v>
      </c>
      <c r="D224" s="179">
        <f t="shared" si="12"/>
        <v>2268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110</v>
      </c>
      <c r="B225" s="181">
        <f>'Données projet'!D208</f>
        <v>19</v>
      </c>
      <c r="C225" s="193">
        <f>150*'Données projet'!E208+13.8*('Données projet'!F208+'Données projet'!G208)+10*'Données projet'!H208</f>
        <v>122</v>
      </c>
      <c r="D225" s="179">
        <f t="shared" si="12"/>
        <v>2318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120</v>
      </c>
      <c r="B226" s="181">
        <f>'Données projet'!D209</f>
        <v>285</v>
      </c>
      <c r="C226" s="193">
        <f>150*'Données projet'!E209+13.8*('Données projet'!F209+'Données projet'!G209)+10*'Données projet'!H209</f>
        <v>122</v>
      </c>
      <c r="D226" s="179">
        <f t="shared" si="12"/>
        <v>34770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Erable champêtre</v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v>3010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15</v>
      </c>
      <c r="B240" s="181">
        <f>'Données projet'!D218</f>
        <v>0</v>
      </c>
      <c r="C240" s="193">
        <f>60*'Données projet'!E218+13.8*('Données projet'!F218+'Données projet'!G218)+10*'Données projet'!H218</f>
        <v>10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20</v>
      </c>
      <c r="B241" s="181">
        <f>'Données projet'!D219</f>
        <v>21</v>
      </c>
      <c r="C241" s="193">
        <f>60*'Données projet'!E219+13.8*('Données projet'!F219+'Données projet'!G219)+10*'Données projet'!H219</f>
        <v>10</v>
      </c>
      <c r="D241" s="179">
        <f t="shared" ref="D241:D259" si="13">B241*C241</f>
        <v>210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25</v>
      </c>
      <c r="B242" s="181">
        <f>'Données projet'!D220</f>
        <v>21</v>
      </c>
      <c r="C242" s="193">
        <f>60*'Données projet'!E220+13.8*('Données projet'!F220+'Données projet'!G220)+10*'Données projet'!H220</f>
        <v>10</v>
      </c>
      <c r="D242" s="179">
        <f t="shared" si="13"/>
        <v>210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30</v>
      </c>
      <c r="B243" s="181">
        <f>'Données projet'!D221</f>
        <v>21</v>
      </c>
      <c r="C243" s="193">
        <f>60*'Données projet'!E221+13.8*('Données projet'!F221+'Données projet'!G221)+10*'Données projet'!H221</f>
        <v>10</v>
      </c>
      <c r="D243" s="179">
        <f t="shared" si="13"/>
        <v>210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35</v>
      </c>
      <c r="B244" s="181">
        <f>'Données projet'!D222</f>
        <v>21</v>
      </c>
      <c r="C244" s="193">
        <f>60*'Données projet'!E222+13.8*('Données projet'!F222+'Données projet'!G222)+10*'Données projet'!H222</f>
        <v>20</v>
      </c>
      <c r="D244" s="179">
        <f t="shared" si="13"/>
        <v>420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40</v>
      </c>
      <c r="B245" s="181">
        <f>'Données projet'!D223</f>
        <v>21</v>
      </c>
      <c r="C245" s="193">
        <f>60*'Données projet'!E223+13.8*('Données projet'!F223+'Données projet'!G223)+10*'Données projet'!H223</f>
        <v>20</v>
      </c>
      <c r="D245" s="179">
        <f t="shared" si="13"/>
        <v>420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45</v>
      </c>
      <c r="B246" s="181">
        <f>'Données projet'!D224</f>
        <v>18</v>
      </c>
      <c r="C246" s="193">
        <f>60*'Données projet'!E224+13.8*('Données projet'!F224+'Données projet'!G224)+10*'Données projet'!H224</f>
        <v>25</v>
      </c>
      <c r="D246" s="179">
        <f t="shared" si="13"/>
        <v>450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50</v>
      </c>
      <c r="B247" s="181">
        <f>'Données projet'!D225</f>
        <v>13</v>
      </c>
      <c r="C247" s="193">
        <f>60*'Données projet'!E225+13.8*('Données projet'!F225+'Données projet'!G225)+10*'Données projet'!H225</f>
        <v>25</v>
      </c>
      <c r="D247" s="179">
        <f t="shared" si="13"/>
        <v>325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55</v>
      </c>
      <c r="B248" s="181">
        <f>'Données projet'!D226</f>
        <v>11</v>
      </c>
      <c r="C248" s="193">
        <f>60*'Données projet'!E226+13.8*('Données projet'!F226+'Données projet'!G226)+10*'Données projet'!H226</f>
        <v>30</v>
      </c>
      <c r="D248" s="179">
        <f t="shared" si="13"/>
        <v>330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60</v>
      </c>
      <c r="B249" s="181">
        <f>'Données projet'!D227</f>
        <v>9</v>
      </c>
      <c r="C249" s="193">
        <f>60*'Données projet'!E227+13.8*('Données projet'!F227+'Données projet'!G227)+10*'Données projet'!H227</f>
        <v>30</v>
      </c>
      <c r="D249" s="179">
        <f t="shared" si="13"/>
        <v>270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65</v>
      </c>
      <c r="B250" s="181">
        <f>'Données projet'!D228</f>
        <v>8</v>
      </c>
      <c r="C250" s="193">
        <f>60*'Données projet'!E228+13.8*('Données projet'!F228+'Données projet'!G228)+10*'Données projet'!H228</f>
        <v>35</v>
      </c>
      <c r="D250" s="179">
        <f t="shared" si="13"/>
        <v>280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70</v>
      </c>
      <c r="B251" s="181">
        <f>'Données projet'!D229</f>
        <v>8</v>
      </c>
      <c r="C251" s="193">
        <f>60*'Données projet'!E229+13.8*('Données projet'!F229+'Données projet'!G229)+10*'Données projet'!H229</f>
        <v>35</v>
      </c>
      <c r="D251" s="179">
        <f t="shared" si="13"/>
        <v>280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75</v>
      </c>
      <c r="B252" s="181">
        <f>'Données projet'!D230</f>
        <v>7</v>
      </c>
      <c r="C252" s="193">
        <f>60*'Données projet'!E230+13.8*('Données projet'!F230+'Données projet'!G230)+10*'Données projet'!H230</f>
        <v>40</v>
      </c>
      <c r="D252" s="179">
        <f t="shared" si="13"/>
        <v>280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80</v>
      </c>
      <c r="B253" s="181">
        <f>'Données projet'!D231</f>
        <v>219</v>
      </c>
      <c r="C253" s="193">
        <f>60*'Données projet'!E231+13.8*('Données projet'!F231+'Données projet'!G231)+10*'Données projet'!H231</f>
        <v>40</v>
      </c>
      <c r="D253" s="179">
        <f t="shared" si="13"/>
        <v>8760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Erable plane</v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>
        <v>3206</v>
      </c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15</v>
      </c>
      <c r="B271" s="181">
        <f>'Données projet'!D244</f>
        <v>15</v>
      </c>
      <c r="C271" s="193">
        <f>60*'Données projet'!E244+13.8*('Données projet'!F244+'Données projet'!G244)+10*'Données projet'!H244</f>
        <v>10</v>
      </c>
      <c r="D271" s="179">
        <f>B271*C271</f>
        <v>150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20</v>
      </c>
      <c r="B272" s="181">
        <f>'Données projet'!D245</f>
        <v>28</v>
      </c>
      <c r="C272" s="193">
        <f>60*'Données projet'!E245+13.8*('Données projet'!F245+'Données projet'!G245)+10*'Données projet'!H245</f>
        <v>10</v>
      </c>
      <c r="D272" s="179">
        <f t="shared" ref="D272:D290" si="14">B272*C272</f>
        <v>280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25</v>
      </c>
      <c r="B273" s="181">
        <f>'Données projet'!D246</f>
        <v>28</v>
      </c>
      <c r="C273" s="193">
        <f>60*'Données projet'!E246+13.8*('Données projet'!F246+'Données projet'!G246)+10*'Données projet'!H246</f>
        <v>10</v>
      </c>
      <c r="D273" s="179">
        <f t="shared" si="14"/>
        <v>280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30</v>
      </c>
      <c r="B274" s="181">
        <f>'Données projet'!D247</f>
        <v>28</v>
      </c>
      <c r="C274" s="193">
        <f>60*'Données projet'!E247+13.8*('Données projet'!F247+'Données projet'!G247)+10*'Données projet'!H247</f>
        <v>10</v>
      </c>
      <c r="D274" s="179">
        <f t="shared" si="14"/>
        <v>280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35</v>
      </c>
      <c r="B275" s="181">
        <f>'Données projet'!D248</f>
        <v>28</v>
      </c>
      <c r="C275" s="193">
        <f>60*'Données projet'!E248+13.8*('Données projet'!F248+'Données projet'!G248)+10*'Données projet'!H248</f>
        <v>20</v>
      </c>
      <c r="D275" s="179">
        <f t="shared" si="14"/>
        <v>560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40</v>
      </c>
      <c r="B276" s="181">
        <f>'Données projet'!D249</f>
        <v>28</v>
      </c>
      <c r="C276" s="193">
        <f>60*'Données projet'!E249+13.8*('Données projet'!F249+'Données projet'!G249)+10*'Données projet'!H249</f>
        <v>20</v>
      </c>
      <c r="D276" s="179">
        <f t="shared" si="14"/>
        <v>560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45</v>
      </c>
      <c r="B277" s="181">
        <f>'Données projet'!D250</f>
        <v>22</v>
      </c>
      <c r="C277" s="193">
        <f>60*'Données projet'!E250+13.8*('Données projet'!F250+'Données projet'!G250)+10*'Données projet'!H250</f>
        <v>25</v>
      </c>
      <c r="D277" s="179">
        <f t="shared" si="14"/>
        <v>550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50</v>
      </c>
      <c r="B278" s="181">
        <f>'Données projet'!D251</f>
        <v>17</v>
      </c>
      <c r="C278" s="193">
        <f>60*'Données projet'!E251+13.8*('Données projet'!F251+'Données projet'!G251)+10*'Données projet'!H251</f>
        <v>25</v>
      </c>
      <c r="D278" s="179">
        <f t="shared" si="14"/>
        <v>425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55</v>
      </c>
      <c r="B279" s="181">
        <f>'Données projet'!D252</f>
        <v>13</v>
      </c>
      <c r="C279" s="193">
        <f>60*'Données projet'!E252+13.8*('Données projet'!F252+'Données projet'!G252)+10*'Données projet'!H252</f>
        <v>30</v>
      </c>
      <c r="D279" s="179">
        <f t="shared" si="14"/>
        <v>390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60</v>
      </c>
      <c r="B280" s="181">
        <f>'Données projet'!D253</f>
        <v>12</v>
      </c>
      <c r="C280" s="193">
        <f>60*'Données projet'!E253+13.8*('Données projet'!F253+'Données projet'!G253)+10*'Données projet'!H253</f>
        <v>30</v>
      </c>
      <c r="D280" s="179">
        <f t="shared" si="14"/>
        <v>360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65</v>
      </c>
      <c r="B281" s="181">
        <f>'Données projet'!D254</f>
        <v>11</v>
      </c>
      <c r="C281" s="193">
        <f>60*'Données projet'!E254+13.8*('Données projet'!F254+'Données projet'!G254)+10*'Données projet'!H254</f>
        <v>35</v>
      </c>
      <c r="D281" s="179">
        <f t="shared" si="14"/>
        <v>385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70</v>
      </c>
      <c r="B282" s="181">
        <f>'Données projet'!D255</f>
        <v>10</v>
      </c>
      <c r="C282" s="193">
        <f>60*'Données projet'!E255+13.8*('Données projet'!F255+'Données projet'!G255)+10*'Données projet'!H255</f>
        <v>35</v>
      </c>
      <c r="D282" s="179">
        <f t="shared" si="14"/>
        <v>350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75</v>
      </c>
      <c r="B283" s="181">
        <f>'Données projet'!D256</f>
        <v>9</v>
      </c>
      <c r="C283" s="193">
        <f>60*'Données projet'!E256+13.8*('Données projet'!F256+'Données projet'!G256)+10*'Données projet'!H256</f>
        <v>40</v>
      </c>
      <c r="D283" s="179">
        <f t="shared" si="14"/>
        <v>360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80</v>
      </c>
      <c r="B284" s="181">
        <f>'Données projet'!D257</f>
        <v>275</v>
      </c>
      <c r="C284" s="193">
        <f>60*'Données projet'!E257+13.8*('Données projet'!F257+'Données projet'!G257)+10*'Données projet'!H257</f>
        <v>40</v>
      </c>
      <c r="D284" s="179">
        <f t="shared" si="14"/>
        <v>11000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>Erable champêtre</v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>
        <v>3010</v>
      </c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15</v>
      </c>
      <c r="B302" s="181">
        <f>'Données projet'!D270</f>
        <v>0</v>
      </c>
      <c r="C302" s="191">
        <f>80*'Données projet'!E270+13.8*('Données projet'!F270+'Données projet'!G270)+10*'Données projet'!H270</f>
        <v>10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20</v>
      </c>
      <c r="B303" s="181">
        <f>'Données projet'!D271</f>
        <v>21</v>
      </c>
      <c r="C303" s="191">
        <f>80*'Données projet'!E271+13.8*('Données projet'!F271+'Données projet'!G271)+10*'Données projet'!H271</f>
        <v>10</v>
      </c>
      <c r="D303" s="182">
        <f t="shared" ref="D303:D321" si="15">B303*C303</f>
        <v>210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25</v>
      </c>
      <c r="B304" s="181">
        <f>'Données projet'!D272</f>
        <v>21</v>
      </c>
      <c r="C304" s="191">
        <f>80*'Données projet'!E272+13.8*('Données projet'!F272+'Données projet'!G272)+10*'Données projet'!H272</f>
        <v>10</v>
      </c>
      <c r="D304" s="182">
        <f t="shared" si="15"/>
        <v>210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30</v>
      </c>
      <c r="B305" s="181">
        <f>'Données projet'!D273</f>
        <v>21</v>
      </c>
      <c r="C305" s="191">
        <f>80*'Données projet'!E273+13.8*('Données projet'!F273+'Données projet'!G273)+10*'Données projet'!H273</f>
        <v>10</v>
      </c>
      <c r="D305" s="182">
        <f t="shared" si="15"/>
        <v>210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35</v>
      </c>
      <c r="B306" s="181">
        <f>'Données projet'!D274</f>
        <v>21</v>
      </c>
      <c r="C306" s="191">
        <f>80*'Données projet'!E274+13.8*('Données projet'!F274+'Données projet'!G274)+10*'Données projet'!H274</f>
        <v>24</v>
      </c>
      <c r="D306" s="182">
        <f t="shared" si="15"/>
        <v>504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40</v>
      </c>
      <c r="B307" s="181">
        <f>'Données projet'!D275</f>
        <v>21</v>
      </c>
      <c r="C307" s="191">
        <f>80*'Données projet'!E275+13.8*('Données projet'!F275+'Données projet'!G275)+10*'Données projet'!H275</f>
        <v>24</v>
      </c>
      <c r="D307" s="182">
        <f t="shared" si="15"/>
        <v>504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45</v>
      </c>
      <c r="B308" s="181">
        <f>'Données projet'!D276</f>
        <v>18</v>
      </c>
      <c r="C308" s="191">
        <f>80*'Données projet'!E276+13.8*('Données projet'!F276+'Données projet'!G276)+10*'Données projet'!H276</f>
        <v>31</v>
      </c>
      <c r="D308" s="182">
        <f t="shared" si="15"/>
        <v>558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50</v>
      </c>
      <c r="B309" s="181">
        <f>'Données projet'!D277</f>
        <v>13</v>
      </c>
      <c r="C309" s="191">
        <f>80*'Données projet'!E277+13.8*('Données projet'!F277+'Données projet'!G277)+10*'Données projet'!H277</f>
        <v>31</v>
      </c>
      <c r="D309" s="182">
        <f t="shared" si="15"/>
        <v>403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55</v>
      </c>
      <c r="B310" s="181">
        <f>'Données projet'!D278</f>
        <v>11</v>
      </c>
      <c r="C310" s="191">
        <f>80*'Données projet'!E278+13.8*('Données projet'!F278+'Données projet'!G278)+10*'Données projet'!H278</f>
        <v>38</v>
      </c>
      <c r="D310" s="182">
        <f t="shared" si="15"/>
        <v>418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60</v>
      </c>
      <c r="B311" s="181">
        <f>'Données projet'!D279</f>
        <v>9</v>
      </c>
      <c r="C311" s="191">
        <f>80*'Données projet'!E279+13.8*('Données projet'!F279+'Données projet'!G279)+10*'Données projet'!H279</f>
        <v>38</v>
      </c>
      <c r="D311" s="182">
        <f t="shared" si="15"/>
        <v>342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65</v>
      </c>
      <c r="B312" s="181">
        <f>'Données projet'!D280</f>
        <v>8</v>
      </c>
      <c r="C312" s="191">
        <f>80*'Données projet'!E280+13.8*('Données projet'!F280+'Données projet'!G280)+10*'Données projet'!H280</f>
        <v>45</v>
      </c>
      <c r="D312" s="182">
        <f t="shared" si="15"/>
        <v>360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70</v>
      </c>
      <c r="B313" s="181">
        <f>'Données projet'!D281</f>
        <v>8</v>
      </c>
      <c r="C313" s="191">
        <f>80*'Données projet'!E281+13.8*('Données projet'!F281+'Données projet'!G281)+10*'Données projet'!H281</f>
        <v>45</v>
      </c>
      <c r="D313" s="182">
        <f t="shared" si="15"/>
        <v>360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75</v>
      </c>
      <c r="B314" s="181">
        <f>'Données projet'!D282</f>
        <v>7</v>
      </c>
      <c r="C314" s="191">
        <f>80*'Données projet'!E282+13.8*('Données projet'!F282+'Données projet'!G282)+10*'Données projet'!H282</f>
        <v>52</v>
      </c>
      <c r="D314" s="182">
        <f t="shared" si="15"/>
        <v>364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80</v>
      </c>
      <c r="B315" s="181">
        <f>'Données projet'!D283</f>
        <v>219</v>
      </c>
      <c r="C315" s="191">
        <f>80*'Données projet'!E283+13.8*('Données projet'!F283+'Données projet'!G283)+10*'Données projet'!H283</f>
        <v>52</v>
      </c>
      <c r="D315" s="182">
        <f t="shared" si="15"/>
        <v>11388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2024-04-16T15:42:42Z</dcterms:modified>
</cp:coreProperties>
</file>