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180-B-DELAGE-NAQ(87)-AUTIER-Roulet-CoussacBonneval/"/>
    </mc:Choice>
  </mc:AlternateContent>
  <xr:revisionPtr revIDLastSave="0" documentId="13_ncr:1_{67817287-CF99-CE44-8A8D-DC11AD5B155F}" xr6:coauthVersionLast="47" xr6:coauthVersionMax="47" xr10:uidLastSave="{00000000-0000-0000-0000-000000000000}"/>
  <bookViews>
    <workbookView xWindow="0" yWindow="76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C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W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V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C113" i="2"/>
  <c r="EW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DI154" i="2"/>
  <c r="ED154" i="2"/>
  <c r="EY154" i="2"/>
  <c r="EX155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HI156" i="2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EY159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HG161" i="2"/>
  <c r="ED160" i="2"/>
  <c r="EA161" i="2"/>
  <c r="EB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DI161" i="2"/>
  <c r="EB162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ED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EV164" i="2"/>
  <c r="DI163" i="2"/>
  <c r="ED163" i="2"/>
  <c r="EA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EC168" i="2"/>
  <c r="EB168" i="2"/>
  <c r="EV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Y168" i="2"/>
  <c r="EB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HI172" i="2"/>
  <c r="EB172" i="2"/>
  <c r="EA172" i="2"/>
  <c r="ED171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B173" i="2"/>
  <c r="ED172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FS175" i="2" l="1"/>
  <c r="EB175" i="2"/>
  <c r="ED174" i="2"/>
  <c r="AA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FS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HG178" i="2"/>
  <c r="FS178" i="2"/>
  <c r="EA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HG179" i="2"/>
  <c r="HI179" i="2"/>
  <c r="HH179" i="2"/>
  <c r="ED178" i="2"/>
  <c r="EA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H185" i="2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G187" i="2"/>
  <c r="HH187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G190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EW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HG192" i="2"/>
  <c r="EY191" i="2"/>
  <c r="HH192" i="2"/>
  <c r="EC192" i="2"/>
  <c r="EV192" i="2"/>
  <c r="EW192" i="2"/>
  <c r="EB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X193" i="2"/>
  <c r="ED192" i="2"/>
  <c r="DI192" i="2"/>
  <c r="EB193" i="2"/>
  <c r="EA193" i="2"/>
  <c r="ED193" i="2" s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DH195" i="2"/>
  <c r="HG195" i="2"/>
  <c r="EA195" i="2"/>
  <c r="EB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EY198" i="2"/>
  <c r="FS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EB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FZ6" i="2"/>
  <c r="ED201" i="2"/>
  <c r="EY201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126" i="2" a="1"/>
  <c r="BC12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53" i="2" a="1"/>
  <c r="EI153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84" i="2" a="1"/>
  <c r="BC84" i="2" s="1"/>
  <c r="BC7" i="2" a="1"/>
  <c r="BC7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BX107" i="2" a="1"/>
  <c r="BX107" i="2" s="1"/>
  <c r="FD82" i="2" a="1"/>
  <c r="FD82" i="2" s="1"/>
  <c r="HJ202" i="2"/>
  <c r="AX200" i="2"/>
  <c r="CS105" i="2" l="1" a="1"/>
  <c r="CS105" i="2" s="1"/>
  <c r="CS114" i="2" a="1"/>
  <c r="CS114" i="2" s="1"/>
  <c r="DN132" i="2" a="1"/>
  <c r="DN132" i="2" s="1"/>
  <c r="DN16" i="2" a="1"/>
  <c r="DN16" i="2" s="1"/>
  <c r="DN135" i="2" a="1"/>
  <c r="DN135" i="2" s="1"/>
  <c r="DN176" i="2" a="1"/>
  <c r="DN176" i="2" s="1"/>
  <c r="DN29" i="2" a="1"/>
  <c r="DN29" i="2" s="1"/>
  <c r="DN70" i="2" a="1"/>
  <c r="DN70" i="2" s="1"/>
  <c r="DN80" i="2" a="1"/>
  <c r="DN80" i="2" s="1"/>
  <c r="CS161" i="2" a="1"/>
  <c r="CS161" i="2" s="1"/>
  <c r="CS38" i="2" a="1"/>
  <c r="CS38" i="2" s="1"/>
  <c r="CS137" i="2" a="1"/>
  <c r="CS137" i="2" s="1"/>
  <c r="CS185" i="2" a="1"/>
  <c r="CS185" i="2" s="1"/>
  <c r="CS116" i="2" a="1"/>
  <c r="CS116" i="2" s="1"/>
  <c r="CS56" i="2" a="1"/>
  <c r="CS56" i="2" s="1"/>
  <c r="CS134" i="2" a="1"/>
  <c r="CS134" i="2" s="1"/>
  <c r="CS129" i="2" a="1"/>
  <c r="CS129" i="2" s="1"/>
  <c r="CS24" i="2" a="1"/>
  <c r="CS24" i="2" s="1"/>
  <c r="CS66" i="2" a="1"/>
  <c r="CS66" i="2" s="1"/>
  <c r="CS72" i="2" a="1"/>
  <c r="CS72" i="2" s="1"/>
  <c r="CS120" i="2" a="1"/>
  <c r="CS120" i="2" s="1"/>
  <c r="BC117" i="2" a="1"/>
  <c r="BC117" i="2" s="1"/>
  <c r="CS52" i="2" a="1"/>
  <c r="CS52" i="2" s="1"/>
  <c r="CS77" i="2" a="1"/>
  <c r="CS77" i="2" s="1"/>
  <c r="EI166" i="2" a="1"/>
  <c r="EI166" i="2" s="1"/>
  <c r="EI106" i="2" a="1"/>
  <c r="EI106" i="2" s="1"/>
  <c r="DN187" i="2" a="1"/>
  <c r="DN187" i="2" s="1"/>
  <c r="DN190" i="2" a="1"/>
  <c r="DN190" i="2" s="1"/>
  <c r="DN162" i="2" a="1"/>
  <c r="DN162" i="2" s="1"/>
  <c r="DN38" i="2" a="1"/>
  <c r="DN38" i="2" s="1"/>
  <c r="BC38" i="2" a="1"/>
  <c r="BC38" i="2" s="1"/>
  <c r="BC185" i="2" a="1"/>
  <c r="BC185" i="2" s="1"/>
  <c r="BC32" i="2" a="1"/>
  <c r="BC32" i="2" s="1"/>
  <c r="BC130" i="2" a="1"/>
  <c r="BC130" i="2" s="1"/>
  <c r="DN41" i="2" a="1"/>
  <c r="DN41" i="2" s="1"/>
  <c r="BC181" i="2" a="1"/>
  <c r="BC181" i="2" s="1"/>
  <c r="BC82" i="2" a="1"/>
  <c r="BC82" i="2" s="1"/>
  <c r="BC34" i="2" a="1"/>
  <c r="BC34" i="2" s="1"/>
  <c r="DN45" i="2" a="1"/>
  <c r="DN45" i="2" s="1"/>
  <c r="DN55" i="2" a="1"/>
  <c r="DN55" i="2" s="1"/>
  <c r="DN46" i="2" a="1"/>
  <c r="DN46" i="2" s="1"/>
  <c r="DN133" i="2" a="1"/>
  <c r="DN133" i="2" s="1"/>
  <c r="DN31" i="2" a="1"/>
  <c r="DN31" i="2" s="1"/>
  <c r="DN49" i="2" a="1"/>
  <c r="DN49" i="2" s="1"/>
  <c r="DN168" i="2" a="1"/>
  <c r="DN168" i="2" s="1"/>
  <c r="BC83" i="2" a="1"/>
  <c r="BC83" i="2" s="1"/>
  <c r="BC143" i="2" a="1"/>
  <c r="BC143" i="2" s="1"/>
  <c r="BC164" i="2" a="1"/>
  <c r="BC164" i="2" s="1"/>
  <c r="DN177" i="2" a="1"/>
  <c r="DN177" i="2" s="1"/>
  <c r="BC65" i="2" a="1"/>
  <c r="BC65" i="2" s="1"/>
  <c r="BC47" i="2" a="1"/>
  <c r="BC47" i="2" s="1"/>
  <c r="DN30" i="2" a="1"/>
  <c r="DN30" i="2" s="1"/>
  <c r="DN65" i="2" a="1"/>
  <c r="DN65" i="2" s="1"/>
  <c r="DN167" i="2" a="1"/>
  <c r="DN167" i="2" s="1"/>
  <c r="DN164" i="2" a="1"/>
  <c r="DN164" i="2" s="1"/>
  <c r="DN63" i="2" a="1"/>
  <c r="DN63" i="2" s="1"/>
  <c r="BC151" i="2" a="1"/>
  <c r="BC151" i="2" s="1"/>
  <c r="BC31" i="2" a="1"/>
  <c r="BC31" i="2" s="1"/>
  <c r="BC192" i="2" a="1"/>
  <c r="BC192" i="2" s="1"/>
  <c r="DN115" i="2" a="1"/>
  <c r="DN115" i="2" s="1"/>
  <c r="BC114" i="2" a="1"/>
  <c r="BC114" i="2" s="1"/>
  <c r="BC68" i="2" a="1"/>
  <c r="BC68" i="2" s="1"/>
  <c r="HG203" i="2"/>
  <c r="EY202" i="2"/>
  <c r="BP203" i="2"/>
  <c r="AH166" i="2" a="1"/>
  <c r="AH166" i="2" s="1"/>
  <c r="AH163" i="2" a="1"/>
  <c r="AH163" i="2" s="1"/>
  <c r="AH151" i="2" a="1"/>
  <c r="AH151" i="2" s="1"/>
  <c r="AH62" i="2" a="1"/>
  <c r="AH62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ED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37" i="2"/>
  <c r="CY38" i="2"/>
  <c r="CY96" i="2"/>
  <c r="CY105" i="2"/>
  <c r="CY168" i="2"/>
  <c r="CY44" i="2"/>
  <c r="CY90" i="2"/>
  <c r="CY89" i="2"/>
  <c r="CY55" i="2"/>
  <c r="CY124" i="2"/>
  <c r="CY72" i="2"/>
  <c r="CY100" i="2"/>
  <c r="CY21" i="2"/>
  <c r="CY4" i="2"/>
  <c r="CY160" i="2"/>
  <c r="CY75" i="2"/>
  <c r="CY161" i="2"/>
  <c r="CY189" i="2"/>
  <c r="CY28" i="2"/>
  <c r="CY120" i="2"/>
  <c r="CY151" i="2"/>
  <c r="CY126" i="2"/>
  <c r="CY182" i="2"/>
  <c r="CY109" i="2"/>
  <c r="CY197" i="2"/>
  <c r="CY5" i="2"/>
  <c r="CY86" i="2"/>
  <c r="CY11" i="2"/>
  <c r="CY85" i="2"/>
  <c r="CY132" i="2"/>
  <c r="CY53" i="2"/>
  <c r="CY9" i="2"/>
  <c r="CY26" i="2"/>
  <c r="CY148" i="2"/>
  <c r="CY3" i="2"/>
  <c r="C10" i="4" s="1"/>
  <c r="E10" i="4" s="1"/>
  <c r="F10" i="4" s="1"/>
  <c r="G10" i="4" s="1"/>
  <c r="L10" i="4" s="1"/>
  <c r="CY104" i="2"/>
  <c r="CY106" i="2"/>
  <c r="CY192" i="2"/>
  <c r="CY166" i="2"/>
  <c r="CY177" i="2"/>
  <c r="CY187" i="2"/>
  <c r="CY19" i="2"/>
  <c r="CY46" i="2"/>
  <c r="CY175" i="2"/>
  <c r="CY154" i="2"/>
  <c r="CY122" i="2"/>
  <c r="CY39" i="2"/>
  <c r="CY112" i="2"/>
  <c r="CY74" i="2"/>
  <c r="CY199" i="2"/>
  <c r="CY18" i="2"/>
  <c r="CY164" i="2"/>
  <c r="CY81" i="2"/>
  <c r="CY52" i="2"/>
  <c r="CY80" i="2"/>
  <c r="CY186" i="2"/>
  <c r="CY142" i="2"/>
  <c r="CY153" i="2"/>
  <c r="CY203" i="2"/>
  <c r="CY196" i="2"/>
  <c r="CY31" i="2"/>
  <c r="CY103" i="2"/>
  <c r="CY78" i="2"/>
  <c r="CY114" i="2"/>
  <c r="CY201" i="2"/>
  <c r="CY65" i="2"/>
  <c r="CY40" i="2"/>
  <c r="CY144" i="2"/>
  <c r="CY162" i="2"/>
  <c r="CY67" i="2"/>
  <c r="CY82" i="2"/>
  <c r="CY37" i="2"/>
  <c r="CY45" i="2"/>
  <c r="CY25" i="2"/>
  <c r="CY179" i="2"/>
  <c r="CY172" i="2"/>
  <c r="CY117" i="2"/>
  <c r="CY108" i="2"/>
  <c r="CY20" i="2"/>
  <c r="CY149" i="2"/>
  <c r="CY155" i="2"/>
  <c r="CY119" i="2"/>
  <c r="CY101" i="2"/>
  <c r="CY58" i="2"/>
  <c r="CY77" i="2"/>
  <c r="CY73" i="2"/>
  <c r="CY15" i="2"/>
  <c r="CY69" i="2"/>
  <c r="CY183" i="2"/>
  <c r="CY92" i="2"/>
  <c r="CY111" i="2"/>
  <c r="CY129" i="2"/>
  <c r="CY76" i="2"/>
  <c r="CY139" i="2"/>
  <c r="CY118" i="2"/>
  <c r="CY22" i="2"/>
  <c r="CY79" i="2"/>
  <c r="CY141" i="2"/>
  <c r="CY133" i="2"/>
  <c r="CY83" i="2"/>
  <c r="CY17" i="2"/>
  <c r="CY94" i="2"/>
  <c r="CY170" i="2"/>
  <c r="CY159" i="2"/>
  <c r="CY23" i="2"/>
  <c r="CY147" i="2"/>
  <c r="CY63" i="2"/>
  <c r="CY136" i="2"/>
  <c r="CY87" i="2"/>
  <c r="CY181" i="2"/>
  <c r="CY184" i="2"/>
  <c r="CY10" i="2"/>
  <c r="CY102" i="2"/>
  <c r="CY16" i="2"/>
  <c r="CY7" i="2"/>
  <c r="CY29" i="2"/>
  <c r="CY88" i="2"/>
  <c r="CY47" i="2"/>
  <c r="CY157" i="2"/>
  <c r="CY115" i="2"/>
  <c r="CY156" i="2"/>
  <c r="CY30" i="2"/>
  <c r="CY125" i="2"/>
  <c r="CY131" i="2"/>
  <c r="CY91" i="2"/>
  <c r="CY56" i="2"/>
  <c r="CY130" i="2"/>
  <c r="CY138" i="2"/>
  <c r="CY202" i="2"/>
  <c r="CY116" i="2"/>
  <c r="CY173" i="2"/>
  <c r="CY140" i="2"/>
  <c r="CY70" i="2"/>
  <c r="CY60" i="2"/>
  <c r="CY64" i="2"/>
  <c r="CY41" i="2"/>
  <c r="CY193" i="2"/>
  <c r="CY13" i="2"/>
  <c r="CY62" i="2"/>
  <c r="CY194" i="2"/>
  <c r="CY27" i="2"/>
  <c r="CY150" i="2"/>
  <c r="CY34" i="2"/>
  <c r="CY54" i="2"/>
  <c r="CY163" i="2"/>
  <c r="CY61" i="2"/>
  <c r="CY195" i="2"/>
  <c r="CY128" i="2"/>
  <c r="CY180" i="2"/>
  <c r="CY43" i="2"/>
  <c r="CY110" i="2"/>
  <c r="CY48" i="2"/>
  <c r="CY123" i="2"/>
  <c r="CY71" i="2"/>
  <c r="CY6" i="2"/>
  <c r="CY178" i="2"/>
  <c r="CY93" i="2"/>
  <c r="CY36" i="2"/>
  <c r="CY152" i="2"/>
  <c r="CY169" i="2"/>
  <c r="CY42" i="2"/>
  <c r="CY57" i="2"/>
  <c r="CY32" i="2"/>
  <c r="CY165" i="2"/>
  <c r="CY95" i="2"/>
  <c r="CY107" i="2"/>
  <c r="CY14" i="2"/>
  <c r="CY188" i="2"/>
  <c r="CY35" i="2"/>
  <c r="CY49" i="2"/>
  <c r="CY135" i="2"/>
  <c r="CY191" i="2"/>
  <c r="CY134" i="2"/>
  <c r="CY143" i="2"/>
  <c r="CY98" i="2"/>
  <c r="CY99" i="2"/>
  <c r="CY190" i="2"/>
  <c r="CY66" i="2"/>
  <c r="CY113" i="2"/>
  <c r="CY33" i="2"/>
  <c r="CY176" i="2"/>
  <c r="CY8" i="2"/>
  <c r="CY121" i="2"/>
  <c r="CY198" i="2"/>
  <c r="CY167" i="2"/>
  <c r="CY158" i="2"/>
  <c r="CY59" i="2"/>
  <c r="CY51" i="2"/>
  <c r="CY171" i="2"/>
  <c r="CY185" i="2"/>
  <c r="CY200" i="2"/>
  <c r="CY127" i="2"/>
  <c r="CY174" i="2"/>
  <c r="CY12" i="2"/>
  <c r="CY97" i="2"/>
  <c r="CY146" i="2"/>
  <c r="CY84" i="2"/>
  <c r="CY68" i="2"/>
  <c r="CY50" i="2"/>
  <c r="CY145" i="2"/>
  <c r="CD60" i="2"/>
  <c r="CD195" i="2"/>
  <c r="CD108" i="2"/>
  <c r="CD156" i="2"/>
  <c r="CD14" i="2"/>
  <c r="CD71" i="2"/>
  <c r="CD120" i="2"/>
  <c r="CD155" i="2"/>
  <c r="CD55" i="2"/>
  <c r="CD43" i="2"/>
  <c r="CD104" i="2"/>
  <c r="CD40" i="2"/>
  <c r="CD63" i="2"/>
  <c r="CD107" i="2"/>
  <c r="CD99" i="2"/>
  <c r="CD153" i="2"/>
  <c r="CD186" i="2"/>
  <c r="CD27" i="2"/>
  <c r="CD4" i="2"/>
  <c r="CD197" i="2"/>
  <c r="CD130" i="2"/>
  <c r="CD35" i="2"/>
  <c r="CD166" i="2"/>
  <c r="CD118" i="2"/>
  <c r="CD82" i="2"/>
  <c r="CD194" i="2"/>
  <c r="CD65" i="2"/>
  <c r="CD80" i="2"/>
  <c r="CD69" i="2"/>
  <c r="CD8" i="2"/>
  <c r="CD31" i="2"/>
  <c r="CD196" i="2"/>
  <c r="CD41" i="2"/>
  <c r="CD135" i="2"/>
  <c r="CD49" i="2"/>
  <c r="CD183" i="2"/>
  <c r="CD51" i="2"/>
  <c r="CD44" i="2"/>
  <c r="CD168" i="2"/>
  <c r="CD159" i="2"/>
  <c r="CD158" i="2"/>
  <c r="CD18" i="2"/>
  <c r="CD174" i="2"/>
  <c r="CD148" i="2"/>
  <c r="CD78" i="2"/>
  <c r="CD20" i="2"/>
  <c r="CD92" i="2"/>
  <c r="CD138" i="2"/>
  <c r="CD19" i="2"/>
  <c r="CD146" i="2"/>
  <c r="CD123" i="2"/>
  <c r="CD53" i="2"/>
  <c r="CD112" i="2"/>
  <c r="CD139" i="2"/>
  <c r="CD157" i="2"/>
  <c r="CD169" i="2"/>
  <c r="CD144" i="2"/>
  <c r="CD90" i="2"/>
  <c r="CD57" i="2"/>
  <c r="CD34" i="2"/>
  <c r="CD147" i="2"/>
  <c r="CD115" i="2"/>
  <c r="CD46" i="2"/>
  <c r="CD116" i="2"/>
  <c r="CD10" i="2"/>
  <c r="CD151" i="2"/>
  <c r="CD154" i="2"/>
  <c r="CD200" i="2"/>
  <c r="CD6" i="2"/>
  <c r="CD66" i="2"/>
  <c r="CD122" i="2"/>
  <c r="CD45" i="2"/>
  <c r="CD72" i="2"/>
  <c r="CD3" i="2"/>
  <c r="C9" i="4" s="1"/>
  <c r="E9" i="4" s="1"/>
  <c r="F9" i="4" s="1"/>
  <c r="G9" i="4" s="1"/>
  <c r="L9" i="4" s="1"/>
  <c r="CD150" i="2"/>
  <c r="CD76" i="2"/>
  <c r="CD127" i="2"/>
  <c r="CD30" i="2"/>
  <c r="CD70" i="2"/>
  <c r="CD29" i="2"/>
  <c r="CD181" i="2"/>
  <c r="CD64" i="2"/>
  <c r="CD179" i="2"/>
  <c r="CD131" i="2"/>
  <c r="CD109" i="2"/>
  <c r="CD59" i="2"/>
  <c r="CD98" i="2"/>
  <c r="CD129" i="2"/>
  <c r="CD74" i="2"/>
  <c r="CD62" i="2"/>
  <c r="CD188" i="2"/>
  <c r="CD140" i="2"/>
  <c r="CD86" i="2"/>
  <c r="CD73" i="2"/>
  <c r="CD201" i="2"/>
  <c r="CD84" i="2"/>
  <c r="CD145" i="2"/>
  <c r="CD94" i="2"/>
  <c r="CD81" i="2"/>
  <c r="CD173" i="2"/>
  <c r="CD177" i="2"/>
  <c r="CD126" i="2"/>
  <c r="CD190" i="2"/>
  <c r="CD17" i="2"/>
  <c r="CD136" i="2"/>
  <c r="CD12" i="2"/>
  <c r="CD79" i="2"/>
  <c r="CD95" i="2"/>
  <c r="CD125" i="2"/>
  <c r="CD180" i="2"/>
  <c r="CD88" i="2"/>
  <c r="CD132" i="2"/>
  <c r="CD16" i="2"/>
  <c r="CD97" i="2"/>
  <c r="CD42" i="2"/>
  <c r="CD9" i="2"/>
  <c r="CD56" i="2"/>
  <c r="CD93" i="2"/>
  <c r="CD163" i="2"/>
  <c r="CD178" i="2"/>
  <c r="CD21" i="2"/>
  <c r="CD172" i="2"/>
  <c r="CD161" i="2"/>
  <c r="CD61" i="2"/>
  <c r="CD137" i="2"/>
  <c r="CD117" i="2"/>
  <c r="CD203" i="2"/>
  <c r="CD152" i="2"/>
  <c r="CD160" i="2"/>
  <c r="CD191" i="2"/>
  <c r="CD192" i="2"/>
  <c r="CD110" i="2"/>
  <c r="CD189" i="2"/>
  <c r="CD128" i="2"/>
  <c r="CD165" i="2"/>
  <c r="CD176" i="2"/>
  <c r="CD184" i="2"/>
  <c r="CD26" i="2"/>
  <c r="CD182" i="2"/>
  <c r="CD37" i="2"/>
  <c r="CD175" i="2"/>
  <c r="CD142" i="2"/>
  <c r="CD167" i="2"/>
  <c r="CD171" i="2"/>
  <c r="CD102" i="2"/>
  <c r="CD164" i="2"/>
  <c r="CD113" i="2"/>
  <c r="CD38" i="2"/>
  <c r="CD193" i="2"/>
  <c r="CD133" i="2"/>
  <c r="CD103" i="2"/>
  <c r="CD87" i="2"/>
  <c r="CD15" i="2"/>
  <c r="CD52" i="2"/>
  <c r="CD149" i="2"/>
  <c r="CD162" i="2"/>
  <c r="CD105" i="2"/>
  <c r="CD170" i="2"/>
  <c r="CD7" i="2"/>
  <c r="CD100" i="2"/>
  <c r="CD13" i="2"/>
  <c r="CD5" i="2"/>
  <c r="CD121" i="2"/>
  <c r="CD47" i="2"/>
  <c r="CD25" i="2"/>
  <c r="CD48" i="2"/>
  <c r="CD68" i="2"/>
  <c r="CD114" i="2"/>
  <c r="CD23" i="2"/>
  <c r="CD28" i="2"/>
  <c r="CD119" i="2"/>
  <c r="CD85" i="2"/>
  <c r="CD24" i="2"/>
  <c r="CD198" i="2"/>
  <c r="CD106" i="2"/>
  <c r="CD36" i="2"/>
  <c r="CD141" i="2"/>
  <c r="CD111" i="2"/>
  <c r="CD91" i="2"/>
  <c r="CD124" i="2"/>
  <c r="CD185" i="2"/>
  <c r="CD199" i="2"/>
  <c r="CD58" i="2"/>
  <c r="CD50" i="2"/>
  <c r="CD32" i="2"/>
  <c r="CD89" i="2"/>
  <c r="CD54" i="2"/>
  <c r="CD67" i="2"/>
  <c r="CD202" i="2"/>
  <c r="CD75" i="2"/>
  <c r="CD33" i="2"/>
  <c r="CD143" i="2"/>
  <c r="CD96" i="2"/>
  <c r="CD22" i="2"/>
  <c r="CD83" i="2"/>
  <c r="CD77" i="2"/>
  <c r="CD101" i="2"/>
  <c r="CD187" i="2"/>
  <c r="CD134" i="2"/>
  <c r="CD39" i="2"/>
  <c r="CD11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I203" i="2" s="1"/>
  <c r="BS108" i="2"/>
  <c r="BE110" i="2"/>
  <c r="BI169" i="2" l="1"/>
  <c r="BI38" i="2"/>
  <c r="BI174" i="2"/>
  <c r="BI144" i="2"/>
  <c r="BI135" i="2"/>
  <c r="BI17" i="2"/>
  <c r="BI59" i="2"/>
  <c r="BI109" i="2"/>
  <c r="BI85" i="2"/>
  <c r="BI110" i="2"/>
  <c r="BI191" i="2"/>
  <c r="BI190" i="2"/>
  <c r="BI28" i="2"/>
  <c r="BI138" i="2"/>
  <c r="BI194" i="2"/>
  <c r="BI120" i="2"/>
  <c r="BI165" i="2"/>
  <c r="BI19" i="2"/>
  <c r="BI78" i="2"/>
  <c r="BI172" i="2"/>
  <c r="BI200" i="2"/>
  <c r="BI42" i="2"/>
  <c r="BI68" i="2"/>
  <c r="BI90" i="2"/>
  <c r="BI99" i="2"/>
  <c r="BI86" i="2"/>
  <c r="BI192" i="2"/>
  <c r="BI186" i="2"/>
  <c r="BI37" i="2"/>
  <c r="BI128" i="2"/>
  <c r="BI15" i="2"/>
  <c r="BI61" i="2"/>
  <c r="BI162" i="2"/>
  <c r="BI70" i="2"/>
  <c r="BI65" i="2"/>
  <c r="BI4" i="2"/>
  <c r="BI129" i="2"/>
  <c r="BI9" i="2"/>
  <c r="BI167" i="2"/>
  <c r="BI140" i="2"/>
  <c r="BI149" i="2"/>
  <c r="BI142" i="2"/>
  <c r="BI163" i="2"/>
  <c r="BI72" i="2"/>
  <c r="BI132" i="2"/>
  <c r="BI95" i="2"/>
  <c r="BI193" i="2"/>
  <c r="BI27" i="2"/>
  <c r="BI47" i="2"/>
  <c r="BI150" i="2"/>
  <c r="BI62" i="2"/>
  <c r="BI39" i="2"/>
  <c r="BI176" i="2"/>
  <c r="BI100" i="2"/>
  <c r="BI114" i="2"/>
  <c r="BI92" i="2"/>
  <c r="BI83" i="2"/>
  <c r="BI14" i="2"/>
  <c r="BI46" i="2"/>
  <c r="BI115" i="2"/>
  <c r="BI12" i="2"/>
  <c r="BI53" i="2"/>
  <c r="BI88" i="2"/>
  <c r="BI117" i="2"/>
  <c r="BI54" i="2"/>
  <c r="BI171" i="2"/>
  <c r="BI91" i="2"/>
  <c r="BI82" i="2"/>
  <c r="BI66" i="2"/>
  <c r="BI34" i="2"/>
  <c r="BI184" i="2"/>
  <c r="BI181" i="2"/>
  <c r="BI41" i="2"/>
  <c r="BI57" i="2"/>
  <c r="BI108" i="2"/>
  <c r="BI40" i="2"/>
  <c r="BI5" i="2"/>
  <c r="BI118" i="2"/>
  <c r="BI113" i="2"/>
  <c r="BI63" i="2"/>
  <c r="BI126" i="2"/>
  <c r="BI51" i="2"/>
  <c r="BI73" i="2"/>
  <c r="BI153" i="2"/>
  <c r="BI111" i="2"/>
  <c r="BI134" i="2"/>
  <c r="BI30" i="2"/>
  <c r="BI11" i="2"/>
  <c r="BI79" i="2"/>
  <c r="BI58" i="2"/>
  <c r="BI48" i="2"/>
  <c r="BI80" i="2"/>
  <c r="BI69" i="2"/>
  <c r="BI159" i="2"/>
  <c r="BI23" i="2"/>
  <c r="BI164" i="2"/>
  <c r="BI75" i="2"/>
  <c r="BI107" i="2"/>
  <c r="BI187" i="2"/>
  <c r="BI64" i="2"/>
  <c r="BI148" i="2"/>
  <c r="BI130" i="2"/>
  <c r="BI182" i="2"/>
  <c r="BI93" i="2"/>
  <c r="BI13" i="2"/>
  <c r="BI32" i="2"/>
  <c r="BI121" i="2"/>
  <c r="BI185" i="2"/>
  <c r="BI96" i="2"/>
  <c r="BI87" i="2"/>
  <c r="BI77" i="2"/>
  <c r="BI154" i="2"/>
  <c r="BI202" i="2"/>
  <c r="BI44" i="2"/>
  <c r="BI20" i="2"/>
  <c r="BI97" i="2"/>
  <c r="BI195" i="2"/>
  <c r="BI161" i="2"/>
  <c r="BI101" i="2"/>
  <c r="BI166" i="2"/>
  <c r="BI33" i="2"/>
  <c r="BI36" i="2"/>
  <c r="BI131" i="2"/>
  <c r="BI170" i="2"/>
  <c r="BI94" i="2"/>
  <c r="BI49" i="2"/>
  <c r="BI103" i="2"/>
  <c r="BI21" i="2"/>
  <c r="BI124" i="2"/>
  <c r="BI16" i="2"/>
  <c r="BI122" i="2"/>
  <c r="BI50" i="2"/>
  <c r="BI188" i="2"/>
  <c r="BI67" i="2"/>
  <c r="BI7" i="2"/>
  <c r="BI84" i="2"/>
  <c r="BI56" i="2"/>
  <c r="BI156" i="2"/>
  <c r="BI29" i="2"/>
  <c r="BI81" i="2"/>
  <c r="BI199" i="2"/>
  <c r="BI31" i="2"/>
  <c r="BI123" i="2"/>
  <c r="BI139" i="2"/>
  <c r="BI10" i="2"/>
  <c r="BI168" i="2"/>
  <c r="BI18" i="2"/>
  <c r="BI104" i="2"/>
  <c r="BI145" i="2"/>
  <c r="BI157" i="2"/>
  <c r="BI26" i="2"/>
  <c r="BI160" i="2"/>
  <c r="BI177" i="2"/>
  <c r="BI175" i="2"/>
  <c r="BI158" i="2"/>
  <c r="BI152" i="2"/>
  <c r="BI25" i="2"/>
  <c r="BI147" i="2"/>
  <c r="BI143" i="2"/>
  <c r="BI45" i="2"/>
  <c r="BI102" i="2"/>
  <c r="BI55" i="2"/>
  <c r="BI155" i="2"/>
  <c r="BI146" i="2"/>
  <c r="BI43" i="2"/>
  <c r="BI116" i="2"/>
  <c r="BI74" i="2"/>
  <c r="BI178" i="2"/>
  <c r="BI141" i="2"/>
  <c r="BI179" i="2"/>
  <c r="BI60" i="2"/>
  <c r="BI24" i="2"/>
  <c r="BI127" i="2"/>
  <c r="BI71" i="2"/>
  <c r="BI196" i="2"/>
  <c r="BI112" i="2"/>
  <c r="BI106" i="2"/>
  <c r="BI98" i="2"/>
  <c r="BI35" i="2"/>
  <c r="BI8" i="2"/>
  <c r="BI197" i="2"/>
  <c r="BI89" i="2"/>
  <c r="BI52" i="2"/>
  <c r="BI137" i="2"/>
  <c r="BI151" i="2"/>
  <c r="BI3" i="2"/>
  <c r="C8" i="4" s="1"/>
  <c r="E8" i="4" s="1"/>
  <c r="F8" i="4" s="1"/>
  <c r="G8" i="4" s="1"/>
  <c r="L8" i="4" s="1"/>
  <c r="BI173" i="2"/>
  <c r="BI105" i="2"/>
  <c r="BI76" i="2"/>
  <c r="BI201" i="2"/>
  <c r="BI22" i="2"/>
  <c r="BI119" i="2"/>
  <c r="BI189" i="2"/>
  <c r="BI133" i="2"/>
  <c r="BI136" i="2"/>
  <c r="BI6" i="2"/>
  <c r="BI198" i="2"/>
  <c r="BI125" i="2"/>
  <c r="BI180" i="2"/>
  <c r="BI183" i="2"/>
  <c r="FE198" i="2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<sst xmlns="http://schemas.openxmlformats.org/spreadsheetml/2006/main" count="1175" uniqueCount="325">
  <si>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</si>
  <si>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</si>
  <si>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</si>
  <si>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</si>
  <si>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</si>
  <si>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</si>
  <si>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</si>
  <si>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</si>
  <si>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</si>
  <si>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</si>
  <si>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</si>
  <si>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</si>
  <si>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</si>
  <si>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</si>
  <si>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</si>
  <si>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</si>
  <si>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</si>
  <si>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</si>
  <si>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</si>
  <si>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</si>
  <si>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</si>
  <si>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</si>
  <si>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</si>
  <si>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</si>
  <si>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</si>
  <si>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</si>
  <si>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</si>
  <si>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</si>
  <si>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</si>
  <si>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</si>
  <si>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</si>
  <si>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</si>
  <si>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</si>
  <si>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</si>
  <si>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</si>
  <si>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</si>
  <si>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</si>
  <si>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</si>
  <si>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</si>
  <si>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</si>
  <si>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</si>
  <si>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</si>
  <si>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</si>
  <si>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</si>
  <si>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</si>
  <si>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</si>
  <si>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</si>
  <si>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</si>
  <si>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</si>
  <si>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</si>
  <si>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</si>
  <si>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</si>
  <si>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</si>
  <si>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</si>
  <si>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</si>
  <si>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</si>
  <si>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</si>
  <si>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</si>
  <si>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</si>
  <si>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</si>
  <si>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</si>
  <si>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</si>
  <si>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</si>
  <si>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</si>
  <si>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</si>
  <si>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</si>
  <si>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</si>
  <si>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</si>
  <si>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</si>
  <si>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</si>
  <si>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</si>
  <si>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</si>
  <si>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</si>
  <si>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</si>
  <si>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</si>
  <si>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</si>
  <si>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</si>
  <si>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</si>
  <si>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</si>
  <si>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</si>
  <si>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</si>
  <si>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</si>
  <si>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</si>
  <si>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</si>
  <si>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</si>
  <si>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</si>
  <si>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</si>
  <si>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</si>
  <si>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</si>
  <si>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</si>
  <si>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</si>
  <si>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</si>
  <si>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</si>
  <si>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</si>
  <si>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</si>
  <si>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</si>
  <si>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</si>
  <si>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</si>
  <si>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</si>
  <si>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</si>
  <si>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</si>
  <si>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</si>
  <si>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</si>
  <si>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</si>
  <si>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</si>
  <si>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</si>
  <si>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</si>
  <si>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</si>
  <si>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</si>
  <si>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</si>
  <si>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</si>
  <si>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</si>
  <si>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</si>
  <si>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</si>
  <si>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</si>
  <si>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</si>
  <si>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</si>
  <si>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</si>
  <si>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</si>
  <si>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</si>
  <si>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</si>
  <si>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</si>
  <si>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</si>
  <si>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</si>
  <si>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</si>
  <si>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</si>
  <si>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</si>
  <si>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</si>
  <si>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</si>
  <si>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</si>
  <si>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</si>
  <si>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</si>
  <si>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</si>
  <si>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</si>
  <si>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</si>
  <si>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</si>
  <si>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</si>
  <si>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</si>
  <si>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</si>
  <si>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</si>
  <si>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</si>
  <si>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</si>
  <si>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</si>
  <si>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</si>
  <si>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</si>
  <si>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</si>
  <si>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</si>
  <si>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</si>
  <si>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</si>
  <si>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</si>
  <si>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</si>
  <si>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</si>
  <si>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</si>
  <si>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</si>
  <si>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</si>
  <si>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</si>
  <si>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</si>
  <si>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</si>
  <si>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</si>
  <si>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</si>
  <si>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</si>
  <si>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</si>
  <si>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</si>
  <si>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</si>
  <si>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</si>
  <si>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</si>
  <si>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</si>
  <si>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</si>
  <si>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</si>
  <si>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</si>
  <si>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</si>
  <si>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</si>
  <si>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</si>
  <si>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</si>
  <si>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</si>
  <si>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</si>
  <si>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</si>
  <si>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</si>
  <si>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</si>
  <si>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</si>
  <si>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</si>
  <si>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</si>
  <si>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</si>
  <si>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</si>
  <si>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</si>
  <si>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</si>
  <si>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</si>
  <si>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</si>
  <si>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</si>
  <si>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</si>
  <si>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</si>
  <si>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</si>
  <si>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</si>
  <si>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</si>
  <si>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</si>
  <si>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</si>
  <si>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</si>
  <si>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</si>
  <si>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</si>
  <si>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</si>
  <si>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</si>
  <si>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</si>
  <si>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</si>
  <si>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</si>
  <si>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</si>
  <si>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</si>
  <si>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</si>
  <si>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</si>
  <si>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</si>
  <si>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</si>
  <si>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</si>
  <si>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</si>
  <si>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</si>
  <si>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</si>
  <si>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</si>
  <si>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</si>
  <si>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</si>
  <si>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</si>
  <si>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</si>
  <si>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</si>
  <si>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</si>
  <si>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</si>
  <si>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</si>
  <si>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</si>
  <si>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</si>
  <si>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</si>
  <si>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</si>
  <si>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</si>
  <si>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</si>
  <si>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</si>
  <si>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</si>
  <si>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</si>
  <si>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</si>
  <si>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</si>
  <si>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</si>
  <si>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</si>
  <si>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</si>
  <si>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</si>
  <si>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</si>
  <si>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</si>
  <si>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</si>
  <si>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</si>
  <si>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</si>
  <si>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</si>
  <si>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</si>
  <si>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</si>
  <si>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</si>
  <si>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</si>
  <si>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</si>
  <si>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</si>
  <si>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</si>
  <si>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</si>
  <si>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</si>
  <si>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</si>
  <si>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</si>
  <si>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</si>
  <si>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</si>
  <si>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</si>
  <si>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</si>
  <si>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</si>
  <si>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</si>
  <si>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</si>
  <si>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</si>
  <si>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</si>
  <si>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</si>
  <si>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</si>
  <si>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</si>
  <si>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</si>
  <si>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</si>
  <si>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</si>
  <si>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</si>
  <si>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</si>
  <si>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</si>
  <si>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</si>
  <si>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</si>
  <si>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</si>
  <si>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</si>
  <si>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</si>
  <si>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</si>
  <si>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</si>
  <si>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</si>
  <si>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</si>
  <si>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</si>
  <si>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</si>
  <si>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</si>
  <si>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</si>
  <si>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</si>
  <si>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</si>
  <si>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</si>
  <si>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</si>
  <si>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</si>
  <si>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</si>
  <si>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</si>
  <si>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</si>
  <si>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</si>
  <si>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</si>
  <si>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</si>
  <si>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</si>
  <si>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</si>
  <si>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</si>
  <si>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</si>
  <si>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</si>
  <si>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</si>
  <si>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</si>
  <si>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</si>
  <si>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</si>
  <si>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</si>
  <si>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</si>
  <si>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</si>
  <si>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</si>
  <si>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</si>
  <si>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</si>
  <si>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</si>
  <si>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</si>
  <si>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</si>
  <si>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</si>
  <si>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</si>
  <si>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</si>
  <si>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</si>
  <si>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</si>
  <si>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</si>
  <si>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</si>
  <si>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</si>
  <si>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</si>
  <si>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AF8 en koster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</si>
</sst>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188.79888859027099</c:v>
                </c:pt>
                <c:pt idx="20">
                  <c:v>218.55226597951219</c:v>
                </c:pt>
                <c:pt idx="21">
                  <c:v>248.21247115736773</c:v>
                </c:pt>
                <c:pt idx="22">
                  <c:v>283.30779954417272</c:v>
                </c:pt>
                <c:pt idx="23">
                  <c:v>318.30568919601654</c:v>
                </c:pt>
                <c:pt idx="24">
                  <c:v>353.21835259366952</c:v>
                </c:pt>
                <c:pt idx="25">
                  <c:v>325.01185833882965</c:v>
                </c:pt>
                <c:pt idx="26">
                  <c:v>358.16032001791677</c:v>
                </c:pt>
                <c:pt idx="27">
                  <c:v>391.24164524422298</c:v>
                </c:pt>
                <c:pt idx="28">
                  <c:v>426.7415112678645</c:v>
                </c:pt>
                <c:pt idx="29">
                  <c:v>462.17787829364084</c:v>
                </c:pt>
                <c:pt idx="30">
                  <c:v>497.55629175055515</c:v>
                </c:pt>
                <c:pt idx="31">
                  <c:v>434.45835389866573</c:v>
                </c:pt>
                <c:pt idx="32">
                  <c:v>467.43524897702969</c:v>
                </c:pt>
                <c:pt idx="33">
                  <c:v>500.36257880599351</c:v>
                </c:pt>
                <c:pt idx="34">
                  <c:v>535.25804716924551</c:v>
                </c:pt>
                <c:pt idx="35">
                  <c:v>570.10570169736854</c:v>
                </c:pt>
                <c:pt idx="36">
                  <c:v>604.90887079787205</c:v>
                </c:pt>
                <c:pt idx="37">
                  <c:v>535.84132521625645</c:v>
                </c:pt>
                <c:pt idx="38">
                  <c:v>568.34235886615909</c:v>
                </c:pt>
                <c:pt idx="39">
                  <c:v>600.80456488202128</c:v>
                </c:pt>
                <c:pt idx="40">
                  <c:v>634.58130231221764</c:v>
                </c:pt>
                <c:pt idx="41">
                  <c:v>668.3208950539132</c:v>
                </c:pt>
                <c:pt idx="42">
                  <c:v>702.02547863456641</c:v>
                </c:pt>
                <c:pt idx="43">
                  <c:v>626.15247380068797</c:v>
                </c:pt>
                <c:pt idx="44">
                  <c:v>657.41322888734283</c:v>
                </c:pt>
                <c:pt idx="45">
                  <c:v>688.64338071366126</c:v>
                </c:pt>
                <c:pt idx="46">
                  <c:v>720.98825372586828</c:v>
                </c:pt>
                <c:pt idx="47">
                  <c:v>753.30352901574281</c:v>
                </c:pt>
                <c:pt idx="48">
                  <c:v>785.59065255131361</c:v>
                </c:pt>
                <c:pt idx="49">
                  <c:v>696.60115104444731</c:v>
                </c:pt>
                <c:pt idx="50">
                  <c:v>726.25213206794615</c:v>
                </c:pt>
                <c:pt idx="51">
                  <c:v>755.87843826557184</c:v>
                </c:pt>
                <c:pt idx="52">
                  <c:v>786.39611310289274</c:v>
                </c:pt>
                <c:pt idx="53">
                  <c:v>816.88984121989324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2.2190492793459611</c:v>
                </c:pt>
                <c:pt idx="2">
                  <c:v>3.0482937535692103</c:v>
                </c:pt>
                <c:pt idx="3">
                  <c:v>4.1887417633090962</c:v>
                </c:pt>
                <c:pt idx="4">
                  <c:v>5.7576497681090046</c:v>
                </c:pt>
                <c:pt idx="5">
                  <c:v>7.9166185268507983</c:v>
                </c:pt>
                <c:pt idx="6">
                  <c:v>10.888420750176865</c:v>
                </c:pt>
                <c:pt idx="7">
                  <c:v>14.980234505522882</c:v>
                </c:pt>
                <c:pt idx="8">
                  <c:v>20.615727811275324</c:v>
                </c:pt>
                <c:pt idx="9">
                  <c:v>28.379375833853359</c:v>
                </c:pt>
                <c:pt idx="10">
                  <c:v>39.077687154299774</c:v>
                </c:pt>
                <c:pt idx="11">
                  <c:v>55.577998812799528</c:v>
                </c:pt>
                <c:pt idx="12">
                  <c:v>71.948321955162271</c:v>
                </c:pt>
                <c:pt idx="13">
                  <c:v>88.222763064655908</c:v>
                </c:pt>
                <c:pt idx="14">
                  <c:v>104.42161400041998</c:v>
                </c:pt>
                <c:pt idx="15">
                  <c:v>120.55829551377816</c:v>
                </c:pt>
                <c:pt idx="16">
                  <c:v>115.64120345212474</c:v>
                </c:pt>
                <c:pt idx="17">
                  <c:v>135.28112090138998</c:v>
                </c:pt>
                <c:pt idx="18">
                  <c:v>154.85227597155452</c:v>
                </c:pt>
                <c:pt idx="19">
                  <c:v>174.36459459510866</c:v>
                </c:pt>
                <c:pt idx="20">
                  <c:v>193.82559249840719</c:v>
                </c:pt>
                <c:pt idx="21">
                  <c:v>159.19313575428077</c:v>
                </c:pt>
                <c:pt idx="22">
                  <c:v>181.39776023960835</c:v>
                </c:pt>
                <c:pt idx="23">
                  <c:v>203.53873317127031</c:v>
                </c:pt>
                <c:pt idx="24">
                  <c:v>225.62395517365766</c:v>
                </c:pt>
                <c:pt idx="25">
                  <c:v>247.65965119723435</c:v>
                </c:pt>
                <c:pt idx="26">
                  <c:v>213.5105135457882</c:v>
                </c:pt>
                <c:pt idx="27">
                  <c:v>235.84144823137376</c:v>
                </c:pt>
                <c:pt idx="28">
                  <c:v>258.12415595279703</c:v>
                </c:pt>
                <c:pt idx="29">
                  <c:v>280.36338431358689</c:v>
                </c:pt>
                <c:pt idx="30">
                  <c:v>302.56306586704619</c:v>
                </c:pt>
                <c:pt idx="31">
                  <c:v>267.23921926263694</c:v>
                </c:pt>
                <c:pt idx="32">
                  <c:v>288.12421366264789</c:v>
                </c:pt>
                <c:pt idx="33">
                  <c:v>308.97536382222495</c:v>
                </c:pt>
                <c:pt idx="34">
                  <c:v>329.79527394883291</c:v>
                </c:pt>
                <c:pt idx="35">
                  <c:v>350.58619263421923</c:v>
                </c:pt>
                <c:pt idx="36">
                  <c:v>314.04966717357337</c:v>
                </c:pt>
                <c:pt idx="37">
                  <c:v>333.52905189195684</c:v>
                </c:pt>
                <c:pt idx="38">
                  <c:v>352.98337070640838</c:v>
                </c:pt>
                <c:pt idx="39">
                  <c:v>372.41419883359049</c:v>
                </c:pt>
                <c:pt idx="40">
                  <c:v>391.82293375011449</c:v>
                </c:pt>
                <c:pt idx="41">
                  <c:v>356.1790535368014</c:v>
                </c:pt>
                <c:pt idx="42">
                  <c:v>373.74425409046017</c:v>
                </c:pt>
                <c:pt idx="43">
                  <c:v>391.29147070716522</c:v>
                </c:pt>
                <c:pt idx="44">
                  <c:v>408.82162307769676</c:v>
                </c:pt>
                <c:pt idx="45">
                  <c:v>426.33554561113556</c:v>
                </c:pt>
                <c:pt idx="46">
                  <c:v>393.94862977502589</c:v>
                </c:pt>
                <c:pt idx="47">
                  <c:v>409.35258244760752</c:v>
                </c:pt>
                <c:pt idx="48">
                  <c:v>424.74402100691015</c:v>
                </c:pt>
                <c:pt idx="49">
                  <c:v>440.12346267465915</c:v>
                </c:pt>
                <c:pt idx="50">
                  <c:v>455.49138558575549</c:v>
                </c:pt>
                <c:pt idx="51">
                  <c:v>427.13125995293166</c:v>
                </c:pt>
                <c:pt idx="52">
                  <c:v>441.18368397828704</c:v>
                </c:pt>
                <c:pt idx="53">
                  <c:v>455.22651645684391</c:v>
                </c:pt>
                <c:pt idx="54">
                  <c:v>469.26009489531907</c:v>
                </c:pt>
                <c:pt idx="55">
                  <c:v>483.28473497109525</c:v>
                </c:pt>
                <c:pt idx="56">
                  <c:v>457.34537744583645</c:v>
                </c:pt>
                <c:pt idx="57">
                  <c:v>469.78948696374778</c:v>
                </c:pt>
                <c:pt idx="58">
                  <c:v>482.22657667507104</c:v>
                </c:pt>
                <c:pt idx="59">
                  <c:v>494.65685312453519</c:v>
                </c:pt>
                <c:pt idx="60">
                  <c:v>507.08051163078716</c:v>
                </c:pt>
                <c:pt idx="61">
                  <c:v>2.0553796198957668E-12</c:v>
                </c:pt>
                <c:pt idx="62">
                  <c:v>2.0553796198957668E-12</c:v>
                </c:pt>
                <c:pt idx="63">
                  <c:v>2.0553796198957668E-12</c:v>
                </c:pt>
                <c:pt idx="64">
                  <c:v>2.0553796198957668E-12</c:v>
                </c:pt>
                <c:pt idx="65">
                  <c:v>2.0553796198957668E-12</c:v>
                </c:pt>
                <c:pt idx="66">
                  <c:v>2.0553796198957668E-12</c:v>
                </c:pt>
                <c:pt idx="67">
                  <c:v>2.0553796198957668E-12</c:v>
                </c:pt>
                <c:pt idx="68">
                  <c:v>2.0553796198957668E-12</c:v>
                </c:pt>
                <c:pt idx="69">
                  <c:v>2.0553796198957668E-12</c:v>
                </c:pt>
                <c:pt idx="70">
                  <c:v>2.0553796198957668E-12</c:v>
                </c:pt>
                <c:pt idx="71">
                  <c:v>2.0553796198957668E-12</c:v>
                </c:pt>
                <c:pt idx="72">
                  <c:v>2.0553796198957668E-12</c:v>
                </c:pt>
                <c:pt idx="73">
                  <c:v>2.0553796198957668E-12</c:v>
                </c:pt>
                <c:pt idx="74">
                  <c:v>2.0553796198957668E-12</c:v>
                </c:pt>
                <c:pt idx="75">
                  <c:v>2.0553796198957668E-12</c:v>
                </c:pt>
                <c:pt idx="76">
                  <c:v>2.0553796198957668E-12</c:v>
                </c:pt>
                <c:pt idx="77">
                  <c:v>2.0553796198957668E-12</c:v>
                </c:pt>
                <c:pt idx="78">
                  <c:v>2.0553796198957668E-12</c:v>
                </c:pt>
                <c:pt idx="79">
                  <c:v>2.0553796198957668E-12</c:v>
                </c:pt>
                <c:pt idx="80">
                  <c:v>2.0553796198957668E-12</c:v>
                </c:pt>
                <c:pt idx="81">
                  <c:v>2.0553796198957668E-12</c:v>
                </c:pt>
                <c:pt idx="82">
                  <c:v>2.0553796198957668E-12</c:v>
                </c:pt>
                <c:pt idx="83">
                  <c:v>2.0553796198957668E-12</c:v>
                </c:pt>
                <c:pt idx="84">
                  <c:v>2.0553796198957668E-12</c:v>
                </c:pt>
                <c:pt idx="85">
                  <c:v>2.0553796198957668E-12</c:v>
                </c:pt>
                <c:pt idx="86">
                  <c:v>2.0553796198957668E-12</c:v>
                </c:pt>
                <c:pt idx="87">
                  <c:v>2.0553796198957668E-12</c:v>
                </c:pt>
                <c:pt idx="88">
                  <c:v>2.0553796198957668E-12</c:v>
                </c:pt>
                <c:pt idx="89">
                  <c:v>2.0553796198957668E-12</c:v>
                </c:pt>
                <c:pt idx="90">
                  <c:v>2.0553796198957668E-12</c:v>
                </c:pt>
                <c:pt idx="91">
                  <c:v>2.0553796198957668E-12</c:v>
                </c:pt>
                <c:pt idx="92">
                  <c:v>2.0553796198957668E-12</c:v>
                </c:pt>
                <c:pt idx="93">
                  <c:v>2.0553796198957668E-12</c:v>
                </c:pt>
                <c:pt idx="94">
                  <c:v>2.0553796198957668E-12</c:v>
                </c:pt>
                <c:pt idx="95">
                  <c:v>2.0553796198957668E-12</c:v>
                </c:pt>
                <c:pt idx="96">
                  <c:v>2.0553796198957668E-12</c:v>
                </c:pt>
                <c:pt idx="97">
                  <c:v>2.0553796198957668E-12</c:v>
                </c:pt>
                <c:pt idx="98">
                  <c:v>2.0553796198957668E-12</c:v>
                </c:pt>
                <c:pt idx="99">
                  <c:v>2.0553796198957668E-12</c:v>
                </c:pt>
                <c:pt idx="100">
                  <c:v>2.0553796198957668E-12</c:v>
                </c:pt>
                <c:pt idx="101">
                  <c:v>2.0553796198957668E-12</c:v>
                </c:pt>
                <c:pt idx="102">
                  <c:v>2.0553796198957668E-12</c:v>
                </c:pt>
                <c:pt idx="103">
                  <c:v>2.0553796198957668E-12</c:v>
                </c:pt>
                <c:pt idx="104">
                  <c:v>2.0553796198957668E-12</c:v>
                </c:pt>
                <c:pt idx="105">
                  <c:v>2.0553796198957668E-12</c:v>
                </c:pt>
                <c:pt idx="106">
                  <c:v>2.0553796198957668E-12</c:v>
                </c:pt>
                <c:pt idx="107">
                  <c:v>2.0553796198957668E-12</c:v>
                </c:pt>
                <c:pt idx="108">
                  <c:v>2.0553796198957668E-12</c:v>
                </c:pt>
                <c:pt idx="109">
                  <c:v>2.0553796198957668E-12</c:v>
                </c:pt>
                <c:pt idx="110">
                  <c:v>2.0553796198957668E-12</c:v>
                </c:pt>
                <c:pt idx="111">
                  <c:v>2.0553796198957668E-12</c:v>
                </c:pt>
                <c:pt idx="112">
                  <c:v>2.0553796198957668E-12</c:v>
                </c:pt>
                <c:pt idx="113">
                  <c:v>2.0553796198957668E-12</c:v>
                </c:pt>
                <c:pt idx="114">
                  <c:v>2.0553796198957668E-12</c:v>
                </c:pt>
                <c:pt idx="115">
                  <c:v>2.0553796198957668E-12</c:v>
                </c:pt>
                <c:pt idx="116">
                  <c:v>2.0553796198957668E-12</c:v>
                </c:pt>
                <c:pt idx="117">
                  <c:v>2.0553796198957668E-12</c:v>
                </c:pt>
                <c:pt idx="118">
                  <c:v>2.0553796198957668E-12</c:v>
                </c:pt>
                <c:pt idx="119">
                  <c:v>2.0553796198957668E-12</c:v>
                </c:pt>
                <c:pt idx="120">
                  <c:v>2.0553796198957668E-12</c:v>
                </c:pt>
                <c:pt idx="121">
                  <c:v>2.0553796198957668E-12</c:v>
                </c:pt>
                <c:pt idx="122">
                  <c:v>2.0553796198957668E-12</c:v>
                </c:pt>
                <c:pt idx="123">
                  <c:v>2.0553796198957668E-12</c:v>
                </c:pt>
                <c:pt idx="124">
                  <c:v>2.0553796198957668E-12</c:v>
                </c:pt>
                <c:pt idx="125">
                  <c:v>2.0553796198957668E-12</c:v>
                </c:pt>
                <c:pt idx="126">
                  <c:v>2.0553796198957668E-12</c:v>
                </c:pt>
                <c:pt idx="127">
                  <c:v>2.0553796198957668E-12</c:v>
                </c:pt>
                <c:pt idx="128">
                  <c:v>2.0553796198957668E-12</c:v>
                </c:pt>
                <c:pt idx="129">
                  <c:v>2.0553796198957668E-12</c:v>
                </c:pt>
                <c:pt idx="130">
                  <c:v>2.0553796198957668E-12</c:v>
                </c:pt>
                <c:pt idx="131">
                  <c:v>2.0553796198957668E-12</c:v>
                </c:pt>
                <c:pt idx="132">
                  <c:v>2.0553796198957668E-12</c:v>
                </c:pt>
                <c:pt idx="133">
                  <c:v>2.0553796198957668E-12</c:v>
                </c:pt>
                <c:pt idx="134">
                  <c:v>2.0553796198957668E-12</c:v>
                </c:pt>
                <c:pt idx="135">
                  <c:v>2.0553796198957668E-12</c:v>
                </c:pt>
                <c:pt idx="136">
                  <c:v>2.0553796198957668E-12</c:v>
                </c:pt>
                <c:pt idx="137">
                  <c:v>2.0553796198957668E-12</c:v>
                </c:pt>
                <c:pt idx="138">
                  <c:v>2.0553796198957668E-12</c:v>
                </c:pt>
                <c:pt idx="139">
                  <c:v>2.0553796198957668E-12</c:v>
                </c:pt>
                <c:pt idx="140">
                  <c:v>2.0553796198957668E-12</c:v>
                </c:pt>
                <c:pt idx="141">
                  <c:v>2.0553796198957668E-12</c:v>
                </c:pt>
                <c:pt idx="142">
                  <c:v>2.0553796198957668E-12</c:v>
                </c:pt>
                <c:pt idx="143">
                  <c:v>2.0553796198957668E-12</c:v>
                </c:pt>
                <c:pt idx="144">
                  <c:v>2.0553796198957668E-12</c:v>
                </c:pt>
                <c:pt idx="145">
                  <c:v>2.0553796198957668E-12</c:v>
                </c:pt>
                <c:pt idx="146">
                  <c:v>2.0553796198957668E-12</c:v>
                </c:pt>
                <c:pt idx="147">
                  <c:v>2.0553796198957668E-12</c:v>
                </c:pt>
                <c:pt idx="148">
                  <c:v>2.0553796198957668E-12</c:v>
                </c:pt>
                <c:pt idx="149">
                  <c:v>2.0553796198957668E-12</c:v>
                </c:pt>
                <c:pt idx="150">
                  <c:v>2.0553796198957668E-12</c:v>
                </c:pt>
                <c:pt idx="151">
                  <c:v>2.0553796198957668E-12</c:v>
                </c:pt>
                <c:pt idx="152">
                  <c:v>2.0553796198957668E-12</c:v>
                </c:pt>
                <c:pt idx="153">
                  <c:v>2.0553796198957668E-12</c:v>
                </c:pt>
                <c:pt idx="154">
                  <c:v>2.0553796198957668E-12</c:v>
                </c:pt>
                <c:pt idx="155">
                  <c:v>2.0553796198957668E-12</c:v>
                </c:pt>
                <c:pt idx="156">
                  <c:v>2.0553796198957668E-12</c:v>
                </c:pt>
                <c:pt idx="157">
                  <c:v>2.0553796198957668E-12</c:v>
                </c:pt>
                <c:pt idx="158">
                  <c:v>2.0553796198957668E-12</c:v>
                </c:pt>
                <c:pt idx="159">
                  <c:v>2.0553796198957668E-12</c:v>
                </c:pt>
                <c:pt idx="160">
                  <c:v>2.0553796198957668E-12</c:v>
                </c:pt>
                <c:pt idx="161">
                  <c:v>2.0553796198957668E-12</c:v>
                </c:pt>
                <c:pt idx="162">
                  <c:v>2.0553796198957668E-12</c:v>
                </c:pt>
                <c:pt idx="163">
                  <c:v>2.0553796198957668E-12</c:v>
                </c:pt>
                <c:pt idx="164">
                  <c:v>2.0553796198957668E-12</c:v>
                </c:pt>
                <c:pt idx="165">
                  <c:v>2.0553796198957668E-12</c:v>
                </c:pt>
                <c:pt idx="166">
                  <c:v>2.0553796198957668E-12</c:v>
                </c:pt>
                <c:pt idx="167">
                  <c:v>2.0553796198957668E-12</c:v>
                </c:pt>
                <c:pt idx="168">
                  <c:v>2.0553796198957668E-12</c:v>
                </c:pt>
                <c:pt idx="169">
                  <c:v>2.0553796198957668E-12</c:v>
                </c:pt>
                <c:pt idx="170">
                  <c:v>2.0553796198957668E-12</c:v>
                </c:pt>
                <c:pt idx="171">
                  <c:v>2.0553796198957668E-12</c:v>
                </c:pt>
                <c:pt idx="172">
                  <c:v>2.0553796198957668E-12</c:v>
                </c:pt>
                <c:pt idx="173">
                  <c:v>2.0553796198957668E-12</c:v>
                </c:pt>
                <c:pt idx="174">
                  <c:v>2.0553796198957668E-12</c:v>
                </c:pt>
                <c:pt idx="175">
                  <c:v>2.0553796198957668E-12</c:v>
                </c:pt>
                <c:pt idx="176">
                  <c:v>2.0553796198957668E-12</c:v>
                </c:pt>
                <c:pt idx="177">
                  <c:v>2.0553796198957668E-12</c:v>
                </c:pt>
                <c:pt idx="178">
                  <c:v>2.0553796198957668E-12</c:v>
                </c:pt>
                <c:pt idx="179">
                  <c:v>2.0553796198957668E-12</c:v>
                </c:pt>
                <c:pt idx="180">
                  <c:v>2.0553796198957668E-12</c:v>
                </c:pt>
                <c:pt idx="181">
                  <c:v>2.0553796198957668E-12</c:v>
                </c:pt>
                <c:pt idx="182">
                  <c:v>2.0553796198957668E-12</c:v>
                </c:pt>
                <c:pt idx="183">
                  <c:v>2.0553796198957668E-12</c:v>
                </c:pt>
                <c:pt idx="184">
                  <c:v>2.0553796198957668E-12</c:v>
                </c:pt>
                <c:pt idx="185">
                  <c:v>2.0553796198957668E-12</c:v>
                </c:pt>
                <c:pt idx="186">
                  <c:v>2.0553796198957668E-12</c:v>
                </c:pt>
                <c:pt idx="187">
                  <c:v>2.0553796198957668E-12</c:v>
                </c:pt>
                <c:pt idx="188">
                  <c:v>2.0553796198957668E-12</c:v>
                </c:pt>
                <c:pt idx="189">
                  <c:v>2.0553796198957668E-12</c:v>
                </c:pt>
                <c:pt idx="190">
                  <c:v>2.0553796198957668E-12</c:v>
                </c:pt>
                <c:pt idx="191">
                  <c:v>2.0553796198957668E-12</c:v>
                </c:pt>
                <c:pt idx="192">
                  <c:v>2.0553796198957668E-12</c:v>
                </c:pt>
                <c:pt idx="193">
                  <c:v>2.0553796198957668E-12</c:v>
                </c:pt>
                <c:pt idx="194">
                  <c:v>2.0553796198957668E-12</c:v>
                </c:pt>
                <c:pt idx="195">
                  <c:v>2.0553796198957668E-12</c:v>
                </c:pt>
                <c:pt idx="196">
                  <c:v>2.0553796198957668E-12</c:v>
                </c:pt>
                <c:pt idx="197">
                  <c:v>2.0553796198957668E-12</c:v>
                </c:pt>
                <c:pt idx="198">
                  <c:v>2.0553796198957668E-12</c:v>
                </c:pt>
                <c:pt idx="199">
                  <c:v>2.0553796198957668E-12</c:v>
                </c:pt>
                <c:pt idx="200">
                  <c:v>2.0553796198957668E-12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2.6070154654448423</c:v>
                </c:pt>
                <c:pt idx="2">
                  <c:v>3.042792517703484</c:v>
                </c:pt>
                <c:pt idx="3">
                  <c:v>3.5516773441895779</c:v>
                </c:pt>
                <c:pt idx="4">
                  <c:v>4.1459768497997995</c:v>
                </c:pt>
                <c:pt idx="5">
                  <c:v>4.8400763134119691</c:v>
                </c:pt>
                <c:pt idx="6">
                  <c:v>5.6507914259244316</c:v>
                </c:pt>
                <c:pt idx="7">
                  <c:v>6.597780120956827</c:v>
                </c:pt>
                <c:pt idx="8">
                  <c:v>7.7040243794699137</c:v>
                </c:pt>
                <c:pt idx="9">
                  <c:v>8.9963939271864017</c:v>
                </c:pt>
                <c:pt idx="10">
                  <c:v>10.506305778500332</c:v>
                </c:pt>
                <c:pt idx="11">
                  <c:v>12.27049596347147</c:v>
                </c:pt>
                <c:pt idx="12">
                  <c:v>14.331922565177122</c:v>
                </c:pt>
                <c:pt idx="13">
                  <c:v>16.740822463043308</c:v>
                </c:pt>
                <c:pt idx="14">
                  <c:v>19.555948005711503</c:v>
                </c:pt>
                <c:pt idx="15">
                  <c:v>22.846014320496433</c:v>
                </c:pt>
                <c:pt idx="16">
                  <c:v>26.69139321802454</c:v>
                </c:pt>
                <c:pt idx="17">
                  <c:v>31.186095802007486</c:v>
                </c:pt>
                <c:pt idx="18">
                  <c:v>36.440093099747507</c:v>
                </c:pt>
                <c:pt idx="19">
                  <c:v>42.582032469890507</c:v>
                </c:pt>
                <c:pt idx="20">
                  <c:v>49.762417432256882</c:v>
                </c:pt>
                <c:pt idx="21">
                  <c:v>58.157330148887858</c:v>
                </c:pt>
                <c:pt idx="22">
                  <c:v>67.972789357106464</c:v>
                </c:pt>
                <c:pt idx="23">
                  <c:v>79.449852455892156</c:v>
                </c:pt>
                <c:pt idx="24">
                  <c:v>92.870589076455829</c:v>
                </c:pt>
                <c:pt idx="25">
                  <c:v>108.56507529570843</c:v>
                </c:pt>
                <c:pt idx="26">
                  <c:v>126.91958322723343</c:v>
                </c:pt>
                <c:pt idx="27">
                  <c:v>148.38617069296393</c:v>
                </c:pt>
                <c:pt idx="28">
                  <c:v>173.49391079559396</c:v>
                </c:pt>
                <c:pt idx="29">
                  <c:v>202.86204236250498</c:v>
                </c:pt>
                <c:pt idx="30">
                  <c:v>237.21537045494168</c:v>
                </c:pt>
                <c:pt idx="31">
                  <c:v>277.40230264845582</c:v>
                </c:pt>
                <c:pt idx="32">
                  <c:v>178.11913277536883</c:v>
                </c:pt>
                <c:pt idx="33">
                  <c:v>199.44256881137485</c:v>
                </c:pt>
                <c:pt idx="34">
                  <c:v>220.71312931595182</c:v>
                </c:pt>
                <c:pt idx="35">
                  <c:v>244.5496895468809</c:v>
                </c:pt>
                <c:pt idx="36">
                  <c:v>268.3334440987598</c:v>
                </c:pt>
                <c:pt idx="37">
                  <c:v>292.06972985560316</c:v>
                </c:pt>
                <c:pt idx="38">
                  <c:v>237.44215722318117</c:v>
                </c:pt>
                <c:pt idx="39">
                  <c:v>259.77701672741807</c:v>
                </c:pt>
                <c:pt idx="40">
                  <c:v>282.06849860458448</c:v>
                </c:pt>
                <c:pt idx="41">
                  <c:v>306.68331034869146</c:v>
                </c:pt>
                <c:pt idx="42">
                  <c:v>331.25422474695364</c:v>
                </c:pt>
                <c:pt idx="43">
                  <c:v>355.78495339501728</c:v>
                </c:pt>
                <c:pt idx="44">
                  <c:v>380.27865441959062</c:v>
                </c:pt>
                <c:pt idx="45">
                  <c:v>305.01256073997382</c:v>
                </c:pt>
                <c:pt idx="46">
                  <c:v>328.29172100200674</c:v>
                </c:pt>
                <c:pt idx="47">
                  <c:v>351.53445257388427</c:v>
                </c:pt>
                <c:pt idx="48">
                  <c:v>375.93662516300691</c:v>
                </c:pt>
                <c:pt idx="49">
                  <c:v>400.30431153676778</c:v>
                </c:pt>
                <c:pt idx="50">
                  <c:v>424.63990430558033</c:v>
                </c:pt>
                <c:pt idx="51">
                  <c:v>448.9454996472686</c:v>
                </c:pt>
                <c:pt idx="52">
                  <c:v>377.40580775314544</c:v>
                </c:pt>
                <c:pt idx="53">
                  <c:v>399.96654829959226</c:v>
                </c:pt>
                <c:pt idx="54">
                  <c:v>422.49975311237716</c:v>
                </c:pt>
                <c:pt idx="55">
                  <c:v>446.33492198429809</c:v>
                </c:pt>
                <c:pt idx="56">
                  <c:v>470.14284909524957</c:v>
                </c:pt>
                <c:pt idx="57">
                  <c:v>493.92510664949083</c:v>
                </c:pt>
                <c:pt idx="58">
                  <c:v>517.68310323167577</c:v>
                </c:pt>
                <c:pt idx="59">
                  <c:v>449.45243022048606</c:v>
                </c:pt>
                <c:pt idx="60">
                  <c:v>471.6281434502709</c:v>
                </c:pt>
                <c:pt idx="61">
                  <c:v>493.78166313907667</c:v>
                </c:pt>
                <c:pt idx="62">
                  <c:v>516.74469733805745</c:v>
                </c:pt>
                <c:pt idx="63">
                  <c:v>539.68620934707485</c:v>
                </c:pt>
                <c:pt idx="64">
                  <c:v>562.60724183877232</c:v>
                </c:pt>
                <c:pt idx="65">
                  <c:v>585.50874568286872</c:v>
                </c:pt>
                <c:pt idx="66">
                  <c:v>512.89361990989028</c:v>
                </c:pt>
                <c:pt idx="67">
                  <c:v>534.2449776410316</c:v>
                </c:pt>
                <c:pt idx="68">
                  <c:v>555.57839738302926</c:v>
                </c:pt>
                <c:pt idx="69">
                  <c:v>578.03844319812708</c:v>
                </c:pt>
                <c:pt idx="70">
                  <c:v>600.48028786209477</c:v>
                </c:pt>
                <c:pt idx="71">
                  <c:v>622.90470660627795</c:v>
                </c:pt>
                <c:pt idx="72">
                  <c:v>645.31241435428785</c:v>
                </c:pt>
                <c:pt idx="73">
                  <c:v>556.27382640019266</c:v>
                </c:pt>
                <c:pt idx="74">
                  <c:v>575.9414789187723</c:v>
                </c:pt>
                <c:pt idx="75">
                  <c:v>595.59511839340109</c:v>
                </c:pt>
                <c:pt idx="76">
                  <c:v>616.23934935237003</c:v>
                </c:pt>
                <c:pt idx="77">
                  <c:v>636.86924831954195</c:v>
                </c:pt>
                <c:pt idx="78">
                  <c:v>657.48534443220046</c:v>
                </c:pt>
                <c:pt idx="79">
                  <c:v>678.08813097277516</c:v>
                </c:pt>
                <c:pt idx="80">
                  <c:v>698.67806883590413</c:v>
                </c:pt>
                <c:pt idx="81">
                  <c:v>719.25558956592886</c:v>
                </c:pt>
                <c:pt idx="82">
                  <c:v>595.88190182360995</c:v>
                </c:pt>
                <c:pt idx="83">
                  <c:v>615.02237448212202</c:v>
                </c:pt>
                <c:pt idx="84">
                  <c:v>634.15049997125311</c:v>
                </c:pt>
                <c:pt idx="85">
                  <c:v>653.26670282522389</c:v>
                </c:pt>
                <c:pt idx="86">
                  <c:v>672.37138072956304</c:v>
                </c:pt>
                <c:pt idx="87">
                  <c:v>691.46490694916429</c:v>
                </c:pt>
                <c:pt idx="88">
                  <c:v>710.54763247444714</c:v>
                </c:pt>
                <c:pt idx="89">
                  <c:v>729.61988792518605</c:v>
                </c:pt>
                <c:pt idx="90">
                  <c:v>748.68198524512025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3.1663294294986368</c:v>
                </c:pt>
                <c:pt idx="2">
                  <c:v>4.3403435207386236</c:v>
                </c:pt>
                <c:pt idx="3">
                  <c:v>5.9514758951090379</c:v>
                </c:pt>
                <c:pt idx="4">
                  <c:v>8.1631128074218164</c:v>
                </c:pt>
                <c:pt idx="5">
                  <c:v>11.199932085794581</c:v>
                </c:pt>
                <c:pt idx="6">
                  <c:v>15.370972245047795</c:v>
                </c:pt>
                <c:pt idx="7">
                  <c:v>21.10141089596863</c:v>
                </c:pt>
                <c:pt idx="8">
                  <c:v>28.976349590671337</c:v>
                </c:pt>
                <c:pt idx="9">
                  <c:v>39.801153595045001</c:v>
                </c:pt>
                <c:pt idx="10">
                  <c:v>54.684622421419611</c:v>
                </c:pt>
                <c:pt idx="11">
                  <c:v>75.153651712437608</c:v>
                </c:pt>
                <c:pt idx="12">
                  <c:v>103.31133993961458</c:v>
                </c:pt>
                <c:pt idx="13">
                  <c:v>142.05504083471379</c:v>
                </c:pt>
                <c:pt idx="14">
                  <c:v>195.37714338591363</c:v>
                </c:pt>
                <c:pt idx="15">
                  <c:v>268.78003756948306</c:v>
                </c:pt>
                <c:pt idx="16">
                  <c:v>222.44901988490449</c:v>
                </c:pt>
                <c:pt idx="17">
                  <c:v>248.16968942779479</c:v>
                </c:pt>
                <c:pt idx="18">
                  <c:v>273.82985380942631</c:v>
                </c:pt>
                <c:pt idx="19">
                  <c:v>299.43597770801284</c:v>
                </c:pt>
                <c:pt idx="20">
                  <c:v>324.99332932034093</c:v>
                </c:pt>
                <c:pt idx="21">
                  <c:v>290.90626153029353</c:v>
                </c:pt>
                <c:pt idx="22">
                  <c:v>312.99489700412892</c:v>
                </c:pt>
                <c:pt idx="23">
                  <c:v>335.04896833683739</c:v>
                </c:pt>
                <c:pt idx="24">
                  <c:v>357.07106927741569</c:v>
                </c:pt>
                <c:pt idx="25">
                  <c:v>379.06344761508916</c:v>
                </c:pt>
                <c:pt idx="26">
                  <c:v>351.66496710247708</c:v>
                </c:pt>
                <c:pt idx="27">
                  <c:v>370.57855237838589</c:v>
                </c:pt>
                <c:pt idx="28">
                  <c:v>389.47109094329409</c:v>
                </c:pt>
                <c:pt idx="29">
                  <c:v>408.34374690780299</c:v>
                </c:pt>
                <c:pt idx="30">
                  <c:v>427.19756804132606</c:v>
                </c:pt>
                <c:pt idx="31">
                  <c:v>405.26380992187273</c:v>
                </c:pt>
                <c:pt idx="32">
                  <c:v>421.81262693312607</c:v>
                </c:pt>
                <c:pt idx="33">
                  <c:v>438.34746920790491</c:v>
                </c:pt>
                <c:pt idx="34">
                  <c:v>454.86893790765072</c:v>
                </c:pt>
                <c:pt idx="35">
                  <c:v>471.37758697768669</c:v>
                </c:pt>
                <c:pt idx="36">
                  <c:v>451.41203469669318</c:v>
                </c:pt>
                <c:pt idx="37">
                  <c:v>466.00405325959133</c:v>
                </c:pt>
                <c:pt idx="38">
                  <c:v>480.58633375842049</c:v>
                </c:pt>
                <c:pt idx="39">
                  <c:v>495.15921321011928</c:v>
                </c:pt>
                <c:pt idx="40">
                  <c:v>509.72300718239177</c:v>
                </c:pt>
                <c:pt idx="41">
                  <c:v>492.09200389181916</c:v>
                </c:pt>
                <c:pt idx="42">
                  <c:v>505.12487755644224</c:v>
                </c:pt>
                <c:pt idx="43">
                  <c:v>518.15064181809271</c:v>
                </c:pt>
                <c:pt idx="44">
                  <c:v>531.16950054400002</c:v>
                </c:pt>
                <c:pt idx="45">
                  <c:v>544.18164679531833</c:v>
                </c:pt>
                <c:pt idx="46">
                  <c:v>529.25538799232447</c:v>
                </c:pt>
                <c:pt idx="47">
                  <c:v>541.12055937003322</c:v>
                </c:pt>
                <c:pt idx="48">
                  <c:v>552.98026777532061</c:v>
                </c:pt>
                <c:pt idx="49">
                  <c:v>564.83464686291802</c:v>
                </c:pt>
                <c:pt idx="50">
                  <c:v>576.68382422111188</c:v>
                </c:pt>
                <c:pt idx="51">
                  <c:v>563.68767821983909</c:v>
                </c:pt>
                <c:pt idx="52">
                  <c:v>573.62646310732623</c:v>
                </c:pt>
                <c:pt idx="53">
                  <c:v>583.56165301259614</c:v>
                </c:pt>
                <c:pt idx="54">
                  <c:v>593.49331776439851</c:v>
                </c:pt>
                <c:pt idx="55">
                  <c:v>603.42152466405787</c:v>
                </c:pt>
                <c:pt idx="56">
                  <c:v>591.96559606486483</c:v>
                </c:pt>
                <c:pt idx="57">
                  <c:v>601.51251958281716</c:v>
                </c:pt>
                <c:pt idx="58">
                  <c:v>611.05629477119885</c:v>
                </c:pt>
                <c:pt idx="59">
                  <c:v>620.5969777295353</c:v>
                </c:pt>
                <c:pt idx="60">
                  <c:v>630.13462269202103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1.7042974025924702</c:v>
                </c:pt>
                <c:pt idx="2">
                  <c:v>2.1887254462288022</c:v>
                </c:pt>
                <c:pt idx="3">
                  <c:v>2.8114063023578826</c:v>
                </c:pt>
                <c:pt idx="4">
                  <c:v>3.6119473150358368</c:v>
                </c:pt>
                <c:pt idx="5">
                  <c:v>4.6413432401622412</c:v>
                </c:pt>
                <c:pt idx="6">
                  <c:v>5.965261048901418</c:v>
                </c:pt>
                <c:pt idx="7">
                  <c:v>7.6682751513835692</c:v>
                </c:pt>
                <c:pt idx="8">
                  <c:v>9.8593288013918841</c:v>
                </c:pt>
                <c:pt idx="9">
                  <c:v>34.340499100461251</c:v>
                </c:pt>
                <c:pt idx="10">
                  <c:v>60.556368030357454</c:v>
                </c:pt>
                <c:pt idx="11">
                  <c:v>87.589856064566405</c:v>
                </c:pt>
                <c:pt idx="12">
                  <c:v>116.63868653131253</c:v>
                </c:pt>
                <c:pt idx="13">
                  <c:v>142.18586719742532</c:v>
                </c:pt>
                <c:pt idx="14">
                  <c:v>168.72649854710286</c:v>
                </c:pt>
                <c:pt idx="15">
                  <c:v>194.06855653987475</c:v>
                </c:pt>
                <c:pt idx="16">
                  <c:v>217.13943416178634</c:v>
                </c:pt>
                <c:pt idx="17">
                  <c:v>237.96432737707607</c:v>
                </c:pt>
                <c:pt idx="18">
                  <c:v>257.6548036297558</c:v>
                </c:pt>
                <c:pt idx="19">
                  <c:v>274.03742715328451</c:v>
                </c:pt>
                <c:pt idx="20">
                  <c:v>289.30799460505648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4" zoomScale="80" zoomScaleNormal="80" workbookViewId="0">
      <selection activeCell="D60" sqref="D60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7" zoomScale="70" zoomScaleNormal="80" workbookViewId="0">
      <selection activeCell="E140" sqref="E140:H151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11.225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0.222717</v>
      </c>
      <c r="D9" s="33">
        <f t="shared" ref="D9:D18" si="0">C9*$C$5</f>
        <v>2.499998325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27</v>
      </c>
      <c r="C10" s="32">
        <v>0.35634700000000002</v>
      </c>
      <c r="D10" s="33">
        <f t="shared" si="0"/>
        <v>3.9999950750000002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13</v>
      </c>
      <c r="C11" s="32">
        <v>0.178174</v>
      </c>
      <c r="D11" s="33">
        <f t="shared" si="0"/>
        <v>2.00000315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44</v>
      </c>
      <c r="C12" s="32">
        <v>0.13363</v>
      </c>
      <c r="D12" s="33">
        <f t="shared" si="0"/>
        <v>1.49999675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112</v>
      </c>
      <c r="C13" s="32">
        <v>0.109</v>
      </c>
      <c r="D13" s="33">
        <f t="shared" si="0"/>
        <v>1.223525</v>
      </c>
      <c r="E13" s="34">
        <v>20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0.99986800000000009</v>
      </c>
      <c r="D19" s="38">
        <f>SUM(D9:D18)</f>
        <v>11.2235183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17</v>
      </c>
      <c r="B36" s="60">
        <v>172.78</v>
      </c>
      <c r="C36" s="60">
        <v>0</v>
      </c>
      <c r="D36" s="60">
        <v>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10.163529411764706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18</v>
      </c>
      <c r="B37" s="60">
        <v>202.31</v>
      </c>
      <c r="C37" s="60">
        <v>1</v>
      </c>
      <c r="D37" s="60">
        <v>74.819999999999993</v>
      </c>
      <c r="E37" s="51">
        <v>0</v>
      </c>
      <c r="F37" s="51">
        <v>0.56000000000000005</v>
      </c>
      <c r="G37" s="51">
        <v>0.44</v>
      </c>
      <c r="H37" s="51"/>
      <c r="I37" s="53">
        <f t="shared" ref="I37:I55" si="1">IF(A37&lt;&gt;0,(B37-(B36-D36))/(A37-A36),"")</f>
        <v>29.53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21</v>
      </c>
      <c r="B38" s="60">
        <v>201.39</v>
      </c>
      <c r="C38" s="60">
        <v>2</v>
      </c>
      <c r="D38" s="60"/>
      <c r="E38" s="51">
        <v>0</v>
      </c>
      <c r="F38" s="51">
        <v>0.56000000000000005</v>
      </c>
      <c r="G38" s="51">
        <v>0.44</v>
      </c>
      <c r="H38" s="51"/>
      <c r="I38" s="53">
        <f t="shared" si="1"/>
        <v>24.633333333333326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24</v>
      </c>
      <c r="B39" s="60">
        <v>289.08999999999997</v>
      </c>
      <c r="C39" s="60">
        <v>3</v>
      </c>
      <c r="D39" s="60">
        <v>51.39</v>
      </c>
      <c r="E39" s="51">
        <v>0.2</v>
      </c>
      <c r="F39" s="51">
        <v>0.56000000000000005</v>
      </c>
      <c r="G39" s="51">
        <v>0.35</v>
      </c>
      <c r="H39" s="51"/>
      <c r="I39" s="49">
        <f t="shared" si="1"/>
        <v>29.233333333333331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27</v>
      </c>
      <c r="B40" s="60">
        <v>321</v>
      </c>
      <c r="C40" s="60">
        <v>4</v>
      </c>
      <c r="D40" s="60"/>
      <c r="E40" s="51">
        <v>0.2</v>
      </c>
      <c r="F40" s="51">
        <v>0.56000000000000005</v>
      </c>
      <c r="G40" s="51">
        <v>0.35</v>
      </c>
      <c r="H40" s="51"/>
      <c r="I40" s="49">
        <f t="shared" si="1"/>
        <v>27.766666666666669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30</v>
      </c>
      <c r="B41" s="60">
        <v>410.56</v>
      </c>
      <c r="C41" s="60">
        <v>5</v>
      </c>
      <c r="D41" s="60">
        <v>81</v>
      </c>
      <c r="E41" s="51">
        <v>0.4</v>
      </c>
      <c r="F41" s="51">
        <v>0.34</v>
      </c>
      <c r="G41" s="51">
        <v>0.26</v>
      </c>
      <c r="H41" s="51"/>
      <c r="I41" s="53">
        <f t="shared" si="1"/>
        <v>29.853333333333335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33</v>
      </c>
      <c r="B42" s="60">
        <v>412.93</v>
      </c>
      <c r="C42" s="60">
        <v>6</v>
      </c>
      <c r="D42" s="60"/>
      <c r="E42" s="51">
        <v>0.4</v>
      </c>
      <c r="F42" s="51">
        <v>0.34</v>
      </c>
      <c r="G42" s="51">
        <v>0.26</v>
      </c>
      <c r="H42" s="51"/>
      <c r="I42" s="53">
        <f t="shared" si="1"/>
        <v>27.790000000000003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36</v>
      </c>
      <c r="B43" s="60">
        <v>501.41</v>
      </c>
      <c r="C43" s="60">
        <v>7</v>
      </c>
      <c r="D43" s="60">
        <v>86</v>
      </c>
      <c r="E43" s="51">
        <v>0.5</v>
      </c>
      <c r="F43" s="51">
        <v>0.28000000000000003</v>
      </c>
      <c r="G43" s="51">
        <v>0.22</v>
      </c>
      <c r="H43" s="51"/>
      <c r="I43" s="49">
        <f t="shared" si="1"/>
        <v>29.493333333333339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39</v>
      </c>
      <c r="B44" s="60">
        <v>497.93</v>
      </c>
      <c r="C44" s="60">
        <v>8</v>
      </c>
      <c r="D44" s="60"/>
      <c r="E44" s="51">
        <v>0.5</v>
      </c>
      <c r="F44" s="51">
        <v>0.28000000000000003</v>
      </c>
      <c r="G44" s="51">
        <v>0.22</v>
      </c>
      <c r="H44" s="51"/>
      <c r="I44" s="49">
        <f t="shared" si="1"/>
        <v>27.506666666666661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42</v>
      </c>
      <c r="B45" s="60">
        <v>583.89</v>
      </c>
      <c r="C45" s="60">
        <v>9</v>
      </c>
      <c r="D45" s="60">
        <v>91</v>
      </c>
      <c r="E45" s="51">
        <v>0.6</v>
      </c>
      <c r="F45" s="51">
        <v>0.22</v>
      </c>
      <c r="G45" s="51">
        <v>0.18</v>
      </c>
      <c r="H45" s="51"/>
      <c r="I45" s="49">
        <f t="shared" si="1"/>
        <v>28.653333333333325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45</v>
      </c>
      <c r="B46" s="60">
        <v>572.51</v>
      </c>
      <c r="C46" s="60">
        <v>10</v>
      </c>
      <c r="D46" s="60"/>
      <c r="E46" s="51">
        <v>0.7</v>
      </c>
      <c r="F46" s="51">
        <v>0.17</v>
      </c>
      <c r="G46" s="51">
        <v>0.13</v>
      </c>
      <c r="H46" s="51"/>
      <c r="I46" s="49">
        <f t="shared" si="1"/>
        <v>26.540000000000003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48</v>
      </c>
      <c r="B47" s="60">
        <v>655.04999999999995</v>
      </c>
      <c r="C47" s="60">
        <v>11</v>
      </c>
      <c r="D47" s="60">
        <v>101</v>
      </c>
      <c r="E47" s="51">
        <v>0.8</v>
      </c>
      <c r="F47" s="51">
        <v>0.11</v>
      </c>
      <c r="G47" s="51">
        <v>0.09</v>
      </c>
      <c r="H47" s="51"/>
      <c r="I47" s="49">
        <f t="shared" si="1"/>
        <v>27.513333333333321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51</v>
      </c>
      <c r="B48" s="60">
        <v>629.73</v>
      </c>
      <c r="C48" s="60">
        <v>12</v>
      </c>
      <c r="D48" s="60"/>
      <c r="E48" s="51">
        <v>0.8</v>
      </c>
      <c r="F48" s="51">
        <v>0.11</v>
      </c>
      <c r="G48" s="51">
        <v>0.09</v>
      </c>
      <c r="H48" s="51"/>
      <c r="I48" s="49">
        <f t="shared" si="1"/>
        <v>25.226666666666688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54</v>
      </c>
      <c r="B49" s="60">
        <v>707.75</v>
      </c>
      <c r="C49" s="60">
        <v>13</v>
      </c>
      <c r="D49" s="60">
        <v>707.75</v>
      </c>
      <c r="E49" s="51">
        <v>0.8</v>
      </c>
      <c r="F49" s="51">
        <v>0.11</v>
      </c>
      <c r="G49" s="51">
        <v>0.09</v>
      </c>
      <c r="H49" s="51"/>
      <c r="I49" s="49">
        <f t="shared" si="1"/>
        <v>26.006666666666661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Mélèze d'Europe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10</v>
      </c>
      <c r="B62" s="60">
        <v>27</v>
      </c>
      <c r="C62" s="60">
        <v>1</v>
      </c>
      <c r="D62" s="60">
        <v>0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2.7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15</v>
      </c>
      <c r="B63" s="60">
        <v>86</v>
      </c>
      <c r="C63" s="60">
        <v>2</v>
      </c>
      <c r="D63" s="60">
        <v>18</v>
      </c>
      <c r="E63" s="51">
        <v>0.2</v>
      </c>
      <c r="F63" s="51">
        <v>0.56000000000000005</v>
      </c>
      <c r="G63" s="51">
        <v>0.35</v>
      </c>
      <c r="H63" s="51"/>
      <c r="I63" s="49">
        <f>IF(A63&lt;&gt;0,(B63-(B62-D62))/(A63-A62),"")</f>
        <v>11.8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20</v>
      </c>
      <c r="B64" s="60">
        <v>140</v>
      </c>
      <c r="C64" s="60">
        <v>3</v>
      </c>
      <c r="D64" s="60">
        <v>42</v>
      </c>
      <c r="E64" s="51">
        <v>0.2</v>
      </c>
      <c r="F64" s="51">
        <v>0.56000000000000005</v>
      </c>
      <c r="G64" s="51">
        <v>0.35</v>
      </c>
      <c r="H64" s="51"/>
      <c r="I64" s="49">
        <f>IF(A64&lt;&gt;0,(B64-(B63-D63))/(A64-A63),"")</f>
        <v>14.4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25</v>
      </c>
      <c r="B65" s="60">
        <v>180</v>
      </c>
      <c r="C65" s="60">
        <v>4</v>
      </c>
      <c r="D65" s="60">
        <v>42</v>
      </c>
      <c r="E65" s="51">
        <v>0.4</v>
      </c>
      <c r="F65" s="51">
        <v>0.34</v>
      </c>
      <c r="G65" s="51">
        <v>0.26</v>
      </c>
      <c r="H65" s="51"/>
      <c r="I65" s="49">
        <f>IF(A65&lt;&gt;0,(B65-(B64-D64))/(A65-A64),"")</f>
        <v>16.399999999999999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30</v>
      </c>
      <c r="B66" s="60">
        <v>221</v>
      </c>
      <c r="C66" s="60">
        <v>5</v>
      </c>
      <c r="D66" s="60">
        <v>42</v>
      </c>
      <c r="E66" s="51">
        <v>0.4</v>
      </c>
      <c r="F66" s="51">
        <v>0.34</v>
      </c>
      <c r="G66" s="51">
        <v>0.26</v>
      </c>
      <c r="H66" s="51"/>
      <c r="I66" s="49">
        <f t="shared" ref="I66:I81" si="2">IF(A66&lt;&gt;0,(B66-(B65-D65))/(A66-A65),"")</f>
        <v>16.600000000000001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35</v>
      </c>
      <c r="B67" s="60">
        <v>257</v>
      </c>
      <c r="C67" s="60">
        <v>6</v>
      </c>
      <c r="D67" s="60">
        <v>42</v>
      </c>
      <c r="E67" s="51">
        <v>0.5</v>
      </c>
      <c r="F67" s="51">
        <v>0.28000000000000003</v>
      </c>
      <c r="G67" s="51">
        <v>0.22</v>
      </c>
      <c r="H67" s="51"/>
      <c r="I67" s="49">
        <f t="shared" si="2"/>
        <v>15.6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40</v>
      </c>
      <c r="B68" s="60">
        <v>288</v>
      </c>
      <c r="C68" s="60">
        <v>7</v>
      </c>
      <c r="D68" s="60">
        <v>40</v>
      </c>
      <c r="E68" s="51">
        <v>0.5</v>
      </c>
      <c r="F68" s="51">
        <v>0.28000000000000003</v>
      </c>
      <c r="G68" s="51">
        <v>0.22</v>
      </c>
      <c r="H68" s="51"/>
      <c r="I68" s="49">
        <f t="shared" si="2"/>
        <v>14.6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45</v>
      </c>
      <c r="B69" s="50">
        <v>314</v>
      </c>
      <c r="C69" s="50">
        <v>8</v>
      </c>
      <c r="D69" s="50">
        <v>36</v>
      </c>
      <c r="E69" s="51">
        <v>0.6</v>
      </c>
      <c r="F69" s="51">
        <v>0.22</v>
      </c>
      <c r="G69" s="51">
        <v>0.18</v>
      </c>
      <c r="H69" s="51"/>
      <c r="I69" s="49">
        <f t="shared" si="2"/>
        <v>13.2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50</v>
      </c>
      <c r="B70" s="50">
        <v>336</v>
      </c>
      <c r="C70" s="50">
        <v>9</v>
      </c>
      <c r="D70" s="50">
        <v>32</v>
      </c>
      <c r="E70" s="51">
        <v>0.7</v>
      </c>
      <c r="F70" s="51">
        <v>0.17</v>
      </c>
      <c r="G70" s="51">
        <v>0.13</v>
      </c>
      <c r="H70" s="51"/>
      <c r="I70" s="49">
        <f t="shared" si="2"/>
        <v>11.6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55</v>
      </c>
      <c r="B71" s="50">
        <v>357</v>
      </c>
      <c r="C71" s="50">
        <v>10</v>
      </c>
      <c r="D71" s="50">
        <v>29</v>
      </c>
      <c r="E71" s="51">
        <v>0.8</v>
      </c>
      <c r="F71" s="51">
        <v>0.11</v>
      </c>
      <c r="G71" s="51">
        <v>0.09</v>
      </c>
      <c r="H71" s="51"/>
      <c r="I71" s="49">
        <f t="shared" si="2"/>
        <v>10.6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60</v>
      </c>
      <c r="B72" s="50">
        <v>375</v>
      </c>
      <c r="C72" s="50">
        <v>11</v>
      </c>
      <c r="D72" s="50">
        <v>375</v>
      </c>
      <c r="E72" s="51">
        <v>0.8</v>
      </c>
      <c r="F72" s="51">
        <v>0.11</v>
      </c>
      <c r="G72" s="51">
        <v>0.09</v>
      </c>
      <c r="H72" s="51"/>
      <c r="I72" s="49">
        <f t="shared" si="2"/>
        <v>9.4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rouge d'Amérique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31</v>
      </c>
      <c r="B88" s="60">
        <v>144.41999999999999</v>
      </c>
      <c r="C88" s="60">
        <v>1</v>
      </c>
      <c r="D88" s="60">
        <v>64</v>
      </c>
      <c r="E88" s="51">
        <v>0</v>
      </c>
      <c r="F88" s="51"/>
      <c r="G88" s="51"/>
      <c r="H88" s="87">
        <v>1</v>
      </c>
      <c r="I88" s="53">
        <f>IFERROR(B88/A88,"")</f>
        <v>4.6587096774193544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34</v>
      </c>
      <c r="B89" s="60">
        <v>114.25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11.276666666666671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37</v>
      </c>
      <c r="B90" s="60">
        <v>152.25</v>
      </c>
      <c r="C90" s="60">
        <v>3</v>
      </c>
      <c r="D90" s="60">
        <v>41</v>
      </c>
      <c r="E90" s="87">
        <v>0</v>
      </c>
      <c r="F90" s="87"/>
      <c r="G90" s="87"/>
      <c r="H90" s="87">
        <v>1</v>
      </c>
      <c r="I90" s="53">
        <f t="shared" si="3"/>
        <v>12.666666666666666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40</v>
      </c>
      <c r="B91" s="60">
        <v>146.91</v>
      </c>
      <c r="C91" s="60">
        <v>4</v>
      </c>
      <c r="D91" s="60">
        <v>0</v>
      </c>
      <c r="E91" s="87">
        <v>0</v>
      </c>
      <c r="F91" s="87"/>
      <c r="G91" s="87"/>
      <c r="H91" s="87">
        <v>1</v>
      </c>
      <c r="I91" s="53">
        <f t="shared" si="3"/>
        <v>11.886666666666665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44</v>
      </c>
      <c r="B92" s="60">
        <v>199.51</v>
      </c>
      <c r="C92" s="60">
        <v>5</v>
      </c>
      <c r="D92" s="60">
        <v>52.8</v>
      </c>
      <c r="E92" s="87">
        <v>0.2</v>
      </c>
      <c r="F92" s="87"/>
      <c r="G92" s="87"/>
      <c r="H92" s="87">
        <v>0.8</v>
      </c>
      <c r="I92" s="53">
        <f t="shared" si="3"/>
        <v>13.149999999999999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47</v>
      </c>
      <c r="B93" s="60">
        <v>184.08</v>
      </c>
      <c r="C93" s="60">
        <v>6</v>
      </c>
      <c r="D93" s="60">
        <v>0</v>
      </c>
      <c r="E93" s="87">
        <v>0.2</v>
      </c>
      <c r="F93" s="87"/>
      <c r="G93" s="87"/>
      <c r="H93" s="87">
        <v>0.8</v>
      </c>
      <c r="I93" s="53">
        <f t="shared" si="3"/>
        <v>12.456666666666678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51</v>
      </c>
      <c r="B94" s="60">
        <v>236.47</v>
      </c>
      <c r="C94" s="60">
        <v>7</v>
      </c>
      <c r="D94" s="60">
        <v>50.63</v>
      </c>
      <c r="E94" s="87">
        <v>0.3</v>
      </c>
      <c r="F94" s="87"/>
      <c r="G94" s="87"/>
      <c r="H94" s="87">
        <v>0.7</v>
      </c>
      <c r="I94" s="53">
        <f t="shared" si="3"/>
        <v>13.097499999999997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54</v>
      </c>
      <c r="B95" s="60">
        <v>222.22</v>
      </c>
      <c r="C95" s="60">
        <v>8</v>
      </c>
      <c r="D95" s="60">
        <v>0</v>
      </c>
      <c r="E95" s="87">
        <v>0.3</v>
      </c>
      <c r="F95" s="87"/>
      <c r="G95" s="87"/>
      <c r="H95" s="87">
        <v>0.7</v>
      </c>
      <c r="I95" s="53">
        <f t="shared" si="3"/>
        <v>12.126666666666665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58</v>
      </c>
      <c r="B96" s="60">
        <v>273.58999999999997</v>
      </c>
      <c r="C96" s="60">
        <v>9</v>
      </c>
      <c r="D96" s="60">
        <v>48.81</v>
      </c>
      <c r="E96" s="87">
        <v>0.4</v>
      </c>
      <c r="F96" s="87"/>
      <c r="G96" s="87"/>
      <c r="H96" s="87">
        <v>0.6</v>
      </c>
      <c r="I96" s="53">
        <f t="shared" si="3"/>
        <v>12.842499999999994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61</v>
      </c>
      <c r="B97" s="60">
        <v>260.67</v>
      </c>
      <c r="C97" s="60">
        <v>10</v>
      </c>
      <c r="D97" s="60">
        <v>0</v>
      </c>
      <c r="E97" s="87">
        <v>0.4</v>
      </c>
      <c r="F97" s="87"/>
      <c r="G97" s="87"/>
      <c r="H97" s="87">
        <v>0.6</v>
      </c>
      <c r="I97" s="53">
        <f t="shared" si="3"/>
        <v>11.963333333333347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65</v>
      </c>
      <c r="B98" s="60">
        <v>310.32</v>
      </c>
      <c r="C98" s="60">
        <v>11</v>
      </c>
      <c r="D98" s="60">
        <v>50.87</v>
      </c>
      <c r="E98" s="87">
        <v>0.5</v>
      </c>
      <c r="F98" s="87"/>
      <c r="G98" s="87"/>
      <c r="H98" s="87">
        <v>0.5</v>
      </c>
      <c r="I98" s="53">
        <f t="shared" si="3"/>
        <v>12.412499999999994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68</v>
      </c>
      <c r="B99" s="60">
        <v>294.10000000000002</v>
      </c>
      <c r="C99" s="60">
        <v>12</v>
      </c>
      <c r="D99" s="60">
        <v>0</v>
      </c>
      <c r="E99" s="87">
        <v>0.5</v>
      </c>
      <c r="F99" s="87"/>
      <c r="G99" s="87"/>
      <c r="H99" s="87">
        <v>0.5</v>
      </c>
      <c r="I99" s="53">
        <f t="shared" si="3"/>
        <v>11.550000000000011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72</v>
      </c>
      <c r="B100" s="60">
        <v>342.78</v>
      </c>
      <c r="C100" s="60">
        <v>13</v>
      </c>
      <c r="D100" s="60">
        <v>58.96</v>
      </c>
      <c r="E100" s="65">
        <v>0.6</v>
      </c>
      <c r="F100" s="65"/>
      <c r="G100" s="65"/>
      <c r="H100" s="65">
        <v>0.4</v>
      </c>
      <c r="I100" s="53">
        <f t="shared" si="3"/>
        <v>12.169999999999987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75</v>
      </c>
      <c r="B101" s="60">
        <v>315.79000000000002</v>
      </c>
      <c r="C101" s="60">
        <v>14</v>
      </c>
      <c r="D101" s="60">
        <v>0</v>
      </c>
      <c r="E101" s="65">
        <v>0.7</v>
      </c>
      <c r="F101" s="65"/>
      <c r="G101" s="65"/>
      <c r="H101" s="65">
        <v>0.3</v>
      </c>
      <c r="I101" s="53">
        <f t="shared" si="3"/>
        <v>10.656666666666675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>
        <v>81</v>
      </c>
      <c r="B102" s="50">
        <v>383</v>
      </c>
      <c r="C102" s="60">
        <v>15</v>
      </c>
      <c r="D102" s="50">
        <v>77.44</v>
      </c>
      <c r="E102" s="54">
        <v>0.8</v>
      </c>
      <c r="F102" s="54"/>
      <c r="G102" s="54"/>
      <c r="H102" s="54">
        <v>0.2</v>
      </c>
      <c r="I102" s="53">
        <f t="shared" si="3"/>
        <v>11.201666666666663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>
        <v>90</v>
      </c>
      <c r="B103" s="50">
        <v>399.03</v>
      </c>
      <c r="C103" s="60">
        <v>16</v>
      </c>
      <c r="D103" s="50">
        <v>399.03</v>
      </c>
      <c r="E103" s="54">
        <v>0.8</v>
      </c>
      <c r="F103" s="54"/>
      <c r="G103" s="54"/>
      <c r="H103" s="54">
        <v>0.2</v>
      </c>
      <c r="I103" s="53">
        <f t="shared" si="3"/>
        <v>10.385555555555552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Robinier faux-acacia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15</v>
      </c>
      <c r="B114" s="60">
        <v>135</v>
      </c>
      <c r="C114" s="50">
        <v>1</v>
      </c>
      <c r="D114" s="60">
        <v>37</v>
      </c>
      <c r="E114" s="51">
        <v>0.1</v>
      </c>
      <c r="F114" s="51"/>
      <c r="G114" s="51"/>
      <c r="H114" s="51">
        <v>0.9</v>
      </c>
      <c r="I114" s="53">
        <f>IFERROR(B114/A114,"")</f>
        <v>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20</v>
      </c>
      <c r="B115" s="60">
        <v>164</v>
      </c>
      <c r="C115" s="50">
        <v>2</v>
      </c>
      <c r="D115" s="60">
        <v>29</v>
      </c>
      <c r="E115" s="51">
        <v>0.2</v>
      </c>
      <c r="F115" s="51"/>
      <c r="G115" s="51"/>
      <c r="H115" s="51">
        <v>0.8</v>
      </c>
      <c r="I115" s="53">
        <f t="shared" ref="I115:I133" si="4">IF(A115&lt;&gt;0,(B115-(B114-D114))/(A115-A114),"")</f>
        <v>13.2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25</v>
      </c>
      <c r="B116" s="60">
        <v>192</v>
      </c>
      <c r="C116" s="50">
        <v>3</v>
      </c>
      <c r="D116" s="60">
        <v>24</v>
      </c>
      <c r="E116" s="51">
        <v>0.3</v>
      </c>
      <c r="F116" s="51"/>
      <c r="G116" s="51"/>
      <c r="H116" s="51">
        <v>0.7</v>
      </c>
      <c r="I116" s="53">
        <f t="shared" si="4"/>
        <v>11.4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30</v>
      </c>
      <c r="B117" s="60">
        <v>217</v>
      </c>
      <c r="C117" s="50">
        <v>4</v>
      </c>
      <c r="D117" s="60">
        <v>20</v>
      </c>
      <c r="E117" s="51">
        <v>0.3</v>
      </c>
      <c r="F117" s="51"/>
      <c r="G117" s="51"/>
      <c r="H117" s="51">
        <v>0.7</v>
      </c>
      <c r="I117" s="53">
        <f t="shared" si="4"/>
        <v>9.8000000000000007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35</v>
      </c>
      <c r="B118" s="60">
        <v>240</v>
      </c>
      <c r="C118" s="50">
        <v>5</v>
      </c>
      <c r="D118" s="60">
        <v>18</v>
      </c>
      <c r="E118" s="51">
        <v>0.4</v>
      </c>
      <c r="F118" s="51"/>
      <c r="G118" s="51"/>
      <c r="H118" s="51">
        <v>0.6</v>
      </c>
      <c r="I118" s="53">
        <f t="shared" si="4"/>
        <v>8.6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40</v>
      </c>
      <c r="B119" s="60">
        <v>260</v>
      </c>
      <c r="C119" s="50">
        <v>6</v>
      </c>
      <c r="D119" s="60">
        <v>16</v>
      </c>
      <c r="E119" s="51">
        <v>0.4</v>
      </c>
      <c r="F119" s="51"/>
      <c r="G119" s="51"/>
      <c r="H119" s="51">
        <v>0.6</v>
      </c>
      <c r="I119" s="53">
        <f t="shared" si="4"/>
        <v>7.6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45</v>
      </c>
      <c r="B120" s="60">
        <v>278</v>
      </c>
      <c r="C120" s="60">
        <v>7</v>
      </c>
      <c r="D120" s="60">
        <v>14</v>
      </c>
      <c r="E120" s="87">
        <v>0.5</v>
      </c>
      <c r="F120" s="87"/>
      <c r="G120" s="87"/>
      <c r="H120" s="87">
        <v>0.5</v>
      </c>
      <c r="I120" s="53">
        <f t="shared" si="4"/>
        <v>6.8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50</v>
      </c>
      <c r="B121" s="60">
        <v>295</v>
      </c>
      <c r="C121" s="60">
        <v>8</v>
      </c>
      <c r="D121" s="60">
        <v>12</v>
      </c>
      <c r="E121" s="87">
        <v>0.5</v>
      </c>
      <c r="F121" s="87"/>
      <c r="G121" s="87"/>
      <c r="H121" s="87">
        <v>0.5</v>
      </c>
      <c r="I121" s="53">
        <f t="shared" si="4"/>
        <v>6.2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55</v>
      </c>
      <c r="B122" s="60">
        <v>309</v>
      </c>
      <c r="C122" s="60">
        <v>9</v>
      </c>
      <c r="D122" s="60">
        <v>11</v>
      </c>
      <c r="E122" s="87">
        <v>0.6</v>
      </c>
      <c r="F122" s="87"/>
      <c r="G122" s="87"/>
      <c r="H122" s="87">
        <v>0.4</v>
      </c>
      <c r="I122" s="53">
        <f t="shared" si="4"/>
        <v>5.2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60</v>
      </c>
      <c r="B123" s="60">
        <v>323</v>
      </c>
      <c r="C123" s="60">
        <v>10</v>
      </c>
      <c r="D123" s="60">
        <v>323</v>
      </c>
      <c r="E123" s="87">
        <v>0.7</v>
      </c>
      <c r="F123" s="87"/>
      <c r="G123" s="87"/>
      <c r="H123" s="87">
        <v>0.3</v>
      </c>
      <c r="I123" s="53">
        <f t="shared" si="4"/>
        <v>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Peuplier Koster</v>
      </c>
      <c r="C136" s="23" t="s">
        <v>324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8</v>
      </c>
      <c r="B140" s="60">
        <v>8</v>
      </c>
      <c r="C140" s="50">
        <v>1</v>
      </c>
      <c r="D140" s="60">
        <v>0</v>
      </c>
      <c r="E140" s="51"/>
      <c r="F140" s="51"/>
      <c r="G140" s="51"/>
      <c r="H140" s="51"/>
      <c r="I140" s="57">
        <f>IFERROR(B140/A140,"")</f>
        <v>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9</v>
      </c>
      <c r="B141" s="60">
        <v>29</v>
      </c>
      <c r="C141" s="50">
        <v>2</v>
      </c>
      <c r="D141" s="60">
        <v>0</v>
      </c>
      <c r="E141" s="51"/>
      <c r="F141" s="51"/>
      <c r="G141" s="51"/>
      <c r="H141" s="51"/>
      <c r="I141" s="57">
        <f t="shared" ref="I141:I159" si="5">IF(A141&lt;&gt;0,(B141-(B140-D140))/(A141-A140),"")</f>
        <v>21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10</v>
      </c>
      <c r="B142" s="60">
        <v>52</v>
      </c>
      <c r="C142" s="50">
        <v>3</v>
      </c>
      <c r="D142" s="60">
        <v>0</v>
      </c>
      <c r="E142" s="51"/>
      <c r="F142" s="51"/>
      <c r="G142" s="51"/>
      <c r="H142" s="51"/>
      <c r="I142" s="57">
        <f t="shared" si="5"/>
        <v>23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11</v>
      </c>
      <c r="B143" s="60">
        <v>76</v>
      </c>
      <c r="C143" s="50">
        <v>4</v>
      </c>
      <c r="D143" s="60">
        <v>0</v>
      </c>
      <c r="E143" s="51"/>
      <c r="F143" s="51"/>
      <c r="G143" s="51"/>
      <c r="H143" s="51"/>
      <c r="I143" s="57">
        <f t="shared" si="5"/>
        <v>24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12</v>
      </c>
      <c r="B144" s="60">
        <v>102</v>
      </c>
      <c r="C144" s="50">
        <v>5</v>
      </c>
      <c r="D144" s="60">
        <v>0</v>
      </c>
      <c r="E144" s="51"/>
      <c r="F144" s="51"/>
      <c r="G144" s="51"/>
      <c r="H144" s="51"/>
      <c r="I144" s="57">
        <f t="shared" si="5"/>
        <v>26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13</v>
      </c>
      <c r="B145" s="60">
        <v>125</v>
      </c>
      <c r="C145" s="50">
        <v>6</v>
      </c>
      <c r="D145" s="60">
        <v>0</v>
      </c>
      <c r="E145" s="51"/>
      <c r="F145" s="51"/>
      <c r="G145" s="51"/>
      <c r="H145" s="51"/>
      <c r="I145" s="57">
        <f t="shared" si="5"/>
        <v>23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14</v>
      </c>
      <c r="B146" s="60">
        <v>149</v>
      </c>
      <c r="C146" s="50">
        <v>7</v>
      </c>
      <c r="D146" s="60">
        <v>0</v>
      </c>
      <c r="E146" s="51"/>
      <c r="F146" s="51"/>
      <c r="G146" s="51"/>
      <c r="H146" s="51"/>
      <c r="I146" s="57">
        <f t="shared" si="5"/>
        <v>24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15</v>
      </c>
      <c r="B147" s="60">
        <v>172</v>
      </c>
      <c r="C147" s="50">
        <v>8</v>
      </c>
      <c r="D147" s="60">
        <v>0</v>
      </c>
      <c r="E147" s="51"/>
      <c r="F147" s="51"/>
      <c r="G147" s="51"/>
      <c r="H147" s="51"/>
      <c r="I147" s="57">
        <f>IF(A147&lt;&gt;0,(B147-(B146-D146))/(A147-A146),"")</f>
        <v>23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16</v>
      </c>
      <c r="B148" s="60">
        <v>193</v>
      </c>
      <c r="C148" s="50">
        <v>9</v>
      </c>
      <c r="D148" s="60">
        <v>0</v>
      </c>
      <c r="E148" s="51"/>
      <c r="F148" s="51"/>
      <c r="G148" s="51"/>
      <c r="H148" s="51"/>
      <c r="I148" s="57">
        <f t="shared" si="5"/>
        <v>21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17</v>
      </c>
      <c r="B149" s="60">
        <v>212</v>
      </c>
      <c r="C149" s="50">
        <v>10</v>
      </c>
      <c r="D149" s="60">
        <v>0</v>
      </c>
      <c r="E149" s="51"/>
      <c r="F149" s="51"/>
      <c r="G149" s="51"/>
      <c r="H149" s="51"/>
      <c r="I149" s="57">
        <f t="shared" si="5"/>
        <v>19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18</v>
      </c>
      <c r="B150" s="60">
        <v>230</v>
      </c>
      <c r="C150" s="50">
        <v>11</v>
      </c>
      <c r="D150" s="60">
        <v>0</v>
      </c>
      <c r="E150" s="51"/>
      <c r="F150" s="51"/>
      <c r="G150" s="51"/>
      <c r="H150" s="51"/>
      <c r="I150" s="57">
        <f t="shared" si="5"/>
        <v>18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19</v>
      </c>
      <c r="B151" s="60">
        <v>245</v>
      </c>
      <c r="C151" s="50">
        <v>12</v>
      </c>
      <c r="D151" s="60">
        <v>0</v>
      </c>
      <c r="E151" s="51"/>
      <c r="F151" s="51"/>
      <c r="G151" s="51"/>
      <c r="H151" s="51"/>
      <c r="I151" s="57">
        <f t="shared" si="5"/>
        <v>15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20</v>
      </c>
      <c r="B152" s="60">
        <v>259</v>
      </c>
      <c r="C152" s="50">
        <v>13</v>
      </c>
      <c r="D152" s="60">
        <v>259</v>
      </c>
      <c r="E152" s="54">
        <v>0.47</v>
      </c>
      <c r="F152" s="54">
        <v>0.21</v>
      </c>
      <c r="G152" s="54"/>
      <c r="H152" s="54">
        <v>0.31</v>
      </c>
      <c r="I152" s="57">
        <f t="shared" si="5"/>
        <v>14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6" sqref="C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0.66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0.34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Mélèze d'Europe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rouge d'Amérique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Robinier faux-acacia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Peuplier Koster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3.3000000000000003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12.100000000000001</v>
      </c>
      <c r="H3" s="67">
        <f>(B3+E3+F3)*44/12+(C3+D3)*0.475*44/12</f>
        <v>208.26666666666665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196.16666666666666</v>
      </c>
      <c r="S3" s="59">
        <f ca="1">AVERAGE(OFFSET($R$3,0,0,'Données projet'!$E$9+1,1))-AVERAGE(OFFSET($H$3,0,0,'Données projet'!$E$9+1,1))</f>
        <v>414.37917672189968</v>
      </c>
      <c r="T3" s="59">
        <f>IF('Données projet'!E9&gt;30,$R$33-$H$33,LOOKUP('Données projet'!$E$9,$A$3:$A$203,R3:R203)-LOOKUP('Données projet'!$E$9,$A$3:$A$203,$H$3:$H$203))</f>
        <v>546.83385887302961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196.16666666666666</v>
      </c>
      <c r="AN3" s="59">
        <f ca="1">AVERAGE(OFFSET($AM$3,0,0,'Données projet'!$E$10+1,1))-AVERAGE(OFFSET($H$3,0,0,'Données projet'!$E$10+1,1))</f>
        <v>296.20984079604017</v>
      </c>
      <c r="AO3" s="59">
        <f>IF('Données projet'!E10&gt;30,$AM$33-$H$33,LOOKUP('Données projet'!$E$10,$A$3:$A$203,AM3:AM203)-LOOKUP('Données projet'!$E$10,$A$3:$A$203,$H$3:$H$203))</f>
        <v>351.8406329895206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196.16666666666666</v>
      </c>
      <c r="BI3" s="59">
        <f ca="1">AVERAGE(OFFSET($BH$3,0,0,'Données projet'!$E$11+1,1))-AVERAGE(OFFSET($H$3,0,0,'Données projet'!$E$11+1,1))</f>
        <v>385.40047672167555</v>
      </c>
      <c r="BJ3" s="59">
        <f>IF('Données projet'!E11&gt;30,$BH$33-$H$33,LOOKUP('Données projet'!$E$11,$A$3:$A$203,BH3:BH203)-LOOKUP('Données projet'!$E$11,$A$3:$A$203,$H$3:$H$203))</f>
        <v>286.49293757741611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196.16666666666666</v>
      </c>
      <c r="CD3" s="59">
        <f ca="1">AVERAGE(OFFSET($CC$3,0,0,'Données projet'!$E$12+1,1))-AVERAGE(OFFSET($H$3,0,0,'Données projet'!$E$12+1,1))</f>
        <v>397.12030701006762</v>
      </c>
      <c r="CE3" s="59">
        <f>IF('Données projet'!E12&gt;30,$CC$33-$H$33,LOOKUP('Données projet'!$E$12,$A$3:$A$203,CC3:CC203)-LOOKUP('Données projet'!$E$12,$A$3:$A$203,$H$3:$H$203))</f>
        <v>476.47513516380047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196.16666666666666</v>
      </c>
      <c r="CY3" s="59">
        <f ca="1">AVERAGE(OFFSET($CX$3,0,0,'Données projet'!$E$13+1,1))-AVERAGE(OFFSET($H$3,0,0,'Données projet'!$E$13+1,1))</f>
        <v>110.43805901666033</v>
      </c>
      <c r="CZ3" s="59">
        <f>IF('Données projet'!E13&gt;30,$CX$33-$H$33,LOOKUP('Données projet'!$E$13,$A$3:$A$203,CX3:CX203)-LOOKUP('Données projet'!$E$13,$A$3:$A$203,$H$3:$H$203))</f>
        <v>319.51880962151881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3.3000000000000003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12.100000000000001</v>
      </c>
      <c r="H4" s="67">
        <f t="shared" ref="H4:H67" si="1">(B4+E4+F4)*44/12+(C4+D4)*0.475*44/12</f>
        <v>208.26666666666665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10.163529411764706</v>
      </c>
      <c r="N4" s="13">
        <f>IF('Données projet'!$A$36&gt;35,N3+M4-V3,IF(A4&lt;'Données projet'!$A$36,$K$205^A4,IF(A4='Données projet'!$A$36,'Données projet'!$B$36,N3+M4-V3)))</f>
        <v>1.3539956307764309</v>
      </c>
      <c r="O4" s="13">
        <f>N4*VLOOKUP('Données projet'!$B$9,Paramètres!$A$1:$I$89,3,0)*VLOOKUP('Données projet'!$B$9,Paramètres!$A$1:$I$89,5,0)</f>
        <v>0.75688355760402493</v>
      </c>
      <c r="P4" s="13">
        <f>EXP(-1.0587+0.8836*LN(O4)+0.284)</f>
        <v>0.36029824926500498</v>
      </c>
      <c r="Q4" s="20">
        <f t="shared" ref="Q4:Q34" si="2">(O4+P4)*0.475*44/12</f>
        <v>1.945758313630227</v>
      </c>
      <c r="R4" s="59">
        <f t="shared" si="0"/>
        <v>200.38418694478219</v>
      </c>
      <c r="S4" s="59">
        <f ca="1">AVERAGE(OFFSET($R$3,0,0,'Données projet'!$E$9+1,1))-AVERAGE(OFFSET($H$3,0,0,'Données projet'!$E$9+1,1))</f>
        <v>414.37917672189968</v>
      </c>
      <c r="T4" s="59">
        <f>$T$3</f>
        <v>546.83385887302961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2.7</v>
      </c>
      <c r="AI4" s="13">
        <f>IF('Données projet'!$A$62&gt;35,AI3+AH4-AQ3,IF(A4&lt;'Données projet'!$A$62,$AF$205^A4,IF(A4='Données projet'!$A$62,'Données projet'!$B$62,AI3+AH4-AQ3)))</f>
        <v>1.3903891703159093</v>
      </c>
      <c r="AJ4" s="13">
        <f>AI4*VLOOKUP('Données projet'!$B$10,Paramètres!$A$1:$I$89,3,0)*VLOOKUP('Données projet'!$B$10,Paramètres!$A$1:$I$89,5,0)</f>
        <v>0.86760284227712736</v>
      </c>
      <c r="AK4" s="13">
        <f>EXP(-1.0587+0.8836*LN(AJ4)+0.284)</f>
        <v>0.40649243773012311</v>
      </c>
      <c r="AL4" s="20">
        <f t="shared" ref="AL4:AL67" si="4">(AJ4+AK4)*0.475*44/12</f>
        <v>2.2190492793459611</v>
      </c>
      <c r="AM4" s="59">
        <f t="shared" ref="AM4:AM67" si="5">AL4+(AD4+AE4)*44/12</f>
        <v>200.65747791049793</v>
      </c>
      <c r="AN4" s="59">
        <f ca="1">AVERAGE(OFFSET($AM$3,0,0,'Données projet'!$E$10+1,1))-AVERAGE(OFFSET($H$3,0,0,'Données projet'!$E$10+1,1))</f>
        <v>296.20984079604017</v>
      </c>
      <c r="AO4" s="59">
        <f>$AO$3</f>
        <v>351.8406329895206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4.6587096774193544</v>
      </c>
      <c r="BD4" s="12">
        <f>IF('Données projet'!$A$88&gt;35,BD3+BC4-BL3,IF(A4&lt;'Données projet'!$A$88,$BA$205^A4,IF(A4='Données projet'!$A$88,'Données projet'!$B$88,BD3+BC4-BL3)))</f>
        <v>1.1739927044624925</v>
      </c>
      <c r="BE4" s="13">
        <f>BD4*VLOOKUP('Données projet'!$B$11,Paramètres!$A$1:$I$89,3,0)*VLOOKUP('Données projet'!$B$11,Paramètres!$A$1:$I$89,5,0)</f>
        <v>1.0256000266184335</v>
      </c>
      <c r="BF4" s="13">
        <f>EXP(-1.0587+0.8836*LN(BE4)+0.284)</f>
        <v>0.47125095832597352</v>
      </c>
      <c r="BG4" s="20">
        <f t="shared" ref="BG4:BG67" si="7">(BE4+BF4)*0.475*44/12</f>
        <v>2.6070154654448423</v>
      </c>
      <c r="BH4" s="59">
        <f t="shared" ref="BH4:BH67" si="8">BG4+(AY4+AZ4)*44/12</f>
        <v>201.04544409659681</v>
      </c>
      <c r="BI4" s="59">
        <f ca="1">AVERAGE(OFFSET($BH$3,0,0,'Données projet'!$E$11+1,1))-AVERAGE(OFFSET($H$3,0,0,'Données projet'!$E$11+1,1))</f>
        <v>385.40047672167555</v>
      </c>
      <c r="BJ4" s="59">
        <f>$BJ$3</f>
        <v>286.49293757741611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</v>
      </c>
      <c r="BY4" s="12">
        <f>IF('Données projet'!$A$114&gt;35,BY3+BX4-CG3,IF(A4&lt;'Données projet'!$A$114,$BV$205^A4,IF(A4='Données projet'!$A$114,'Données projet'!$B$114,BY3+BX4-CG3)))</f>
        <v>1.3868268816226086</v>
      </c>
      <c r="BZ4" s="13">
        <f>BY4*VLOOKUP('Données projet'!$B$12,Paramètres!$A$1:$I$89,3,0)*VLOOKUP('Données projet'!$B$12,Paramètres!$A$1:$I$89,5,0)</f>
        <v>1.2548009624921361</v>
      </c>
      <c r="CA4" s="13">
        <f>EXP(-1.0587+0.8836*LN(BZ4)+0.284)</f>
        <v>0.56318722669368382</v>
      </c>
      <c r="CB4" s="20">
        <f t="shared" ref="CB4:CB67" si="10">(BZ4+CA4)*0.475*44/12</f>
        <v>3.1663294294986368</v>
      </c>
      <c r="CC4" s="59">
        <f t="shared" ref="CC4:CC67" si="11">CB4+(BT4+BU4)*44/12</f>
        <v>201.6047580606506</v>
      </c>
      <c r="CD4" s="59">
        <f ca="1">AVERAGE(OFFSET($CC$3,0,0,'Données projet'!$E$12+1,1))-AVERAGE(OFFSET($H$3,0,0,'Données projet'!$E$12+1,1))</f>
        <v>397.12030701006762</v>
      </c>
      <c r="CE4" s="59">
        <f>$CE$3</f>
        <v>476.47513516380047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</v>
      </c>
      <c r="CT4" s="12">
        <f>IF('Données projet'!$A$140&gt;35,CT3+CS4-DB3,IF(A4&lt;'Données projet'!$A$140,$CQ$205^A4,IF(A4='Données projet'!$A$140,'Données projet'!$B$140,CT3+CS4-DB3)))</f>
        <v>1.2968395546510096</v>
      </c>
      <c r="CU4" s="17">
        <f>CT4*VLOOKUP('Données projet'!$B$13,Paramètres!$A$1:$I$89,3,0)*VLOOKUP('Données projet'!$B$13,Paramètres!$A$1:$I$89,5,0)</f>
        <v>0.65952072391331751</v>
      </c>
      <c r="CV4" s="13">
        <f>EXP(-1.0587+0.8836*LN(CU4)+0.284)</f>
        <v>0.31902323929767035</v>
      </c>
      <c r="CW4" s="20">
        <f t="shared" ref="CW4:CW67" si="13">(CU4+CV4)*0.475*44/12</f>
        <v>1.7042974025924702</v>
      </c>
      <c r="CX4" s="59">
        <f t="shared" ref="CX4:CX67" si="14">CW4+(CO4+CP4)*44/12</f>
        <v>200.14272603374442</v>
      </c>
      <c r="CY4" s="59">
        <f ca="1">AVERAGE(OFFSET($CX$3,0,0,'Données projet'!$E$13+1,1))-AVERAGE(OFFSET($H$3,0,0,'Données projet'!$E$13+1,1))</f>
        <v>110.43805901666033</v>
      </c>
      <c r="CZ4" s="59">
        <f>$CZ$3</f>
        <v>319.51880962151881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3.3000000000000003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12.100000000000001</v>
      </c>
      <c r="H5" s="67">
        <f t="shared" si="1"/>
        <v>208.26666666666665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10.163529411764706</v>
      </c>
      <c r="N5" s="13">
        <f>IF('Données projet'!$A$36&gt;35,N4+M5-V4,IF(A5&lt;'Données projet'!$A$36,$K$205^A5,IF(A5='Données projet'!$A$36,'Données projet'!$B$36,N4+M5-V4)))</f>
        <v>1.8333041681616651</v>
      </c>
      <c r="O5" s="13">
        <f>N5*VLOOKUP('Données projet'!$B$9,Paramètres!$A$1:$I$89,3,0)*VLOOKUP('Données projet'!$B$9,Paramètres!$A$1:$I$89,5,0)</f>
        <v>1.0248170300023709</v>
      </c>
      <c r="P5" s="13">
        <f t="shared" ref="P5:P68" si="33">EXP(-1.0587+0.8836*LN(O5)+0.284)</f>
        <v>0.47093304471840119</v>
      </c>
      <c r="Q5" s="20">
        <f t="shared" si="2"/>
        <v>2.6050980468053448</v>
      </c>
      <c r="R5" s="59">
        <f t="shared" si="0"/>
        <v>203.29708147433371</v>
      </c>
      <c r="S5" s="59">
        <f ca="1">AVERAGE(OFFSET($R$3,0,0,'Données projet'!$E$9+1,1))-AVERAGE(OFFSET($H$3,0,0,'Données projet'!$E$9+1,1))</f>
        <v>414.37917672189968</v>
      </c>
      <c r="T5" s="59">
        <f t="shared" ref="T5:T68" si="34">$T$3</f>
        <v>546.83385887302961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2.7</v>
      </c>
      <c r="AI5" s="13">
        <f>IF('Données projet'!$A$62&gt;35,AI4+AH5-AQ4,IF(A5&lt;'Données projet'!$A$62,$AF$205^A5,IF(A5='Données projet'!$A$62,'Données projet'!$B$62,AI4+AH5-AQ4)))</f>
        <v>1.9331820449317625</v>
      </c>
      <c r="AJ5" s="13">
        <f>AI5*VLOOKUP('Données projet'!$B$10,Paramètres!$A$1:$I$89,3,0)*VLOOKUP('Données projet'!$B$10,Paramètres!$A$1:$I$89,5,0)</f>
        <v>1.2063055960374198</v>
      </c>
      <c r="AK5" s="13">
        <f t="shared" ref="AK5:AK68" si="35">EXP(-1.0587+0.8836*LN(AJ5)+0.284)</f>
        <v>0.54391091318892137</v>
      </c>
      <c r="AL5" s="20">
        <f t="shared" si="4"/>
        <v>3.0482937535692103</v>
      </c>
      <c r="AM5" s="59">
        <f t="shared" si="5"/>
        <v>203.74027718109755</v>
      </c>
      <c r="AN5" s="59">
        <f ca="1">AVERAGE(OFFSET($AM$3,0,0,'Données projet'!$E$10+1,1))-AVERAGE(OFFSET($H$3,0,0,'Données projet'!$E$10+1,1))</f>
        <v>296.20984079604017</v>
      </c>
      <c r="AO5" s="59">
        <f t="shared" ref="AO5:AO68" si="36">$AO$3</f>
        <v>351.8406329895206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4.6587096774193544</v>
      </c>
      <c r="BD5" s="12">
        <f>IF('Données projet'!$A$88&gt;35,BD4+BC5-BL4,IF(A5&lt;'Données projet'!$A$88,$BA$205^A5,IF(A5='Données projet'!$A$88,'Données projet'!$B$88,BD4+BC5-BL4)))</f>
        <v>1.3782588701311573</v>
      </c>
      <c r="BE5" s="13">
        <f>BD5*VLOOKUP('Données projet'!$B$11,Paramètres!$A$1:$I$89,3,0)*VLOOKUP('Données projet'!$B$11,Paramètres!$A$1:$I$89,5,0)</f>
        <v>1.2040469489465793</v>
      </c>
      <c r="BF5" s="13">
        <f t="shared" ref="BF5:BF68" si="37">EXP(-1.0587+0.8836*LN(BE5)+0.284)</f>
        <v>0.54301095595494286</v>
      </c>
      <c r="BG5" s="20">
        <f t="shared" si="7"/>
        <v>3.042792517703484</v>
      </c>
      <c r="BH5" s="59">
        <f t="shared" si="8"/>
        <v>203.73477594523183</v>
      </c>
      <c r="BI5" s="59">
        <f ca="1">AVERAGE(OFFSET($BH$3,0,0,'Données projet'!$E$11+1,1))-AVERAGE(OFFSET($H$3,0,0,'Données projet'!$E$11+1,1))</f>
        <v>385.40047672167555</v>
      </c>
      <c r="BJ5" s="59">
        <f t="shared" ref="BJ5:BJ68" si="38">$BJ$3</f>
        <v>286.49293757741611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</v>
      </c>
      <c r="BY5" s="12">
        <f>IF('Données projet'!$A$114&gt;35,BY4+BX5-CG4,IF(A5&lt;'Données projet'!$A$114,$BV$205^A5,IF(A5='Données projet'!$A$114,'Données projet'!$B$114,BY4+BX5-CG4)))</f>
        <v>1.9232887995910888</v>
      </c>
      <c r="BZ5" s="13">
        <f>BY5*VLOOKUP('Données projet'!$B$12,Paramètres!$A$1:$I$89,3,0)*VLOOKUP('Données projet'!$B$12,Paramètres!$A$1:$I$89,5,0)</f>
        <v>1.7401917058700171</v>
      </c>
      <c r="CA5" s="13">
        <f t="shared" ref="CA5:CA68" si="39">EXP(-1.0587+0.8836*LN(BZ5)+0.284)</f>
        <v>0.75187155962584373</v>
      </c>
      <c r="CB5" s="20">
        <f t="shared" si="10"/>
        <v>4.3403435207386236</v>
      </c>
      <c r="CC5" s="59">
        <f t="shared" si="11"/>
        <v>205.03232694826698</v>
      </c>
      <c r="CD5" s="59">
        <f ca="1">AVERAGE(OFFSET($CC$3,0,0,'Données projet'!$E$12+1,1))-AVERAGE(OFFSET($H$3,0,0,'Données projet'!$E$12+1,1))</f>
        <v>397.12030701006762</v>
      </c>
      <c r="CE5" s="59">
        <f t="shared" ref="CE5:CE68" si="40">$CE$3</f>
        <v>476.47513516380047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</v>
      </c>
      <c r="CT5" s="12">
        <f>IF('Données projet'!$A$140&gt;35,CT4+CS5-DB4,IF(A5&lt;'Données projet'!$A$140,$CQ$205^A5,IF(A5='Données projet'!$A$140,'Données projet'!$B$140,CT4+CS5-DB4)))</f>
        <v>1.681792830507429</v>
      </c>
      <c r="CU5" s="17">
        <f>CT5*VLOOKUP('Données projet'!$B$13,Paramètres!$A$1:$I$89,3,0)*VLOOKUP('Données projet'!$B$13,Paramètres!$A$1:$I$89,5,0)</f>
        <v>0.85529256188285807</v>
      </c>
      <c r="CV5" s="13">
        <f t="shared" ref="CV5:CV68" si="41">EXP(-1.0587+0.8836*LN(CU5)+0.284)</f>
        <v>0.40139190485138254</v>
      </c>
      <c r="CW5" s="20">
        <f t="shared" si="13"/>
        <v>2.1887254462288022</v>
      </c>
      <c r="CX5" s="59">
        <f t="shared" si="14"/>
        <v>202.88070887375716</v>
      </c>
      <c r="CY5" s="59">
        <f ca="1">AVERAGE(OFFSET($CX$3,0,0,'Données projet'!$E$13+1,1))-AVERAGE(OFFSET($H$3,0,0,'Données projet'!$E$13+1,1))</f>
        <v>110.43805901666033</v>
      </c>
      <c r="CZ5" s="59">
        <f t="shared" ref="CZ5:CZ68" si="42">$CZ$3</f>
        <v>319.51880962151881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3.3000000000000003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12.100000000000001</v>
      </c>
      <c r="H6" s="67">
        <f t="shared" si="1"/>
        <v>208.26666666666665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10.163529411764706</v>
      </c>
      <c r="N6" s="13">
        <f>IF('Données projet'!$A$36&gt;35,N5+M6-V5,IF(A6&lt;'Données projet'!$A$36,$K$205^A6,IF(A6='Données projet'!$A$36,'Données projet'!$B$36,N5+M6-V5)))</f>
        <v>2.4822858335751139</v>
      </c>
      <c r="O6" s="13">
        <f>N6*VLOOKUP('Données projet'!$B$9,Paramètres!$A$1:$I$89,3,0)*VLOOKUP('Données projet'!$B$9,Paramètres!$A$1:$I$89,5,0)</f>
        <v>1.3875977809684887</v>
      </c>
      <c r="P6" s="13">
        <f t="shared" si="33"/>
        <v>0.61553985638332231</v>
      </c>
      <c r="Q6" s="20">
        <f t="shared" si="2"/>
        <v>3.4887980517210706</v>
      </c>
      <c r="R6" s="59">
        <f t="shared" si="0"/>
        <v>206.41644496117843</v>
      </c>
      <c r="S6" s="59">
        <f ca="1">AVERAGE(OFFSET($R$3,0,0,'Données projet'!$E$9+1,1))-AVERAGE(OFFSET($H$3,0,0,'Données projet'!$E$9+1,1))</f>
        <v>414.37917672189968</v>
      </c>
      <c r="T6" s="59">
        <f t="shared" si="34"/>
        <v>546.83385887302961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2.7</v>
      </c>
      <c r="AI6" s="13">
        <f>IF('Données projet'!$A$62&gt;35,AI5+AH6-AQ5,IF(A6&lt;'Données projet'!$A$62,$AF$205^A6,IF(A6='Données projet'!$A$62,'Données projet'!$B$62,AI5+AH6-AQ5)))</f>
        <v>2.6878753795222861</v>
      </c>
      <c r="AJ6" s="13">
        <f>AI6*VLOOKUP('Données projet'!$B$10,Paramètres!$A$1:$I$89,3,0)*VLOOKUP('Données projet'!$B$10,Paramètres!$A$1:$I$89,5,0)</f>
        <v>1.6772342368219066</v>
      </c>
      <c r="AK6" s="13">
        <f t="shared" si="35"/>
        <v>0.72778495742255067</v>
      </c>
      <c r="AL6" s="20">
        <f t="shared" si="4"/>
        <v>4.1887417633090962</v>
      </c>
      <c r="AM6" s="59">
        <f t="shared" si="5"/>
        <v>207.11638867276645</v>
      </c>
      <c r="AN6" s="59">
        <f ca="1">AVERAGE(OFFSET($AM$3,0,0,'Données projet'!$E$10+1,1))-AVERAGE(OFFSET($H$3,0,0,'Données projet'!$E$10+1,1))</f>
        <v>296.20984079604017</v>
      </c>
      <c r="AO6" s="59">
        <f t="shared" si="36"/>
        <v>351.8406329895206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4.6587096774193544</v>
      </c>
      <c r="BD6" s="12">
        <f>IF('Données projet'!$A$88&gt;35,BD5+BC6-BL5,IF(A6&lt;'Données projet'!$A$88,$BA$205^A6,IF(A6='Données projet'!$A$88,'Données projet'!$B$88,BD5+BC6-BL5)))</f>
        <v>1.6180658583946965</v>
      </c>
      <c r="BE6" s="13">
        <f>BD6*VLOOKUP('Données projet'!$B$11,Paramètres!$A$1:$I$89,3,0)*VLOOKUP('Données projet'!$B$11,Paramètres!$A$1:$I$89,5,0)</f>
        <v>1.4135423338936071</v>
      </c>
      <c r="BF6" s="13">
        <f t="shared" si="37"/>
        <v>0.62569824650232264</v>
      </c>
      <c r="BG6" s="20">
        <f t="shared" si="7"/>
        <v>3.5516773441895779</v>
      </c>
      <c r="BH6" s="59">
        <f t="shared" si="8"/>
        <v>206.47932425364695</v>
      </c>
      <c r="BI6" s="59">
        <f ca="1">AVERAGE(OFFSET($BH$3,0,0,'Données projet'!$E$11+1,1))-AVERAGE(OFFSET($H$3,0,0,'Données projet'!$E$11+1,1))</f>
        <v>385.40047672167555</v>
      </c>
      <c r="BJ6" s="59">
        <f t="shared" si="38"/>
        <v>286.49293757741611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</v>
      </c>
      <c r="BY6" s="12">
        <f>IF('Données projet'!$A$114&gt;35,BY5+BX6-CG5,IF(A6&lt;'Données projet'!$A$114,$BV$205^A6,IF(A6='Données projet'!$A$114,'Données projet'!$B$114,BY5+BX6-CG5)))</f>
        <v>2.6672686083965997</v>
      </c>
      <c r="BZ6" s="13">
        <f>BY6*VLOOKUP('Données projet'!$B$12,Paramètres!$A$1:$I$89,3,0)*VLOOKUP('Données projet'!$B$12,Paramètres!$A$1:$I$89,5,0)</f>
        <v>2.4133446368772433</v>
      </c>
      <c r="CA6" s="13">
        <f t="shared" si="39"/>
        <v>1.0037707095968456</v>
      </c>
      <c r="CB6" s="20">
        <f t="shared" si="10"/>
        <v>5.9514758951090379</v>
      </c>
      <c r="CC6" s="59">
        <f t="shared" si="11"/>
        <v>208.87912280456641</v>
      </c>
      <c r="CD6" s="59">
        <f ca="1">AVERAGE(OFFSET($CC$3,0,0,'Données projet'!$E$12+1,1))-AVERAGE(OFFSET($H$3,0,0,'Données projet'!$E$12+1,1))</f>
        <v>397.12030701006762</v>
      </c>
      <c r="CE6" s="59">
        <f t="shared" si="40"/>
        <v>476.47513516380047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</v>
      </c>
      <c r="CT6" s="12">
        <f>IF('Données projet'!$A$140&gt;35,CT5+CS6-DB5,IF(A6&lt;'Données projet'!$A$140,$CQ$205^A6,IF(A6='Données projet'!$A$140,'Données projet'!$B$140,CT5+CS6-DB5)))</f>
        <v>2.1810154653305154</v>
      </c>
      <c r="CU6" s="17">
        <f>CT6*VLOOKUP('Données projet'!$B$13,Paramètres!$A$1:$I$89,3,0)*VLOOKUP('Données projet'!$B$13,Paramètres!$A$1:$I$89,5,0)</f>
        <v>1.109177225048487</v>
      </c>
      <c r="CV6" s="13">
        <f t="shared" si="41"/>
        <v>0.50502735046800051</v>
      </c>
      <c r="CW6" s="20">
        <f t="shared" si="13"/>
        <v>2.8114063023578826</v>
      </c>
      <c r="CX6" s="59">
        <f t="shared" si="14"/>
        <v>205.73905321181525</v>
      </c>
      <c r="CY6" s="59">
        <f ca="1">AVERAGE(OFFSET($CX$3,0,0,'Données projet'!$E$13+1,1))-AVERAGE(OFFSET($H$3,0,0,'Données projet'!$E$13+1,1))</f>
        <v>110.43805901666033</v>
      </c>
      <c r="CZ6" s="59">
        <f t="shared" si="42"/>
        <v>319.51880962151881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3.3000000000000003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12.100000000000001</v>
      </c>
      <c r="H7" s="67">
        <f t="shared" si="1"/>
        <v>208.26666666666665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10.163529411764706</v>
      </c>
      <c r="N7" s="13">
        <f>IF('Données projet'!$A$36&gt;35,N6+M7-V6,IF(A7&lt;'Données projet'!$A$36,$K$205^A7,IF(A7='Données projet'!$A$36,'Données projet'!$B$36,N6+M7-V6)))</f>
        <v>3.3610041729989346</v>
      </c>
      <c r="O7" s="13">
        <f>N7*VLOOKUP('Données projet'!$B$9,Paramètres!$A$1:$I$89,3,0)*VLOOKUP('Données projet'!$B$9,Paramètres!$A$1:$I$89,5,0)</f>
        <v>1.8788013327064044</v>
      </c>
      <c r="P7" s="13">
        <f t="shared" si="33"/>
        <v>0.80455028383697591</v>
      </c>
      <c r="Q7" s="20">
        <f t="shared" si="2"/>
        <v>4.6735040654797206</v>
      </c>
      <c r="R7" s="59">
        <f t="shared" si="0"/>
        <v>209.8192335167254</v>
      </c>
      <c r="S7" s="59">
        <f ca="1">AVERAGE(OFFSET($R$3,0,0,'Données projet'!$E$9+1,1))-AVERAGE(OFFSET($H$3,0,0,'Données projet'!$E$9+1,1))</f>
        <v>414.37917672189968</v>
      </c>
      <c r="T7" s="59">
        <f t="shared" si="34"/>
        <v>546.83385887302961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2.7</v>
      </c>
      <c r="AI7" s="13">
        <f>IF('Données projet'!$A$62&gt;35,AI6+AH7-AQ6,IF(A7&lt;'Données projet'!$A$62,$AF$205^A7,IF(A7='Données projet'!$A$62,'Données projet'!$B$62,AI6+AH7-AQ6)))</f>
        <v>3.7371928188465509</v>
      </c>
      <c r="AJ7" s="13">
        <f>AI7*VLOOKUP('Données projet'!$B$10,Paramètres!$A$1:$I$89,3,0)*VLOOKUP('Données projet'!$B$10,Paramètres!$A$1:$I$89,5,0)</f>
        <v>2.3320083189602476</v>
      </c>
      <c r="AK7" s="13">
        <f t="shared" si="35"/>
        <v>0.97381929909276987</v>
      </c>
      <c r="AL7" s="20">
        <f t="shared" si="4"/>
        <v>5.7576497681090046</v>
      </c>
      <c r="AM7" s="59">
        <f t="shared" si="5"/>
        <v>210.90337921935469</v>
      </c>
      <c r="AN7" s="59">
        <f ca="1">AVERAGE(OFFSET($AM$3,0,0,'Données projet'!$E$10+1,1))-AVERAGE(OFFSET($H$3,0,0,'Données projet'!$E$10+1,1))</f>
        <v>296.20984079604017</v>
      </c>
      <c r="AO7" s="59">
        <f t="shared" si="36"/>
        <v>351.8406329895206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4.6587096774193544</v>
      </c>
      <c r="BD7" s="12">
        <f>IF('Données projet'!$A$88&gt;35,BD6+BC7-BL6,IF(A7&lt;'Données projet'!$A$88,$BA$205^A7,IF(A7='Données projet'!$A$88,'Données projet'!$B$88,BD6+BC7-BL6)))</f>
        <v>1.8995975130952145</v>
      </c>
      <c r="BE7" s="13">
        <f>BD7*VLOOKUP('Données projet'!$B$11,Paramètres!$A$1:$I$89,3,0)*VLOOKUP('Données projet'!$B$11,Paramètres!$A$1:$I$89,5,0)</f>
        <v>1.6594883874399797</v>
      </c>
      <c r="BF7" s="13">
        <f t="shared" si="37"/>
        <v>0.72097678947856558</v>
      </c>
      <c r="BG7" s="20">
        <f t="shared" si="7"/>
        <v>4.1459768497997995</v>
      </c>
      <c r="BH7" s="59">
        <f t="shared" si="8"/>
        <v>209.29170630104548</v>
      </c>
      <c r="BI7" s="59">
        <f ca="1">AVERAGE(OFFSET($BH$3,0,0,'Données projet'!$E$11+1,1))-AVERAGE(OFFSET($H$3,0,0,'Données projet'!$E$11+1,1))</f>
        <v>385.40047672167555</v>
      </c>
      <c r="BJ7" s="59">
        <f t="shared" si="38"/>
        <v>286.49293757741611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</v>
      </c>
      <c r="BY7" s="12">
        <f>IF('Données projet'!$A$114&gt;35,BY6+BX7-CG6,IF(A7&lt;'Données projet'!$A$114,$BV$205^A7,IF(A7='Données projet'!$A$114,'Données projet'!$B$114,BY6+BX7-CG6)))</f>
        <v>3.6990398066325314</v>
      </c>
      <c r="BZ7" s="13">
        <f>BY7*VLOOKUP('Données projet'!$B$12,Paramètres!$A$1:$I$89,3,0)*VLOOKUP('Données projet'!$B$12,Paramètres!$A$1:$I$89,5,0)</f>
        <v>3.3468912170411147</v>
      </c>
      <c r="CA7" s="13">
        <f t="shared" si="39"/>
        <v>1.3400635049235652</v>
      </c>
      <c r="CB7" s="20">
        <f t="shared" si="10"/>
        <v>8.1631128074218164</v>
      </c>
      <c r="CC7" s="59">
        <f t="shared" si="11"/>
        <v>213.30884225866748</v>
      </c>
      <c r="CD7" s="59">
        <f ca="1">AVERAGE(OFFSET($CC$3,0,0,'Données projet'!$E$12+1,1))-AVERAGE(OFFSET($H$3,0,0,'Données projet'!$E$12+1,1))</f>
        <v>397.12030701006762</v>
      </c>
      <c r="CE7" s="59">
        <f t="shared" si="40"/>
        <v>476.47513516380047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</v>
      </c>
      <c r="CT7" s="12">
        <f>IF('Données projet'!$A$140&gt;35,CT6+CS7-DB6,IF(A7&lt;'Données projet'!$A$140,$CQ$205^A7,IF(A7='Données projet'!$A$140,'Données projet'!$B$140,CT6+CS7-DB6)))</f>
        <v>2.8284271247461898</v>
      </c>
      <c r="CU7" s="17">
        <f>CT7*VLOOKUP('Données projet'!$B$13,Paramètres!$A$1:$I$89,3,0)*VLOOKUP('Données projet'!$B$13,Paramètres!$A$1:$I$89,5,0)</f>
        <v>1.4384248985609225</v>
      </c>
      <c r="CV7" s="13">
        <f t="shared" si="41"/>
        <v>0.63542044978501278</v>
      </c>
      <c r="CW7" s="20">
        <f t="shared" si="13"/>
        <v>3.6119473150358368</v>
      </c>
      <c r="CX7" s="59">
        <f t="shared" si="14"/>
        <v>208.75767676628152</v>
      </c>
      <c r="CY7" s="59">
        <f ca="1">AVERAGE(OFFSET($CX$3,0,0,'Données projet'!$E$13+1,1))-AVERAGE(OFFSET($H$3,0,0,'Données projet'!$E$13+1,1))</f>
        <v>110.43805901666033</v>
      </c>
      <c r="CZ7" s="59">
        <f t="shared" si="42"/>
        <v>319.51880962151881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3.3000000000000003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12.100000000000001</v>
      </c>
      <c r="H8" s="67">
        <f t="shared" si="1"/>
        <v>208.26666666666665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10.163529411764706</v>
      </c>
      <c r="N8" s="13">
        <f>IF('Données projet'!$A$36&gt;35,N7+M8-V7,IF(A8&lt;'Données projet'!$A$36,$K$205^A8,IF(A8='Données projet'!$A$36,'Données projet'!$B$36,N7+M8-V7)))</f>
        <v>4.5507849652619088</v>
      </c>
      <c r="O8" s="13">
        <f>N8*VLOOKUP('Données projet'!$B$9,Paramètres!$A$1:$I$89,3,0)*VLOOKUP('Données projet'!$B$9,Paramètres!$A$1:$I$89,5,0)</f>
        <v>2.5438887955814073</v>
      </c>
      <c r="P8" s="13">
        <f t="shared" si="33"/>
        <v>1.0515991003823111</v>
      </c>
      <c r="Q8" s="20">
        <f t="shared" si="2"/>
        <v>6.2621414188034761</v>
      </c>
      <c r="R8" s="59">
        <f t="shared" si="0"/>
        <v>213.60867746170319</v>
      </c>
      <c r="S8" s="59">
        <f ca="1">AVERAGE(OFFSET($R$3,0,0,'Données projet'!$E$9+1,1))-AVERAGE(OFFSET($H$3,0,0,'Données projet'!$E$9+1,1))</f>
        <v>414.37917672189968</v>
      </c>
      <c r="T8" s="59">
        <f t="shared" si="34"/>
        <v>546.83385887302961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2.7</v>
      </c>
      <c r="AI8" s="13">
        <f>IF('Données projet'!$A$62&gt;35,AI7+AH8-AQ7,IF(A8&lt;'Données projet'!$A$62,$AF$205^A8,IF(A8='Données projet'!$A$62,'Données projet'!$B$62,AI7+AH8-AQ7)))</f>
        <v>5.1961524227066302</v>
      </c>
      <c r="AJ8" s="13">
        <f>AI8*VLOOKUP('Données projet'!$B$10,Paramètres!$A$1:$I$89,3,0)*VLOOKUP('Données projet'!$B$10,Paramètres!$A$1:$I$89,5,0)</f>
        <v>3.2423991117689375</v>
      </c>
      <c r="AK8" s="13">
        <f t="shared" si="35"/>
        <v>1.3030277935999417</v>
      </c>
      <c r="AL8" s="20">
        <f t="shared" si="4"/>
        <v>7.9166185268507983</v>
      </c>
      <c r="AM8" s="59">
        <f t="shared" si="5"/>
        <v>215.26315456975053</v>
      </c>
      <c r="AN8" s="59">
        <f ca="1">AVERAGE(OFFSET($AM$3,0,0,'Données projet'!$E$10+1,1))-AVERAGE(OFFSET($H$3,0,0,'Données projet'!$E$10+1,1))</f>
        <v>296.20984079604017</v>
      </c>
      <c r="AO8" s="59">
        <f t="shared" si="36"/>
        <v>351.8406329895206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4.6587096774193544</v>
      </c>
      <c r="BD8" s="12">
        <f>IF('Données projet'!$A$88&gt;35,BD7+BC8-BL7,IF(A8&lt;'Données projet'!$A$88,$BA$205^A8,IF(A8='Données projet'!$A$88,'Données projet'!$B$88,BD7+BC8-BL7)))</f>
        <v>2.2301136217888757</v>
      </c>
      <c r="BE8" s="13">
        <f>BD8*VLOOKUP('Données projet'!$B$11,Paramètres!$A$1:$I$89,3,0)*VLOOKUP('Données projet'!$B$11,Paramètres!$A$1:$I$89,5,0)</f>
        <v>1.9482272599947619</v>
      </c>
      <c r="BF8" s="13">
        <f t="shared" si="37"/>
        <v>0.83076392473938343</v>
      </c>
      <c r="BG8" s="20">
        <f t="shared" si="7"/>
        <v>4.8400763134119691</v>
      </c>
      <c r="BH8" s="59">
        <f t="shared" si="8"/>
        <v>212.18661235631168</v>
      </c>
      <c r="BI8" s="59">
        <f ca="1">AVERAGE(OFFSET($BH$3,0,0,'Données projet'!$E$11+1,1))-AVERAGE(OFFSET($H$3,0,0,'Données projet'!$E$11+1,1))</f>
        <v>385.40047672167555</v>
      </c>
      <c r="BJ8" s="59">
        <f t="shared" si="38"/>
        <v>286.49293757741611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</v>
      </c>
      <c r="BY8" s="12">
        <f>IF('Données projet'!$A$114&gt;35,BY7+BX8-CG7,IF(A8&lt;'Données projet'!$A$114,$BV$205^A8,IF(A8='Données projet'!$A$114,'Données projet'!$B$114,BY7+BX8-CG7)))</f>
        <v>5.1299278400300903</v>
      </c>
      <c r="BZ8" s="13">
        <f>BY8*VLOOKUP('Données projet'!$B$12,Paramètres!$A$1:$I$89,3,0)*VLOOKUP('Données projet'!$B$12,Paramètres!$A$1:$I$89,5,0)</f>
        <v>4.6415587096592255</v>
      </c>
      <c r="CA8" s="13">
        <f t="shared" si="39"/>
        <v>1.7890243061079978</v>
      </c>
      <c r="CB8" s="20">
        <f t="shared" si="10"/>
        <v>11.199932085794581</v>
      </c>
      <c r="CC8" s="59">
        <f t="shared" si="11"/>
        <v>218.5464681286943</v>
      </c>
      <c r="CD8" s="59">
        <f ca="1">AVERAGE(OFFSET($CC$3,0,0,'Données projet'!$E$12+1,1))-AVERAGE(OFFSET($H$3,0,0,'Données projet'!$E$12+1,1))</f>
        <v>397.12030701006762</v>
      </c>
      <c r="CE8" s="59">
        <f t="shared" si="40"/>
        <v>476.47513516380047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</v>
      </c>
      <c r="CT8" s="12">
        <f>IF('Données projet'!$A$140&gt;35,CT7+CS8-DB7,IF(A8&lt;'Données projet'!$A$140,$CQ$205^A8,IF(A8='Données projet'!$A$140,'Données projet'!$B$140,CT7+CS8-DB7)))</f>
        <v>3.6680161728186844</v>
      </c>
      <c r="CU8" s="17">
        <f>CT8*VLOOKUP('Données projet'!$B$13,Paramètres!$A$1:$I$89,3,0)*VLOOKUP('Données projet'!$B$13,Paramètres!$A$1:$I$89,5,0)</f>
        <v>1.8654063048486704</v>
      </c>
      <c r="CV8" s="13">
        <f t="shared" si="41"/>
        <v>0.79947976605787985</v>
      </c>
      <c r="CW8" s="20">
        <f t="shared" si="13"/>
        <v>4.6413432401622412</v>
      </c>
      <c r="CX8" s="59">
        <f t="shared" si="14"/>
        <v>211.98787928306194</v>
      </c>
      <c r="CY8" s="59">
        <f ca="1">AVERAGE(OFFSET($CX$3,0,0,'Données projet'!$E$13+1,1))-AVERAGE(OFFSET($H$3,0,0,'Données projet'!$E$13+1,1))</f>
        <v>110.43805901666033</v>
      </c>
      <c r="CZ8" s="59">
        <f t="shared" si="42"/>
        <v>319.51880962151881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3.3000000000000003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12.100000000000001</v>
      </c>
      <c r="H9" s="67">
        <f t="shared" si="1"/>
        <v>208.26666666666665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10.163529411764706</v>
      </c>
      <c r="N9" s="13">
        <f>IF('Données projet'!$A$36&gt;35,N8+M9-V8,IF(A9&lt;'Données projet'!$A$36,$K$205^A9,IF(A9='Données projet'!$A$36,'Données projet'!$B$36,N8+M9-V8)))</f>
        <v>6.1617429595676967</v>
      </c>
      <c r="O9" s="13">
        <f>N9*VLOOKUP('Données projet'!$B$9,Paramètres!$A$1:$I$89,3,0)*VLOOKUP('Données projet'!$B$9,Paramètres!$A$1:$I$89,5,0)</f>
        <v>3.4444143143983426</v>
      </c>
      <c r="P9" s="13">
        <f t="shared" si="33"/>
        <v>1.3745078339304442</v>
      </c>
      <c r="Q9" s="20">
        <f t="shared" si="2"/>
        <v>8.3929560750059693</v>
      </c>
      <c r="R9" s="59">
        <f t="shared" si="0"/>
        <v>217.92332245853689</v>
      </c>
      <c r="S9" s="59">
        <f ca="1">AVERAGE(OFFSET($R$3,0,0,'Données projet'!$E$9+1,1))-AVERAGE(OFFSET($H$3,0,0,'Données projet'!$E$9+1,1))</f>
        <v>414.37917672189968</v>
      </c>
      <c r="T9" s="59">
        <f t="shared" si="34"/>
        <v>546.83385887302961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2.7</v>
      </c>
      <c r="AI9" s="13">
        <f>IF('Données projet'!$A$62&gt;35,AI8+AH9-AQ8,IF(A9&lt;'Données projet'!$A$62,$AF$205^A9,IF(A9='Données projet'!$A$62,'Données projet'!$B$62,AI8+AH9-AQ8)))</f>
        <v>7.2246740558420726</v>
      </c>
      <c r="AJ9" s="13">
        <f>AI9*VLOOKUP('Données projet'!$B$10,Paramètres!$A$1:$I$89,3,0)*VLOOKUP('Données projet'!$B$10,Paramètres!$A$1:$I$89,5,0)</f>
        <v>4.5081966108454532</v>
      </c>
      <c r="AK9" s="13">
        <f t="shared" si="35"/>
        <v>1.7435282217919823</v>
      </c>
      <c r="AL9" s="20">
        <f t="shared" si="4"/>
        <v>10.888420750176865</v>
      </c>
      <c r="AM9" s="59">
        <f t="shared" si="5"/>
        <v>220.41878713370778</v>
      </c>
      <c r="AN9" s="59">
        <f ca="1">AVERAGE(OFFSET($AM$3,0,0,'Données projet'!$E$10+1,1))-AVERAGE(OFFSET($H$3,0,0,'Données projet'!$E$10+1,1))</f>
        <v>296.20984079604017</v>
      </c>
      <c r="AO9" s="59">
        <f t="shared" si="36"/>
        <v>351.8406329895206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4.6587096774193544</v>
      </c>
      <c r="BD9" s="12">
        <f>IF('Données projet'!$A$88&gt;35,BD8+BC9-BL8,IF(A9&lt;'Données projet'!$A$88,$BA$205^A9,IF(A9='Données projet'!$A$88,'Données projet'!$B$88,BD8+BC9-BL8)))</f>
        <v>2.6181371221025667</v>
      </c>
      <c r="BE9" s="13">
        <f>BD9*VLOOKUP('Données projet'!$B$11,Paramètres!$A$1:$I$89,3,0)*VLOOKUP('Données projet'!$B$11,Paramètres!$A$1:$I$89,5,0)</f>
        <v>2.2872045898688027</v>
      </c>
      <c r="BF9" s="13">
        <f t="shared" si="37"/>
        <v>0.95726895611651674</v>
      </c>
      <c r="BG9" s="20">
        <f t="shared" si="7"/>
        <v>5.6507914259244316</v>
      </c>
      <c r="BH9" s="59">
        <f t="shared" si="8"/>
        <v>215.18115780945536</v>
      </c>
      <c r="BI9" s="59">
        <f ca="1">AVERAGE(OFFSET($BH$3,0,0,'Données projet'!$E$11+1,1))-AVERAGE(OFFSET($H$3,0,0,'Données projet'!$E$11+1,1))</f>
        <v>385.40047672167555</v>
      </c>
      <c r="BJ9" s="59">
        <f t="shared" si="38"/>
        <v>286.49293757741611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</v>
      </c>
      <c r="BY9" s="12">
        <f>IF('Données projet'!$A$114&gt;35,BY8+BX9-CG8,IF(A9&lt;'Données projet'!$A$114,$BV$205^A9,IF(A9='Données projet'!$A$114,'Données projet'!$B$114,BY8+BX9-CG8)))</f>
        <v>7.1143218293379347</v>
      </c>
      <c r="BZ9" s="13">
        <f>BY9*VLOOKUP('Données projet'!$B$12,Paramètres!$A$1:$I$89,3,0)*VLOOKUP('Données projet'!$B$12,Paramètres!$A$1:$I$89,5,0)</f>
        <v>6.4370383911849629</v>
      </c>
      <c r="CA9" s="13">
        <f t="shared" si="39"/>
        <v>2.3884002184118578</v>
      </c>
      <c r="CB9" s="20">
        <f t="shared" si="10"/>
        <v>15.370972245047795</v>
      </c>
      <c r="CC9" s="59">
        <f t="shared" si="11"/>
        <v>224.90133862857871</v>
      </c>
      <c r="CD9" s="59">
        <f ca="1">AVERAGE(OFFSET($CC$3,0,0,'Données projet'!$E$12+1,1))-AVERAGE(OFFSET($H$3,0,0,'Données projet'!$E$12+1,1))</f>
        <v>397.12030701006762</v>
      </c>
      <c r="CE9" s="59">
        <f t="shared" si="40"/>
        <v>476.47513516380047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</v>
      </c>
      <c r="CT9" s="12">
        <f>IF('Données projet'!$A$140&gt;35,CT8+CS9-DB8,IF(A9&lt;'Données projet'!$A$140,$CQ$205^A9,IF(A9='Données projet'!$A$140,'Données projet'!$B$140,CT8+CS9-DB8)))</f>
        <v>4.7568284600108832</v>
      </c>
      <c r="CU9" s="17">
        <f>CT9*VLOOKUP('Données projet'!$B$13,Paramètres!$A$1:$I$89,3,0)*VLOOKUP('Données projet'!$B$13,Paramètres!$A$1:$I$89,5,0)</f>
        <v>2.4191326816231347</v>
      </c>
      <c r="CV9" s="13">
        <f t="shared" si="41"/>
        <v>1.0058975856886845</v>
      </c>
      <c r="CW9" s="20">
        <f t="shared" si="13"/>
        <v>5.965261048901418</v>
      </c>
      <c r="CX9" s="59">
        <f t="shared" si="14"/>
        <v>215.49562743243234</v>
      </c>
      <c r="CY9" s="59">
        <f ca="1">AVERAGE(OFFSET($CX$3,0,0,'Données projet'!$E$13+1,1))-AVERAGE(OFFSET($H$3,0,0,'Données projet'!$E$13+1,1))</f>
        <v>110.43805901666033</v>
      </c>
      <c r="CZ9" s="59">
        <f t="shared" si="42"/>
        <v>319.51880962151881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3.3000000000000003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12.100000000000001</v>
      </c>
      <c r="H10" s="67">
        <f t="shared" si="1"/>
        <v>208.26666666666665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10.163529411764706</v>
      </c>
      <c r="N10" s="13">
        <f>IF('Données projet'!$A$36&gt;35,N9+M10-V9,IF(A10&lt;'Données projet'!$A$36,$K$205^A10,IF(A10='Données projet'!$A$36,'Données projet'!$B$36,N9+M10-V9)))</f>
        <v>8.3429730452220969</v>
      </c>
      <c r="O10" s="13">
        <f>N10*VLOOKUP('Données projet'!$B$9,Paramètres!$A$1:$I$89,3,0)*VLOOKUP('Données projet'!$B$9,Paramètres!$A$1:$I$89,5,0)</f>
        <v>4.6637219322791523</v>
      </c>
      <c r="P10" s="13">
        <f t="shared" si="33"/>
        <v>1.7965703706377396</v>
      </c>
      <c r="Q10" s="20">
        <f t="shared" si="2"/>
        <v>11.251675760913587</v>
      </c>
      <c r="R10" s="59">
        <f t="shared" si="0"/>
        <v>222.94919073405507</v>
      </c>
      <c r="S10" s="59">
        <f ca="1">AVERAGE(OFFSET($R$3,0,0,'Données projet'!$E$9+1,1))-AVERAGE(OFFSET($H$3,0,0,'Données projet'!$E$9+1,1))</f>
        <v>414.37917672189968</v>
      </c>
      <c r="T10" s="59">
        <f t="shared" si="34"/>
        <v>546.83385887302961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2.7</v>
      </c>
      <c r="AI10" s="13">
        <f>IF('Données projet'!$A$62&gt;35,AI9+AH10-AQ9,IF(A10&lt;'Données projet'!$A$62,$AF$205^A10,IF(A10='Données projet'!$A$62,'Données projet'!$B$62,AI9+AH10-AQ9)))</f>
        <v>10.045108566305135</v>
      </c>
      <c r="AJ10" s="13">
        <f>AI10*VLOOKUP('Données projet'!$B$10,Paramètres!$A$1:$I$89,3,0)*VLOOKUP('Données projet'!$B$10,Paramètres!$A$1:$I$89,5,0)</f>
        <v>6.2681477453744048</v>
      </c>
      <c r="AK10" s="13">
        <f t="shared" si="35"/>
        <v>2.332943836743997</v>
      </c>
      <c r="AL10" s="20">
        <f t="shared" si="4"/>
        <v>14.980234505522882</v>
      </c>
      <c r="AM10" s="59">
        <f t="shared" si="5"/>
        <v>226.67774947866434</v>
      </c>
      <c r="AN10" s="59">
        <f ca="1">AVERAGE(OFFSET($AM$3,0,0,'Données projet'!$E$10+1,1))-AVERAGE(OFFSET($H$3,0,0,'Données projet'!$E$10+1,1))</f>
        <v>296.20984079604017</v>
      </c>
      <c r="AO10" s="59">
        <f t="shared" si="36"/>
        <v>351.8406329895206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4.6587096774193544</v>
      </c>
      <c r="BD10" s="12">
        <f>IF('Données projet'!$A$88&gt;35,BD9+BC10-BL9,IF(A10&lt;'Données projet'!$A$88,$BA$205^A10,IF(A10='Données projet'!$A$88,'Données projet'!$B$88,BD9+BC10-BL9)))</f>
        <v>3.0736738806308392</v>
      </c>
      <c r="BE10" s="13">
        <f>BD10*VLOOKUP('Données projet'!$B$11,Paramètres!$A$1:$I$89,3,0)*VLOOKUP('Données projet'!$B$11,Paramètres!$A$1:$I$89,5,0)</f>
        <v>2.6851615021191013</v>
      </c>
      <c r="BF10" s="13">
        <f t="shared" si="37"/>
        <v>1.1030376103919957</v>
      </c>
      <c r="BG10" s="20">
        <f t="shared" si="7"/>
        <v>6.597780120956827</v>
      </c>
      <c r="BH10" s="59">
        <f t="shared" si="8"/>
        <v>218.29529509409829</v>
      </c>
      <c r="BI10" s="59">
        <f ca="1">AVERAGE(OFFSET($BH$3,0,0,'Données projet'!$E$11+1,1))-AVERAGE(OFFSET($H$3,0,0,'Données projet'!$E$11+1,1))</f>
        <v>385.40047672167555</v>
      </c>
      <c r="BJ10" s="59">
        <f t="shared" si="38"/>
        <v>286.49293757741611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</v>
      </c>
      <c r="BY10" s="12">
        <f>IF('Données projet'!$A$114&gt;35,BY9+BX10-CG9,IF(A10&lt;'Données projet'!$A$114,$BV$205^A10,IF(A10='Données projet'!$A$114,'Données projet'!$B$114,BY9+BX10-CG9)))</f>
        <v>9.8663327574403787</v>
      </c>
      <c r="BZ10" s="13">
        <f>BY10*VLOOKUP('Données projet'!$B$12,Paramètres!$A$1:$I$89,3,0)*VLOOKUP('Données projet'!$B$12,Paramètres!$A$1:$I$89,5,0)</f>
        <v>8.9270578789320556</v>
      </c>
      <c r="CA10" s="13">
        <f t="shared" si="39"/>
        <v>3.1885847407628529</v>
      </c>
      <c r="CB10" s="20">
        <f t="shared" si="10"/>
        <v>21.10141089596863</v>
      </c>
      <c r="CC10" s="59">
        <f t="shared" si="11"/>
        <v>232.79892586911009</v>
      </c>
      <c r="CD10" s="59">
        <f ca="1">AVERAGE(OFFSET($CC$3,0,0,'Données projet'!$E$12+1,1))-AVERAGE(OFFSET($H$3,0,0,'Données projet'!$E$12+1,1))</f>
        <v>397.12030701006762</v>
      </c>
      <c r="CE10" s="59">
        <f t="shared" si="40"/>
        <v>476.47513516380047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</v>
      </c>
      <c r="CT10" s="12">
        <f>IF('Données projet'!$A$140&gt;35,CT9+CS10-DB9,IF(A10&lt;'Données projet'!$A$140,$CQ$205^A10,IF(A10='Données projet'!$A$140,'Données projet'!$B$140,CT9+CS10-DB9)))</f>
        <v>6.168843301631763</v>
      </c>
      <c r="CU10" s="17">
        <f>CT10*VLOOKUP('Données projet'!$B$13,Paramètres!$A$1:$I$89,3,0)*VLOOKUP('Données projet'!$B$13,Paramètres!$A$1:$I$89,5,0)</f>
        <v>3.1372269494778497</v>
      </c>
      <c r="CV10" s="13">
        <f t="shared" si="41"/>
        <v>1.2656104580151082</v>
      </c>
      <c r="CW10" s="20">
        <f t="shared" si="13"/>
        <v>7.6682751513835692</v>
      </c>
      <c r="CX10" s="59">
        <f t="shared" si="14"/>
        <v>219.36579012452503</v>
      </c>
      <c r="CY10" s="59">
        <f ca="1">AVERAGE(OFFSET($CX$3,0,0,'Données projet'!$E$13+1,1))-AVERAGE(OFFSET($H$3,0,0,'Données projet'!$E$13+1,1))</f>
        <v>110.43805901666033</v>
      </c>
      <c r="CZ10" s="59">
        <f t="shared" si="42"/>
        <v>319.51880962151881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3.3000000000000003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12.100000000000001</v>
      </c>
      <c r="H11" s="67">
        <f t="shared" si="1"/>
        <v>208.26666666666665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10.163529411764706</v>
      </c>
      <c r="N11" s="13">
        <f>IF('Données projet'!$A$36&gt;35,N10+M11-V10,IF(A11&lt;'Données projet'!$A$36,$K$205^A11,IF(A11='Données projet'!$A$36,'Données projet'!$B$36,N10+M11-V10)))</f>
        <v>11.296349050916252</v>
      </c>
      <c r="O11" s="13">
        <f>N11*VLOOKUP('Données projet'!$B$9,Paramètres!$A$1:$I$89,3,0)*VLOOKUP('Données projet'!$B$9,Paramètres!$A$1:$I$89,5,0)</f>
        <v>6.3146591194621848</v>
      </c>
      <c r="P11" s="13">
        <f t="shared" si="33"/>
        <v>2.3482333217583955</v>
      </c>
      <c r="Q11" s="20">
        <f t="shared" si="2"/>
        <v>15.087871001792513</v>
      </c>
      <c r="R11" s="59">
        <f t="shared" si="0"/>
        <v>228.93614220460921</v>
      </c>
      <c r="S11" s="59">
        <f ca="1">AVERAGE(OFFSET($R$3,0,0,'Données projet'!$E$9+1,1))-AVERAGE(OFFSET($H$3,0,0,'Données projet'!$E$9+1,1))</f>
        <v>414.37917672189968</v>
      </c>
      <c r="T11" s="59">
        <f t="shared" si="34"/>
        <v>546.83385887302961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2.7</v>
      </c>
      <c r="AI11" s="13">
        <f>IF('Données projet'!$A$62&gt;35,AI10+AH11-AQ10,IF(A11&lt;'Données projet'!$A$62,$AF$205^A11,IF(A11='Données projet'!$A$62,'Données projet'!$B$62,AI10+AH11-AQ10)))</f>
        <v>13.96661016523823</v>
      </c>
      <c r="AJ11" s="13">
        <f>AI11*VLOOKUP('Données projet'!$B$10,Paramètres!$A$1:$I$89,3,0)*VLOOKUP('Données projet'!$B$10,Paramètres!$A$1:$I$89,5,0)</f>
        <v>8.7151647431086552</v>
      </c>
      <c r="AK11" s="13">
        <f t="shared" si="35"/>
        <v>3.1216167753269399</v>
      </c>
      <c r="AL11" s="20">
        <f t="shared" si="4"/>
        <v>20.615727811275324</v>
      </c>
      <c r="AM11" s="59">
        <f t="shared" si="5"/>
        <v>234.46399901409202</v>
      </c>
      <c r="AN11" s="59">
        <f ca="1">AVERAGE(OFFSET($AM$3,0,0,'Données projet'!$E$10+1,1))-AVERAGE(OFFSET($H$3,0,0,'Données projet'!$E$10+1,1))</f>
        <v>296.20984079604017</v>
      </c>
      <c r="AO11" s="59">
        <f t="shared" si="36"/>
        <v>351.8406329895206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4.6587096774193544</v>
      </c>
      <c r="BD11" s="12">
        <f>IF('Données projet'!$A$88&gt;35,BD10+BC11-BL10,IF(A11&lt;'Données projet'!$A$88,$BA$205^A11,IF(A11='Données projet'!$A$88,'Données projet'!$B$88,BD10+BC11-BL10)))</f>
        <v>3.6084707117575237</v>
      </c>
      <c r="BE11" s="13">
        <f>BD11*VLOOKUP('Données projet'!$B$11,Paramètres!$A$1:$I$89,3,0)*VLOOKUP('Données projet'!$B$11,Paramètres!$A$1:$I$89,5,0)</f>
        <v>3.1523600137913728</v>
      </c>
      <c r="BF11" s="13">
        <f t="shared" si="37"/>
        <v>1.2710032662870467</v>
      </c>
      <c r="BG11" s="20">
        <f t="shared" si="7"/>
        <v>7.7040243794699137</v>
      </c>
      <c r="BH11" s="59">
        <f t="shared" si="8"/>
        <v>221.5522955822866</v>
      </c>
      <c r="BI11" s="59">
        <f ca="1">AVERAGE(OFFSET($BH$3,0,0,'Données projet'!$E$11+1,1))-AVERAGE(OFFSET($H$3,0,0,'Données projet'!$E$11+1,1))</f>
        <v>385.40047672167555</v>
      </c>
      <c r="BJ11" s="59">
        <f t="shared" si="38"/>
        <v>286.49293757741611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</v>
      </c>
      <c r="BY11" s="12">
        <f>IF('Données projet'!$A$114&gt;35,BY10+BX11-CG10,IF(A11&lt;'Données projet'!$A$114,$BV$205^A11,IF(A11='Données projet'!$A$114,'Données projet'!$B$114,BY10+BX11-CG10)))</f>
        <v>13.682895491052035</v>
      </c>
      <c r="BZ11" s="13">
        <f>BY11*VLOOKUP('Données projet'!$B$12,Paramètres!$A$1:$I$89,3,0)*VLOOKUP('Données projet'!$B$12,Paramètres!$A$1:$I$89,5,0)</f>
        <v>12.38028384030388</v>
      </c>
      <c r="CA11" s="13">
        <f t="shared" si="39"/>
        <v>4.2568546806557395</v>
      </c>
      <c r="CB11" s="20">
        <f t="shared" si="10"/>
        <v>28.976349590671337</v>
      </c>
      <c r="CC11" s="59">
        <f t="shared" si="11"/>
        <v>242.82462079348804</v>
      </c>
      <c r="CD11" s="59">
        <f ca="1">AVERAGE(OFFSET($CC$3,0,0,'Données projet'!$E$12+1,1))-AVERAGE(OFFSET($H$3,0,0,'Données projet'!$E$12+1,1))</f>
        <v>397.12030701006762</v>
      </c>
      <c r="CE11" s="59">
        <f t="shared" si="40"/>
        <v>476.47513516380047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>
        <f>VLOOKUP(A11,'Données projet'!$A$139:$I$159,2,0)</f>
        <v>8</v>
      </c>
      <c r="CR11" s="12">
        <f>VLOOKUP(A11,'Données projet'!$A$139:$I$159,9,0)</f>
        <v>1</v>
      </c>
      <c r="CS11" s="12">
        <f t="array" ref="CS11">INDEX(CR:CR,MIN(IF(ISNUMBER(CR11:CR207),ROW(CR11:CR207),"")))</f>
        <v>1</v>
      </c>
      <c r="CT11" s="12">
        <f>IF('Données projet'!$A$140&gt;35,CT10+CS11-DB10,IF(A11&lt;'Données projet'!$A$140,$CQ$205^A11,IF(A11='Données projet'!$A$140,'Données projet'!$B$140,CT10+CS11-DB10)))</f>
        <v>8</v>
      </c>
      <c r="CU11" s="17">
        <f>CT11*VLOOKUP('Données projet'!$B$13,Paramètres!$A$1:$I$89,3,0)*VLOOKUP('Données projet'!$B$13,Paramètres!$A$1:$I$89,5,0)</f>
        <v>4.0684800000000001</v>
      </c>
      <c r="CV11" s="13">
        <f t="shared" si="41"/>
        <v>1.5923786419474943</v>
      </c>
      <c r="CW11" s="20">
        <f t="shared" si="13"/>
        <v>9.8593288013918841</v>
      </c>
      <c r="CX11" s="59">
        <f t="shared" si="14"/>
        <v>223.70760000420859</v>
      </c>
      <c r="CY11" s="59">
        <f ca="1">AVERAGE(OFFSET($CX$3,0,0,'Données projet'!$E$13+1,1))-AVERAGE(OFFSET($H$3,0,0,'Données projet'!$E$13+1,1))</f>
        <v>110.43805901666033</v>
      </c>
      <c r="CZ11" s="59">
        <f t="shared" si="42"/>
        <v>319.51880962151881</v>
      </c>
      <c r="DA11" s="15">
        <f>IF(ISNA(VLOOKUP(A11,'Données projet'!$A$139:$I$159,3,0)),0,VLOOKUP(A11,'Données projet'!$A$139:$I$159,3,0))</f>
        <v>1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3.3000000000000003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12.100000000000001</v>
      </c>
      <c r="H12" s="67">
        <f t="shared" si="1"/>
        <v>208.26666666666665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10.163529411764706</v>
      </c>
      <c r="N12" s="13">
        <f>IF('Données projet'!$A$36&gt;35,N11+M12-V11,IF(A12&lt;'Données projet'!$A$36,$K$205^A12,IF(A12='Données projet'!$A$36,'Données projet'!$B$36,N11+M12-V11)))</f>
        <v>15.295207258666087</v>
      </c>
      <c r="O12" s="13">
        <f>N12*VLOOKUP('Données projet'!$B$9,Paramètres!$A$1:$I$89,3,0)*VLOOKUP('Données projet'!$B$9,Paramètres!$A$1:$I$89,5,0)</f>
        <v>8.5500208575943439</v>
      </c>
      <c r="P12" s="13">
        <f t="shared" si="33"/>
        <v>3.0692923714750222</v>
      </c>
      <c r="Q12" s="20">
        <f t="shared" si="2"/>
        <v>20.236970540629144</v>
      </c>
      <c r="R12" s="59">
        <f t="shared" si="0"/>
        <v>236.2198899839828</v>
      </c>
      <c r="S12" s="59">
        <f ca="1">AVERAGE(OFFSET($R$3,0,0,'Données projet'!$E$9+1,1))-AVERAGE(OFFSET($H$3,0,0,'Données projet'!$E$9+1,1))</f>
        <v>414.37917672189968</v>
      </c>
      <c r="T12" s="59">
        <f t="shared" si="34"/>
        <v>546.83385887302961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2.7</v>
      </c>
      <c r="AI12" s="13">
        <f>IF('Données projet'!$A$62&gt;35,AI11+AH12-AQ11,IF(A12&lt;'Données projet'!$A$62,$AF$205^A12,IF(A12='Données projet'!$A$62,'Données projet'!$B$62,AI11+AH12-AQ11)))</f>
        <v>19.419023519771326</v>
      </c>
      <c r="AJ12" s="13">
        <f>AI12*VLOOKUP('Données projet'!$B$10,Paramètres!$A$1:$I$89,3,0)*VLOOKUP('Données projet'!$B$10,Paramètres!$A$1:$I$89,5,0)</f>
        <v>12.117470676337307</v>
      </c>
      <c r="AK12" s="13">
        <f t="shared" si="35"/>
        <v>4.1769077928607921</v>
      </c>
      <c r="AL12" s="20">
        <f t="shared" si="4"/>
        <v>28.379375833853359</v>
      </c>
      <c r="AM12" s="59">
        <f t="shared" si="5"/>
        <v>244.36229527720701</v>
      </c>
      <c r="AN12" s="59">
        <f ca="1">AVERAGE(OFFSET($AM$3,0,0,'Données projet'!$E$10+1,1))-AVERAGE(OFFSET($H$3,0,0,'Données projet'!$E$10+1,1))</f>
        <v>296.20984079604017</v>
      </c>
      <c r="AO12" s="59">
        <f t="shared" si="36"/>
        <v>351.8406329895206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4.6587096774193544</v>
      </c>
      <c r="BD12" s="12">
        <f>IF('Données projet'!$A$88&gt;35,BD11+BC12-BL11,IF(A12&lt;'Données projet'!$A$88,$BA$205^A12,IF(A12='Données projet'!$A$88,'Données projet'!$B$88,BD11+BC12-BL11)))</f>
        <v>4.2363182898699101</v>
      </c>
      <c r="BE12" s="13">
        <f>BD12*VLOOKUP('Données projet'!$B$11,Paramètres!$A$1:$I$89,3,0)*VLOOKUP('Données projet'!$B$11,Paramètres!$A$1:$I$89,5,0)</f>
        <v>3.7008476580303542</v>
      </c>
      <c r="BF12" s="13">
        <f t="shared" si="37"/>
        <v>1.4645459843733217</v>
      </c>
      <c r="BG12" s="20">
        <f t="shared" si="7"/>
        <v>8.9963939271864017</v>
      </c>
      <c r="BH12" s="59">
        <f t="shared" si="8"/>
        <v>224.97931337054007</v>
      </c>
      <c r="BI12" s="59">
        <f ca="1">AVERAGE(OFFSET($BH$3,0,0,'Données projet'!$E$11+1,1))-AVERAGE(OFFSET($H$3,0,0,'Données projet'!$E$11+1,1))</f>
        <v>385.40047672167555</v>
      </c>
      <c r="BJ12" s="59">
        <f t="shared" si="38"/>
        <v>286.49293757741611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</v>
      </c>
      <c r="BY12" s="12">
        <f>IF('Données projet'!$A$114&gt;35,BY11+BX12-CG11,IF(A12&lt;'Données projet'!$A$114,$BV$205^A12,IF(A12='Données projet'!$A$114,'Données projet'!$B$114,BY11+BX12-CG11)))</f>
        <v>18.975807285423745</v>
      </c>
      <c r="BZ12" s="13">
        <f>BY12*VLOOKUP('Données projet'!$B$12,Paramètres!$A$1:$I$89,3,0)*VLOOKUP('Données projet'!$B$12,Paramètres!$A$1:$I$89,5,0)</f>
        <v>17.169310431851404</v>
      </c>
      <c r="CA12" s="13">
        <f t="shared" si="39"/>
        <v>5.6830265605189334</v>
      </c>
      <c r="CB12" s="20">
        <f t="shared" si="10"/>
        <v>39.801153595045001</v>
      </c>
      <c r="CC12" s="59">
        <f t="shared" si="11"/>
        <v>255.78407303839867</v>
      </c>
      <c r="CD12" s="59">
        <f ca="1">AVERAGE(OFFSET($CC$3,0,0,'Données projet'!$E$12+1,1))-AVERAGE(OFFSET($H$3,0,0,'Données projet'!$E$12+1,1))</f>
        <v>397.12030701006762</v>
      </c>
      <c r="CE12" s="59">
        <f t="shared" si="40"/>
        <v>476.47513516380047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>
        <f>VLOOKUP(A12,'Données projet'!$A$139:$I$159,2,0)</f>
        <v>29</v>
      </c>
      <c r="CR12" s="12">
        <f>VLOOKUP(A12,'Données projet'!$A$139:$I$159,9,0)</f>
        <v>21</v>
      </c>
      <c r="CS12" s="12">
        <f t="array" ref="CS12">INDEX(CR:CR,MIN(IF(ISNUMBER(CR12:CR208),ROW(CR12:CR208),"")))</f>
        <v>21</v>
      </c>
      <c r="CT12" s="12">
        <f>IF('Données projet'!$A$140&gt;35,CT11+CS12-DB11,IF(A12&lt;'Données projet'!$A$140,$CQ$205^A12,IF(A12='Données projet'!$A$140,'Données projet'!$B$140,CT11+CS12-DB11)))</f>
        <v>29</v>
      </c>
      <c r="CU12" s="17">
        <f>CT12*VLOOKUP('Données projet'!$B$13,Paramètres!$A$1:$I$89,3,0)*VLOOKUP('Données projet'!$B$13,Paramètres!$A$1:$I$89,5,0)</f>
        <v>14.748240000000001</v>
      </c>
      <c r="CV12" s="13">
        <f t="shared" si="41"/>
        <v>4.9687929763413896</v>
      </c>
      <c r="CW12" s="20">
        <f t="shared" si="13"/>
        <v>34.340499100461251</v>
      </c>
      <c r="CX12" s="59">
        <f t="shared" si="14"/>
        <v>250.32341854381491</v>
      </c>
      <c r="CY12" s="59">
        <f ca="1">AVERAGE(OFFSET($CX$3,0,0,'Données projet'!$E$13+1,1))-AVERAGE(OFFSET($H$3,0,0,'Données projet'!$E$13+1,1))</f>
        <v>110.43805901666033</v>
      </c>
      <c r="CZ12" s="59">
        <f t="shared" si="42"/>
        <v>319.51880962151881</v>
      </c>
      <c r="DA12" s="15">
        <f>IF(ISNA(VLOOKUP(A12,'Données projet'!$A$139:$I$159,3,0)),0,VLOOKUP(A12,'Données projet'!$A$139:$I$159,3,0))</f>
        <v>2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3.3000000000000003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12.100000000000001</v>
      </c>
      <c r="H13" s="67">
        <f t="shared" si="1"/>
        <v>208.26666666666665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10.163529411764706</v>
      </c>
      <c r="N13" s="13">
        <f>IF('Données projet'!$A$36&gt;35,N12+M13-V12,IF(A13&lt;'Données projet'!$A$36,$K$205^A13,IF(A13='Données projet'!$A$36,'Données projet'!$B$36,N12+M13-V12)))</f>
        <v>20.709643800053833</v>
      </c>
      <c r="O13" s="13">
        <f>N13*VLOOKUP('Données projet'!$B$9,Paramètres!$A$1:$I$89,3,0)*VLOOKUP('Données projet'!$B$9,Paramètres!$A$1:$I$89,5,0)</f>
        <v>11.576690884230093</v>
      </c>
      <c r="P13" s="13">
        <f t="shared" si="33"/>
        <v>4.0117630451391877</v>
      </c>
      <c r="Q13" s="20">
        <f t="shared" si="2"/>
        <v>27.149890593651492</v>
      </c>
      <c r="R13" s="59">
        <f t="shared" si="0"/>
        <v>245.25162972600336</v>
      </c>
      <c r="S13" s="59">
        <f ca="1">AVERAGE(OFFSET($R$3,0,0,'Données projet'!$E$9+1,1))-AVERAGE(OFFSET($H$3,0,0,'Données projet'!$E$9+1,1))</f>
        <v>414.37917672189968</v>
      </c>
      <c r="T13" s="59">
        <f t="shared" si="34"/>
        <v>546.83385887302961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27</v>
      </c>
      <c r="AG13" s="12">
        <f>VLOOKUP(A13,'Données projet'!$A$61:$I$81,9,0)</f>
        <v>2.7</v>
      </c>
      <c r="AH13" s="12">
        <f t="array" ref="AH13">INDEX(AG:AG,MIN(IF(ISNUMBER(AG13:AG209),ROW(AG13:AG209),"")))</f>
        <v>2.7</v>
      </c>
      <c r="AI13" s="13">
        <f>IF('Données projet'!$A$62&gt;35,AI12+AH13-AQ12,IF(A13&lt;'Données projet'!$A$62,$AF$205^A13,IF(A13='Données projet'!$A$62,'Données projet'!$B$62,AI12+AH13-AQ12)))</f>
        <v>27</v>
      </c>
      <c r="AJ13" s="13">
        <f>AI13*VLOOKUP('Données projet'!$B$10,Paramètres!$A$1:$I$89,3,0)*VLOOKUP('Données projet'!$B$10,Paramètres!$A$1:$I$89,5,0)</f>
        <v>16.847999999999999</v>
      </c>
      <c r="AK13" s="13">
        <f t="shared" si="35"/>
        <v>5.5889495622773833</v>
      </c>
      <c r="AL13" s="20">
        <f t="shared" si="4"/>
        <v>39.077687154299774</v>
      </c>
      <c r="AM13" s="59">
        <f t="shared" si="5"/>
        <v>257.17942628665162</v>
      </c>
      <c r="AN13" s="59">
        <f ca="1">AVERAGE(OFFSET($AM$3,0,0,'Données projet'!$E$10+1,1))-AVERAGE(OFFSET($H$3,0,0,'Données projet'!$E$10+1,1))</f>
        <v>296.20984079604017</v>
      </c>
      <c r="AO13" s="59">
        <f t="shared" si="36"/>
        <v>351.8406329895206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0.33600000000000002</v>
      </c>
      <c r="AT13" s="16">
        <f>IF(ISNA(VLOOKUP(A13,'Données projet'!$A$61:$I$81,7,0)),0%,VLOOKUP(A13,'Données projet'!$A$61:$I$81,7,0))</f>
        <v>0.44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4.6587096774193544</v>
      </c>
      <c r="BD13" s="12">
        <f>IF('Données projet'!$A$88&gt;35,BD12+BC13-BL12,IF(A13&lt;'Données projet'!$A$88,$BA$205^A13,IF(A13='Données projet'!$A$88,'Données projet'!$B$88,BD12+BC13-BL12)))</f>
        <v>4.9734067660882975</v>
      </c>
      <c r="BE13" s="13">
        <f>BD13*VLOOKUP('Données projet'!$B$11,Paramètres!$A$1:$I$89,3,0)*VLOOKUP('Données projet'!$B$11,Paramètres!$A$1:$I$89,5,0)</f>
        <v>4.3447681508547369</v>
      </c>
      <c r="BF13" s="13">
        <f t="shared" si="37"/>
        <v>1.6875605257961726</v>
      </c>
      <c r="BG13" s="20">
        <f t="shared" si="7"/>
        <v>10.506305778500332</v>
      </c>
      <c r="BH13" s="59">
        <f t="shared" si="8"/>
        <v>228.60804491085219</v>
      </c>
      <c r="BI13" s="59">
        <f ca="1">AVERAGE(OFFSET($BH$3,0,0,'Données projet'!$E$11+1,1))-AVERAGE(OFFSET($H$3,0,0,'Données projet'!$E$11+1,1))</f>
        <v>385.40047672167555</v>
      </c>
      <c r="BJ13" s="59">
        <f t="shared" si="38"/>
        <v>286.49293757741611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</v>
      </c>
      <c r="BY13" s="12">
        <f>IF('Données projet'!$A$114&gt;35,BY12+BX13-CG12,IF(A13&lt;'Données projet'!$A$114,$BV$205^A13,IF(A13='Données projet'!$A$114,'Données projet'!$B$114,BY12+BX13-CG12)))</f>
        <v>26.316159643915789</v>
      </c>
      <c r="BZ13" s="13">
        <f>BY13*VLOOKUP('Données projet'!$B$12,Paramètres!$A$1:$I$89,3,0)*VLOOKUP('Données projet'!$B$12,Paramètres!$A$1:$I$89,5,0)</f>
        <v>23.810861245815005</v>
      </c>
      <c r="CA13" s="13">
        <f t="shared" si="39"/>
        <v>7.5870080870574972</v>
      </c>
      <c r="CB13" s="20">
        <f t="shared" si="10"/>
        <v>54.684622421419611</v>
      </c>
      <c r="CC13" s="59">
        <f t="shared" si="11"/>
        <v>272.78636155377148</v>
      </c>
      <c r="CD13" s="59">
        <f ca="1">AVERAGE(OFFSET($CC$3,0,0,'Données projet'!$E$12+1,1))-AVERAGE(OFFSET($H$3,0,0,'Données projet'!$E$12+1,1))</f>
        <v>397.12030701006762</v>
      </c>
      <c r="CE13" s="59">
        <f t="shared" si="40"/>
        <v>476.47513516380047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52</v>
      </c>
      <c r="CR13" s="12">
        <f>VLOOKUP(A13,'Données projet'!$A$139:$I$159,9,0)</f>
        <v>23</v>
      </c>
      <c r="CS13" s="12">
        <f t="array" ref="CS13">INDEX(CR:CR,MIN(IF(ISNUMBER(CR13:CR209),ROW(CR13:CR209),"")))</f>
        <v>23</v>
      </c>
      <c r="CT13" s="12">
        <f>IF('Données projet'!$A$140&gt;35,CT12+CS13-DB12,IF(A13&lt;'Données projet'!$A$140,$CQ$205^A13,IF(A13='Données projet'!$A$140,'Données projet'!$B$140,CT12+CS13-DB12)))</f>
        <v>52</v>
      </c>
      <c r="CU13" s="17">
        <f>CT13*VLOOKUP('Données projet'!$B$13,Paramètres!$A$1:$I$89,3,0)*VLOOKUP('Données projet'!$B$13,Paramètres!$A$1:$I$89,5,0)</f>
        <v>26.445120000000003</v>
      </c>
      <c r="CV13" s="13">
        <f t="shared" si="41"/>
        <v>8.3240865246071554</v>
      </c>
      <c r="CW13" s="20">
        <f t="shared" si="13"/>
        <v>60.556368030357454</v>
      </c>
      <c r="CX13" s="59">
        <f t="shared" si="14"/>
        <v>278.65810716270931</v>
      </c>
      <c r="CY13" s="59">
        <f ca="1">AVERAGE(OFFSET($CX$3,0,0,'Données projet'!$E$13+1,1))-AVERAGE(OFFSET($H$3,0,0,'Données projet'!$E$13+1,1))</f>
        <v>110.43805901666033</v>
      </c>
      <c r="CZ13" s="59">
        <f t="shared" si="42"/>
        <v>319.51880962151881</v>
      </c>
      <c r="DA13" s="15">
        <f>IF(ISNA(VLOOKUP(A13,'Données projet'!$A$139:$I$159,3,0)),0,VLOOKUP(A13,'Données projet'!$A$139:$I$159,3,0))</f>
        <v>3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3.3000000000000003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12.100000000000001</v>
      </c>
      <c r="H14" s="67">
        <f t="shared" si="1"/>
        <v>208.26666666666665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10.163529411764706</v>
      </c>
      <c r="N14" s="13">
        <f>IF('Données projet'!$A$36&gt;35,N13+M14-V13,IF(A14&lt;'Données projet'!$A$36,$K$205^A14,IF(A14='Données projet'!$A$36,'Données projet'!$B$36,N13+M14-V13)))</f>
        <v>28.040767220209094</v>
      </c>
      <c r="O14" s="13">
        <f>N14*VLOOKUP('Données projet'!$B$9,Paramètres!$A$1:$I$89,3,0)*VLOOKUP('Données projet'!$B$9,Paramètres!$A$1:$I$89,5,0)</f>
        <v>15.674788876096885</v>
      </c>
      <c r="P14" s="13">
        <f t="shared" si="33"/>
        <v>5.2436329884760928</v>
      </c>
      <c r="Q14" s="20">
        <f t="shared" si="2"/>
        <v>36.432918080797933</v>
      </c>
      <c r="R14" s="59">
        <f t="shared" si="0"/>
        <v>256.63792294059101</v>
      </c>
      <c r="S14" s="59">
        <f ca="1">AVERAGE(OFFSET($R$3,0,0,'Données projet'!$E$9+1,1))-AVERAGE(OFFSET($H$3,0,0,'Données projet'!$E$9+1,1))</f>
        <v>414.37917672189968</v>
      </c>
      <c r="T14" s="59">
        <f t="shared" si="34"/>
        <v>546.83385887302961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11.8</v>
      </c>
      <c r="AI14" s="13">
        <f>IF('Données projet'!$A$62&gt;35,AI13+AH14-AQ13,IF(A14&lt;'Données projet'!$A$62,$AF$205^A14,IF(A14='Données projet'!$A$62,'Données projet'!$B$62,AI13+AH14-AQ13)))</f>
        <v>38.799999999999997</v>
      </c>
      <c r="AJ14" s="13">
        <f>AI14*VLOOKUP('Données projet'!$B$10,Paramètres!$A$1:$I$89,3,0)*VLOOKUP('Données projet'!$B$10,Paramètres!$A$1:$I$89,5,0)</f>
        <v>24.211199999999998</v>
      </c>
      <c r="AK14" s="13">
        <f t="shared" si="35"/>
        <v>7.699612715482985</v>
      </c>
      <c r="AL14" s="20">
        <f t="shared" si="4"/>
        <v>55.577998812799528</v>
      </c>
      <c r="AM14" s="59">
        <f t="shared" si="5"/>
        <v>275.7830036725926</v>
      </c>
      <c r="AN14" s="59">
        <f ca="1">AVERAGE(OFFSET($AM$3,0,0,'Données projet'!$E$10+1,1))-AVERAGE(OFFSET($H$3,0,0,'Données projet'!$E$10+1,1))</f>
        <v>296.20984079604017</v>
      </c>
      <c r="AO14" s="59">
        <f t="shared" si="36"/>
        <v>351.8406329895206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4.6587096774193544</v>
      </c>
      <c r="BD14" s="12">
        <f>IF('Données projet'!$A$88&gt;35,BD13+BC14-BL13,IF(A14&lt;'Données projet'!$A$88,$BA$205^A14,IF(A14='Données projet'!$A$88,'Données projet'!$B$88,BD13+BC14-BL13)))</f>
        <v>5.838743259712059</v>
      </c>
      <c r="BE14" s="13">
        <f>BD14*VLOOKUP('Données projet'!$B$11,Paramètres!$A$1:$I$89,3,0)*VLOOKUP('Données projet'!$B$11,Paramètres!$A$1:$I$89,5,0)</f>
        <v>5.1007261116844553</v>
      </c>
      <c r="BF14" s="13">
        <f t="shared" si="37"/>
        <v>1.9445347285862462</v>
      </c>
      <c r="BG14" s="20">
        <f t="shared" si="7"/>
        <v>12.27049596347147</v>
      </c>
      <c r="BH14" s="59">
        <f t="shared" si="8"/>
        <v>232.47550082326455</v>
      </c>
      <c r="BI14" s="59">
        <f ca="1">AVERAGE(OFFSET($BH$3,0,0,'Données projet'!$E$11+1,1))-AVERAGE(OFFSET($H$3,0,0,'Données projet'!$E$11+1,1))</f>
        <v>385.40047672167555</v>
      </c>
      <c r="BJ14" s="59">
        <f t="shared" si="38"/>
        <v>286.49293757741611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</v>
      </c>
      <c r="BY14" s="12">
        <f>IF('Données projet'!$A$114&gt;35,BY13+BX14-CG13,IF(A14&lt;'Données projet'!$A$114,$BV$205^A14,IF(A14='Données projet'!$A$114,'Données projet'!$B$114,BY13+BX14-CG13)))</f>
        <v>36.495957615254468</v>
      </c>
      <c r="BZ14" s="13">
        <f>BY14*VLOOKUP('Données projet'!$B$12,Paramètres!$A$1:$I$89,3,0)*VLOOKUP('Données projet'!$B$12,Paramètres!$A$1:$I$89,5,0)</f>
        <v>33.02154245028224</v>
      </c>
      <c r="CA14" s="13">
        <f t="shared" si="39"/>
        <v>10.128879585567107</v>
      </c>
      <c r="CB14" s="20">
        <f t="shared" si="10"/>
        <v>75.153651712437608</v>
      </c>
      <c r="CC14" s="59">
        <f t="shared" si="11"/>
        <v>295.3586565722307</v>
      </c>
      <c r="CD14" s="59">
        <f ca="1">AVERAGE(OFFSET($CC$3,0,0,'Données projet'!$E$12+1,1))-AVERAGE(OFFSET($H$3,0,0,'Données projet'!$E$12+1,1))</f>
        <v>397.12030701006762</v>
      </c>
      <c r="CE14" s="59">
        <f t="shared" si="40"/>
        <v>476.47513516380047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>
        <f>VLOOKUP(A14,'Données projet'!$A$139:$I$159,2,0)</f>
        <v>76</v>
      </c>
      <c r="CR14" s="12">
        <f>VLOOKUP(A14,'Données projet'!$A$139:$I$159,9,0)</f>
        <v>24</v>
      </c>
      <c r="CS14" s="12">
        <f t="array" ref="CS14">INDEX(CR:CR,MIN(IF(ISNUMBER(CR14:CR210),ROW(CR14:CR210),"")))</f>
        <v>24</v>
      </c>
      <c r="CT14" s="12">
        <f>IF('Données projet'!$A$140&gt;35,CT13+CS14-DB13,IF(A14&lt;'Données projet'!$A$140,$CQ$205^A14,IF(A14='Données projet'!$A$140,'Données projet'!$B$140,CT13+CS14-DB13)))</f>
        <v>76</v>
      </c>
      <c r="CU14" s="17">
        <f>CT14*VLOOKUP('Données projet'!$B$13,Paramètres!$A$1:$I$89,3,0)*VLOOKUP('Données projet'!$B$13,Paramètres!$A$1:$I$89,5,0)</f>
        <v>38.650559999999999</v>
      </c>
      <c r="CV14" s="13">
        <f t="shared" si="41"/>
        <v>11.640266448554883</v>
      </c>
      <c r="CW14" s="20">
        <f t="shared" si="13"/>
        <v>87.589856064566405</v>
      </c>
      <c r="CX14" s="59">
        <f t="shared" si="14"/>
        <v>307.79486092435951</v>
      </c>
      <c r="CY14" s="59">
        <f ca="1">AVERAGE(OFFSET($CX$3,0,0,'Données projet'!$E$13+1,1))-AVERAGE(OFFSET($H$3,0,0,'Données projet'!$E$13+1,1))</f>
        <v>110.43805901666033</v>
      </c>
      <c r="CZ14" s="59">
        <f t="shared" si="42"/>
        <v>319.51880962151881</v>
      </c>
      <c r="DA14" s="15">
        <f>IF(ISNA(VLOOKUP(A14,'Données projet'!$A$139:$I$159,3,0)),0,VLOOKUP(A14,'Données projet'!$A$139:$I$159,3,0))</f>
        <v>4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3.3000000000000003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12.100000000000001</v>
      </c>
      <c r="H15" s="67">
        <f t="shared" si="1"/>
        <v>208.26666666666665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10.163529411764706</v>
      </c>
      <c r="N15" s="13">
        <f>IF('Données projet'!$A$36&gt;35,N14+M15-V14,IF(A15&lt;'Données projet'!$A$36,$K$205^A15,IF(A15='Données projet'!$A$36,'Données projet'!$B$36,N14+M15-V14)))</f>
        <v>37.967076299782079</v>
      </c>
      <c r="O15" s="13">
        <f>N15*VLOOKUP('Données projet'!$B$9,Paramètres!$A$1:$I$89,3,0)*VLOOKUP('Données projet'!$B$9,Paramètres!$A$1:$I$89,5,0)</f>
        <v>21.223595651578183</v>
      </c>
      <c r="P15" s="13">
        <f t="shared" si="33"/>
        <v>6.8537664384614088</v>
      </c>
      <c r="Q15" s="20">
        <f t="shared" si="2"/>
        <v>48.901405640152291</v>
      </c>
      <c r="R15" s="59">
        <f t="shared" si="0"/>
        <v>271.19439209228932</v>
      </c>
      <c r="S15" s="59">
        <f ca="1">AVERAGE(OFFSET($R$3,0,0,'Données projet'!$E$9+1,1))-AVERAGE(OFFSET($H$3,0,0,'Données projet'!$E$9+1,1))</f>
        <v>414.37917672189968</v>
      </c>
      <c r="T15" s="59">
        <f t="shared" si="34"/>
        <v>546.83385887302961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11.8</v>
      </c>
      <c r="AI15" s="13">
        <f>IF('Données projet'!$A$62&gt;35,AI14+AH15-AQ14,IF(A15&lt;'Données projet'!$A$62,$AF$205^A15,IF(A15='Données projet'!$A$62,'Données projet'!$B$62,AI14+AH15-AQ14)))</f>
        <v>50.599999999999994</v>
      </c>
      <c r="AJ15" s="13">
        <f>AI15*VLOOKUP('Données projet'!$B$10,Paramètres!$A$1:$I$89,3,0)*VLOOKUP('Données projet'!$B$10,Paramètres!$A$1:$I$89,5,0)</f>
        <v>31.574399999999997</v>
      </c>
      <c r="AK15" s="13">
        <f t="shared" si="35"/>
        <v>9.7356413139687668</v>
      </c>
      <c r="AL15" s="20">
        <f t="shared" si="4"/>
        <v>71.948321955162271</v>
      </c>
      <c r="AM15" s="59">
        <f t="shared" si="5"/>
        <v>294.2413084072993</v>
      </c>
      <c r="AN15" s="59">
        <f ca="1">AVERAGE(OFFSET($AM$3,0,0,'Données projet'!$E$10+1,1))-AVERAGE(OFFSET($H$3,0,0,'Données projet'!$E$10+1,1))</f>
        <v>296.20984079604017</v>
      </c>
      <c r="AO15" s="59">
        <f t="shared" si="36"/>
        <v>351.8406329895206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4.6587096774193544</v>
      </c>
      <c r="BD15" s="12">
        <f>IF('Données projet'!$A$88&gt;35,BD14+BC15-BL14,IF(A15&lt;'Données projet'!$A$88,$BA$205^A15,IF(A15='Données projet'!$A$88,'Données projet'!$B$88,BD14+BC15-BL14)))</f>
        <v>6.854641990131511</v>
      </c>
      <c r="BE15" s="13">
        <f>BD15*VLOOKUP('Données projet'!$B$11,Paramètres!$A$1:$I$89,3,0)*VLOOKUP('Données projet'!$B$11,Paramètres!$A$1:$I$89,5,0)</f>
        <v>5.9882152425788888</v>
      </c>
      <c r="BF15" s="13">
        <f t="shared" si="37"/>
        <v>2.2406398187668271</v>
      </c>
      <c r="BG15" s="20">
        <f t="shared" si="7"/>
        <v>14.331922565177122</v>
      </c>
      <c r="BH15" s="59">
        <f t="shared" si="8"/>
        <v>236.62490901731414</v>
      </c>
      <c r="BI15" s="59">
        <f ca="1">AVERAGE(OFFSET($BH$3,0,0,'Données projet'!$E$11+1,1))-AVERAGE(OFFSET($H$3,0,0,'Données projet'!$E$11+1,1))</f>
        <v>385.40047672167555</v>
      </c>
      <c r="BJ15" s="59">
        <f t="shared" si="38"/>
        <v>286.49293757741611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9</v>
      </c>
      <c r="BY15" s="12">
        <f>IF('Données projet'!$A$114&gt;35,BY14+BX15-CG14,IF(A15&lt;'Données projet'!$A$114,$BV$205^A15,IF(A15='Données projet'!$A$114,'Données projet'!$B$114,BY14+BX15-CG14)))</f>
        <v>50.613575091394253</v>
      </c>
      <c r="BZ15" s="13">
        <f>BY15*VLOOKUP('Données projet'!$B$12,Paramètres!$A$1:$I$89,3,0)*VLOOKUP('Données projet'!$B$12,Paramètres!$A$1:$I$89,5,0)</f>
        <v>45.79516274269352</v>
      </c>
      <c r="CA15" s="13">
        <f t="shared" si="39"/>
        <v>13.522353012109113</v>
      </c>
      <c r="CB15" s="20">
        <f t="shared" si="10"/>
        <v>103.31133993961458</v>
      </c>
      <c r="CC15" s="59">
        <f t="shared" si="11"/>
        <v>325.60432639175161</v>
      </c>
      <c r="CD15" s="59">
        <f ca="1">AVERAGE(OFFSET($CC$3,0,0,'Données projet'!$E$12+1,1))-AVERAGE(OFFSET($H$3,0,0,'Données projet'!$E$12+1,1))</f>
        <v>397.12030701006762</v>
      </c>
      <c r="CE15" s="59">
        <f t="shared" si="40"/>
        <v>476.47513516380047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>
        <f>VLOOKUP(A15,'Données projet'!$A$139:$I$159,2,0)</f>
        <v>102</v>
      </c>
      <c r="CR15" s="12">
        <f>VLOOKUP(A15,'Données projet'!$A$139:$I$159,9,0)</f>
        <v>26</v>
      </c>
      <c r="CS15" s="12">
        <f t="array" ref="CS15">INDEX(CR:CR,MIN(IF(ISNUMBER(CR15:CR211),ROW(CR15:CR211),"")))</f>
        <v>26</v>
      </c>
      <c r="CT15" s="12">
        <f>IF('Données projet'!$A$140&gt;35,CT14+CS15-DB14,IF(A15&lt;'Données projet'!$A$140,$CQ$205^A15,IF(A15='Données projet'!$A$140,'Données projet'!$B$140,CT14+CS15-DB14)))</f>
        <v>102</v>
      </c>
      <c r="CU15" s="17">
        <f>CT15*VLOOKUP('Données projet'!$B$13,Paramètres!$A$1:$I$89,3,0)*VLOOKUP('Données projet'!$B$13,Paramètres!$A$1:$I$89,5,0)</f>
        <v>51.873120000000007</v>
      </c>
      <c r="CV15" s="13">
        <f t="shared" si="41"/>
        <v>15.09646078352872</v>
      </c>
      <c r="CW15" s="20">
        <f t="shared" si="13"/>
        <v>116.63868653131253</v>
      </c>
      <c r="CX15" s="59">
        <f t="shared" si="14"/>
        <v>338.93167298344957</v>
      </c>
      <c r="CY15" s="59">
        <f ca="1">AVERAGE(OFFSET($CX$3,0,0,'Données projet'!$E$13+1,1))-AVERAGE(OFFSET($H$3,0,0,'Données projet'!$E$13+1,1))</f>
        <v>110.43805901666033</v>
      </c>
      <c r="CZ15" s="59">
        <f t="shared" si="42"/>
        <v>319.51880962151881</v>
      </c>
      <c r="DA15" s="15">
        <f>IF(ISNA(VLOOKUP(A15,'Données projet'!$A$139:$I$159,3,0)),0,VLOOKUP(A15,'Données projet'!$A$139:$I$159,3,0))</f>
        <v>5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3.3000000000000003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12.100000000000001</v>
      </c>
      <c r="H16" s="67">
        <f t="shared" si="1"/>
        <v>208.26666666666665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10.163529411764706</v>
      </c>
      <c r="N16" s="13">
        <f>IF('Données projet'!$A$36&gt;35,N15+M16-V15,IF(A16&lt;'Données projet'!$A$36,$K$205^A16,IF(A16='Données projet'!$A$36,'Données projet'!$B$36,N15+M16-V15)))</f>
        <v>51.40725542326031</v>
      </c>
      <c r="O16" s="13">
        <f>N16*VLOOKUP('Données projet'!$B$9,Paramètres!$A$1:$I$89,3,0)*VLOOKUP('Données projet'!$B$9,Paramètres!$A$1:$I$89,5,0)</f>
        <v>28.736655781602511</v>
      </c>
      <c r="P16" s="13">
        <f t="shared" si="33"/>
        <v>8.9583146830098084</v>
      </c>
      <c r="Q16" s="20">
        <f t="shared" si="2"/>
        <v>65.652073559199778</v>
      </c>
      <c r="R16" s="59">
        <f t="shared" si="0"/>
        <v>290.01802261415713</v>
      </c>
      <c r="S16" s="59">
        <f ca="1">AVERAGE(OFFSET($R$3,0,0,'Données projet'!$E$9+1,1))-AVERAGE(OFFSET($H$3,0,0,'Données projet'!$E$9+1,1))</f>
        <v>414.37917672189968</v>
      </c>
      <c r="T16" s="59">
        <f t="shared" si="34"/>
        <v>546.83385887302961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11.8</v>
      </c>
      <c r="AI16" s="13">
        <f>IF('Données projet'!$A$62&gt;35,AI15+AH16-AQ15,IF(A16&lt;'Données projet'!$A$62,$AF$205^A16,IF(A16='Données projet'!$A$62,'Données projet'!$B$62,AI15+AH16-AQ15)))</f>
        <v>62.399999999999991</v>
      </c>
      <c r="AJ16" s="13">
        <f>AI16*VLOOKUP('Données projet'!$B$10,Paramètres!$A$1:$I$89,3,0)*VLOOKUP('Données projet'!$B$10,Paramètres!$A$1:$I$89,5,0)</f>
        <v>38.937599999999996</v>
      </c>
      <c r="AK16" s="13">
        <f t="shared" si="35"/>
        <v>11.716618027553634</v>
      </c>
      <c r="AL16" s="20">
        <f t="shared" si="4"/>
        <v>88.222763064655908</v>
      </c>
      <c r="AM16" s="59">
        <f t="shared" si="5"/>
        <v>312.58871211961326</v>
      </c>
      <c r="AN16" s="59">
        <f ca="1">AVERAGE(OFFSET($AM$3,0,0,'Données projet'!$E$10+1,1))-AVERAGE(OFFSET($H$3,0,0,'Données projet'!$E$10+1,1))</f>
        <v>296.20984079604017</v>
      </c>
      <c r="AO16" s="59">
        <f t="shared" si="36"/>
        <v>351.8406329895206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4.6587096774193544</v>
      </c>
      <c r="BD16" s="12">
        <f>IF('Données projet'!$A$88&gt;35,BD15+BC16-BL15,IF(A16&lt;'Données projet'!$A$88,$BA$205^A16,IF(A16='Données projet'!$A$88,'Données projet'!$B$88,BD15+BC16-BL15)))</f>
        <v>8.0472996881166541</v>
      </c>
      <c r="BE16" s="13">
        <f>BD16*VLOOKUP('Données projet'!$B$11,Paramètres!$A$1:$I$89,3,0)*VLOOKUP('Données projet'!$B$11,Paramètres!$A$1:$I$89,5,0)</f>
        <v>7.0301210075387104</v>
      </c>
      <c r="BF16" s="13">
        <f t="shared" si="37"/>
        <v>2.5818344736344812</v>
      </c>
      <c r="BG16" s="20">
        <f t="shared" si="7"/>
        <v>16.740822463043308</v>
      </c>
      <c r="BH16" s="59">
        <f t="shared" si="8"/>
        <v>241.10677151800067</v>
      </c>
      <c r="BI16" s="59">
        <f ca="1">AVERAGE(OFFSET($BH$3,0,0,'Données projet'!$E$11+1,1))-AVERAGE(OFFSET($H$3,0,0,'Données projet'!$E$11+1,1))</f>
        <v>385.40047672167555</v>
      </c>
      <c r="BJ16" s="59">
        <f t="shared" si="38"/>
        <v>286.49293757741611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9</v>
      </c>
      <c r="BY16" s="12">
        <f>IF('Données projet'!$A$114&gt;35,BY15+BX16-CG15,IF(A16&lt;'Données projet'!$A$114,$BV$205^A16,IF(A16='Données projet'!$A$114,'Données projet'!$B$114,BY15+BX16-CG15)))</f>
        <v>70.192266511770029</v>
      </c>
      <c r="BZ16" s="13">
        <f>BY16*VLOOKUP('Données projet'!$B$12,Paramètres!$A$1:$I$89,3,0)*VLOOKUP('Données projet'!$B$12,Paramètres!$A$1:$I$89,5,0)</f>
        <v>63.50996273984952</v>
      </c>
      <c r="CA16" s="13">
        <f t="shared" si="39"/>
        <v>18.05274013175649</v>
      </c>
      <c r="CB16" s="20">
        <f t="shared" si="10"/>
        <v>142.05504083471379</v>
      </c>
      <c r="CC16" s="59">
        <f t="shared" si="11"/>
        <v>366.42098988967115</v>
      </c>
      <c r="CD16" s="59">
        <f ca="1">AVERAGE(OFFSET($CC$3,0,0,'Données projet'!$E$12+1,1))-AVERAGE(OFFSET($H$3,0,0,'Données projet'!$E$12+1,1))</f>
        <v>397.12030701006762</v>
      </c>
      <c r="CE16" s="59">
        <f t="shared" si="40"/>
        <v>476.47513516380047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>
        <f>VLOOKUP(A16,'Données projet'!$A$139:$I$159,2,0)</f>
        <v>125</v>
      </c>
      <c r="CR16" s="12">
        <f>VLOOKUP(A16,'Données projet'!$A$139:$I$159,9,0)</f>
        <v>23</v>
      </c>
      <c r="CS16" s="12">
        <f t="array" ref="CS16">INDEX(CR:CR,MIN(IF(ISNUMBER(CR16:CR212),ROW(CR16:CR212),"")))</f>
        <v>23</v>
      </c>
      <c r="CT16" s="12">
        <f>IF('Données projet'!$A$140&gt;35,CT15+CS16-DB15,IF(A16&lt;'Données projet'!$A$140,$CQ$205^A16,IF(A16='Données projet'!$A$140,'Données projet'!$B$140,CT15+CS16-DB15)))</f>
        <v>125</v>
      </c>
      <c r="CU16" s="17">
        <f>CT16*VLOOKUP('Données projet'!$B$13,Paramètres!$A$1:$I$89,3,0)*VLOOKUP('Données projet'!$B$13,Paramètres!$A$1:$I$89,5,0)</f>
        <v>63.57</v>
      </c>
      <c r="CV16" s="13">
        <f t="shared" si="41"/>
        <v>18.067818486559997</v>
      </c>
      <c r="CW16" s="20">
        <f t="shared" si="13"/>
        <v>142.18586719742532</v>
      </c>
      <c r="CX16" s="59">
        <f t="shared" si="14"/>
        <v>366.55181625238265</v>
      </c>
      <c r="CY16" s="59">
        <f ca="1">AVERAGE(OFFSET($CX$3,0,0,'Données projet'!$E$13+1,1))-AVERAGE(OFFSET($H$3,0,0,'Données projet'!$E$13+1,1))</f>
        <v>110.43805901666033</v>
      </c>
      <c r="CZ16" s="59">
        <f t="shared" si="42"/>
        <v>319.51880962151881</v>
      </c>
      <c r="DA16" s="15">
        <f>IF(ISNA(VLOOKUP(A16,'Données projet'!$A$139:$I$159,3,0)),0,VLOOKUP(A16,'Données projet'!$A$139:$I$159,3,0))</f>
        <v>6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3.3000000000000003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12.100000000000001</v>
      </c>
      <c r="H17" s="67">
        <f t="shared" si="1"/>
        <v>208.26666666666665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10.163529411764706</v>
      </c>
      <c r="N17" s="13">
        <f>IF('Données projet'!$A$36&gt;35,N16+M17-V16,IF(A17&lt;'Données projet'!$A$36,$K$205^A17,IF(A17='Données projet'!$A$36,'Données projet'!$B$36,N16+M17-V16)))</f>
        <v>69.605199233302443</v>
      </c>
      <c r="O17" s="13">
        <f>N17*VLOOKUP('Données projet'!$B$9,Paramètres!$A$1:$I$89,3,0)*VLOOKUP('Données projet'!$B$9,Paramètres!$A$1:$I$89,5,0)</f>
        <v>38.909306371416065</v>
      </c>
      <c r="P17" s="13">
        <f t="shared" si="33"/>
        <v>11.709094945150285</v>
      </c>
      <c r="Q17" s="20">
        <f t="shared" si="2"/>
        <v>88.160382293019723</v>
      </c>
      <c r="R17" s="59">
        <f t="shared" si="0"/>
        <v>314.5845355071645</v>
      </c>
      <c r="S17" s="59">
        <f ca="1">AVERAGE(OFFSET($R$3,0,0,'Données projet'!$E$9+1,1))-AVERAGE(OFFSET($H$3,0,0,'Données projet'!$E$9+1,1))</f>
        <v>414.37917672189968</v>
      </c>
      <c r="T17" s="59">
        <f t="shared" si="34"/>
        <v>546.83385887302961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11.8</v>
      </c>
      <c r="AI17" s="13">
        <f>IF('Données projet'!$A$62&gt;35,AI16+AH17-AQ16,IF(A17&lt;'Données projet'!$A$62,$AF$205^A17,IF(A17='Données projet'!$A$62,'Données projet'!$B$62,AI16+AH17-AQ16)))</f>
        <v>74.199999999999989</v>
      </c>
      <c r="AJ17" s="13">
        <f>AI17*VLOOKUP('Données projet'!$B$10,Paramètres!$A$1:$I$89,3,0)*VLOOKUP('Données projet'!$B$10,Paramètres!$A$1:$I$89,5,0)</f>
        <v>46.300799999999995</v>
      </c>
      <c r="AK17" s="13">
        <f t="shared" si="35"/>
        <v>13.654193684451661</v>
      </c>
      <c r="AL17" s="20">
        <f t="shared" si="4"/>
        <v>104.42161400041998</v>
      </c>
      <c r="AM17" s="59">
        <f t="shared" si="5"/>
        <v>330.84576721456477</v>
      </c>
      <c r="AN17" s="59">
        <f ca="1">AVERAGE(OFFSET($AM$3,0,0,'Données projet'!$E$10+1,1))-AVERAGE(OFFSET($H$3,0,0,'Données projet'!$E$10+1,1))</f>
        <v>296.20984079604017</v>
      </c>
      <c r="AO17" s="59">
        <f t="shared" si="36"/>
        <v>351.8406329895206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4.6587096774193544</v>
      </c>
      <c r="BD17" s="12">
        <f>IF('Données projet'!$A$88&gt;35,BD16+BC17-BL16,IF(A17&lt;'Données projet'!$A$88,$BA$205^A17,IF(A17='Données projet'!$A$88,'Données projet'!$B$88,BD16+BC17-BL16)))</f>
        <v>9.4474711244722425</v>
      </c>
      <c r="BE17" s="13">
        <f>BD17*VLOOKUP('Données projet'!$B$11,Paramètres!$A$1:$I$89,3,0)*VLOOKUP('Données projet'!$B$11,Paramètres!$A$1:$I$89,5,0)</f>
        <v>8.2533107743389511</v>
      </c>
      <c r="BF17" s="13">
        <f t="shared" si="37"/>
        <v>2.9749847313327247</v>
      </c>
      <c r="BG17" s="20">
        <f t="shared" si="7"/>
        <v>19.555948005711503</v>
      </c>
      <c r="BH17" s="59">
        <f t="shared" si="8"/>
        <v>245.98010121985629</v>
      </c>
      <c r="BI17" s="59">
        <f ca="1">AVERAGE(OFFSET($BH$3,0,0,'Données projet'!$E$11+1,1))-AVERAGE(OFFSET($H$3,0,0,'Données projet'!$E$11+1,1))</f>
        <v>385.40047672167555</v>
      </c>
      <c r="BJ17" s="59">
        <f t="shared" si="38"/>
        <v>286.49293757741611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9</v>
      </c>
      <c r="BY17" s="12">
        <f>IF('Données projet'!$A$114&gt;35,BY16+BX17-CG16,IF(A17&lt;'Données projet'!$A$114,$BV$205^A17,IF(A17='Données projet'!$A$114,'Données projet'!$B$114,BY16+BX17-CG16)))</f>
        <v>97.344522080541097</v>
      </c>
      <c r="BZ17" s="13">
        <f>BY17*VLOOKUP('Données projet'!$B$12,Paramètres!$A$1:$I$89,3,0)*VLOOKUP('Données projet'!$B$12,Paramètres!$A$1:$I$89,5,0)</f>
        <v>88.077323578473582</v>
      </c>
      <c r="CA17" s="13">
        <f t="shared" si="39"/>
        <v>24.100940566548605</v>
      </c>
      <c r="CB17" s="20">
        <f t="shared" si="10"/>
        <v>195.37714338591363</v>
      </c>
      <c r="CC17" s="59">
        <f t="shared" si="11"/>
        <v>421.80129660005844</v>
      </c>
      <c r="CD17" s="59">
        <f ca="1">AVERAGE(OFFSET($CC$3,0,0,'Données projet'!$E$12+1,1))-AVERAGE(OFFSET($H$3,0,0,'Données projet'!$E$12+1,1))</f>
        <v>397.12030701006762</v>
      </c>
      <c r="CE17" s="59">
        <f t="shared" si="40"/>
        <v>476.47513516380047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>
        <f>VLOOKUP(A17,'Données projet'!$A$139:$I$159,2,0)</f>
        <v>149</v>
      </c>
      <c r="CR17" s="12">
        <f>VLOOKUP(A17,'Données projet'!$A$139:$I$159,9,0)</f>
        <v>24</v>
      </c>
      <c r="CS17" s="12">
        <f t="array" ref="CS17">INDEX(CR:CR,MIN(IF(ISNUMBER(CR17:CR213),ROW(CR17:CR213),"")))</f>
        <v>24</v>
      </c>
      <c r="CT17" s="12">
        <f>IF('Données projet'!$A$140&gt;35,CT16+CS17-DB16,IF(A17&lt;'Données projet'!$A$140,$CQ$205^A17,IF(A17='Données projet'!$A$140,'Données projet'!$B$140,CT16+CS17-DB16)))</f>
        <v>149</v>
      </c>
      <c r="CU17" s="17">
        <f>CT17*VLOOKUP('Données projet'!$B$13,Paramètres!$A$1:$I$89,3,0)*VLOOKUP('Données projet'!$B$13,Paramètres!$A$1:$I$89,5,0)</f>
        <v>75.775440000000017</v>
      </c>
      <c r="CV17" s="13">
        <f t="shared" si="41"/>
        <v>21.101018495944235</v>
      </c>
      <c r="CW17" s="20">
        <f t="shared" si="13"/>
        <v>168.72649854710286</v>
      </c>
      <c r="CX17" s="59">
        <f t="shared" si="14"/>
        <v>395.15065176124767</v>
      </c>
      <c r="CY17" s="59">
        <f ca="1">AVERAGE(OFFSET($CX$3,0,0,'Données projet'!$E$13+1,1))-AVERAGE(OFFSET($H$3,0,0,'Données projet'!$E$13+1,1))</f>
        <v>110.43805901666033</v>
      </c>
      <c r="CZ17" s="59">
        <f t="shared" si="42"/>
        <v>319.51880962151881</v>
      </c>
      <c r="DA17" s="15">
        <f>IF(ISNA(VLOOKUP(A17,'Données projet'!$A$139:$I$159,3,0)),0,VLOOKUP(A17,'Données projet'!$A$139:$I$159,3,0))</f>
        <v>7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3.3000000000000003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12.100000000000001</v>
      </c>
      <c r="H18" s="67">
        <f t="shared" si="1"/>
        <v>208.26666666666665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10.163529411764706</v>
      </c>
      <c r="N18" s="13">
        <f>IF('Données projet'!$A$36&gt;35,N17+M18-V17,IF(A18&lt;'Données projet'!$A$36,$K$205^A18,IF(A18='Données projet'!$A$36,'Données projet'!$B$36,N17+M18-V17)))</f>
        <v>94.245135641214503</v>
      </c>
      <c r="O18" s="13">
        <f>N18*VLOOKUP('Données projet'!$B$9,Paramètres!$A$1:$I$89,3,0)*VLOOKUP('Données projet'!$B$9,Paramètres!$A$1:$I$89,5,0)</f>
        <v>52.683030823438912</v>
      </c>
      <c r="P18" s="13">
        <f t="shared" si="33"/>
        <v>15.304542124934633</v>
      </c>
      <c r="Q18" s="20">
        <f t="shared" si="2"/>
        <v>118.41168955175056</v>
      </c>
      <c r="R18" s="59">
        <f t="shared" si="0"/>
        <v>346.87954450745201</v>
      </c>
      <c r="S18" s="59">
        <f ca="1">AVERAGE(OFFSET($R$3,0,0,'Données projet'!$E$9+1,1))-AVERAGE(OFFSET($H$3,0,0,'Données projet'!$E$9+1,1))</f>
        <v>414.37917672189968</v>
      </c>
      <c r="T18" s="59">
        <f t="shared" si="34"/>
        <v>546.83385887302961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86</v>
      </c>
      <c r="AG18" s="12">
        <f>VLOOKUP(A18,'Données projet'!$A$61:$I$81,9,0)</f>
        <v>11.8</v>
      </c>
      <c r="AH18" s="12">
        <f t="array" ref="AH18">INDEX(AG:AG,MIN(IF(ISNUMBER(AG18:AG214),ROW(AG18:AG214),"")))</f>
        <v>11.8</v>
      </c>
      <c r="AI18" s="13">
        <f>IF('Données projet'!$A$62&gt;35,AI17+AH18-AQ17,IF(A18&lt;'Données projet'!$A$62,$AF$205^A18,IF(A18='Données projet'!$A$62,'Données projet'!$B$62,AI17+AH18-AQ17)))</f>
        <v>85.999999999999986</v>
      </c>
      <c r="AJ18" s="13">
        <f>AI18*VLOOKUP('Données projet'!$B$10,Paramètres!$A$1:$I$89,3,0)*VLOOKUP('Données projet'!$B$10,Paramètres!$A$1:$I$89,5,0)</f>
        <v>53.663999999999994</v>
      </c>
      <c r="AK18" s="13">
        <f t="shared" si="35"/>
        <v>15.556073979202782</v>
      </c>
      <c r="AL18" s="20">
        <f t="shared" si="4"/>
        <v>120.55829551377816</v>
      </c>
      <c r="AM18" s="59">
        <f t="shared" si="5"/>
        <v>349.02615046947966</v>
      </c>
      <c r="AN18" s="59">
        <f ca="1">AVERAGE(OFFSET($AM$3,0,0,'Données projet'!$E$10+1,1))-AVERAGE(OFFSET($H$3,0,0,'Données projet'!$E$10+1,1))</f>
        <v>296.20984079604017</v>
      </c>
      <c r="AO18" s="59">
        <f t="shared" si="36"/>
        <v>351.8406329895206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18</v>
      </c>
      <c r="AR18" s="16">
        <f>IF(ISNA(VLOOKUP(A18,'Données projet'!$A$61:$I$81,5,0)),0%,VLOOKUP(A18,'Données projet'!$A$61:$I$81,5,0)*VLOOKUP('Données projet'!$B$10,Paramètres!$A$1:$I$89,7,0))</f>
        <v>0.12</v>
      </c>
      <c r="AS18" s="16">
        <f>IF(ISNA(VLOOKUP(A18,'Données projet'!$A$61:$I$81,6,0)),0%,VLOOKUP(A18,'Données projet'!$A$61:$I$81,6,0)*VLOOKUP('Données projet'!$B$10,Paramètres!$A$1:$I$89,7,0))</f>
        <v>0.33600000000000002</v>
      </c>
      <c r="AT18" s="16">
        <f>IF(ISNA(VLOOKUP(A18,'Données projet'!$A$61:$I$81,7,0)),0%,VLOOKUP(A18,'Données projet'!$A$61:$I$81,7,0))</f>
        <v>0.35</v>
      </c>
      <c r="AU18" s="21">
        <f>EXP(-LN(2)/35)*AU17+(1-EXP(-LN(2)/35))/(LN(2)/35)*AQ18*AR18*VLOOKUP('Données projet'!$B$10,Paramètres!$A$1:$I$89,3,0)*0.475*44/12</f>
        <v>1.7879966356196297</v>
      </c>
      <c r="AV18" s="21">
        <f>EXP(-LN(2)/25)*AV17+(1-EXP(-LN(2)/25))/(LN(2)/25)*Calculateur!AQ18*Calculateur!AS18*VLOOKUP('Données projet'!$B$10,Paramètres!$A$1:$I$89,3,0)*0.475*44/12</f>
        <v>4.9866785124381838</v>
      </c>
      <c r="AW18" s="21">
        <f>EXP(-LN(2)/2)*AW17+(1-EXP(-LN(2)/2))/(LN(2)/2)*AQ18*AT18*VLOOKUP('Données projet'!$B$10,Paramètres!$A$1:$I$89,3,0)*0.475*44/12</f>
        <v>4.4510316080360424</v>
      </c>
      <c r="AX18" s="21">
        <f t="shared" si="6"/>
        <v>11.225706756093857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4.6587096774193544</v>
      </c>
      <c r="BD18" s="12">
        <f>IF('Données projet'!$A$88&gt;35,BD17+BC18-BL17,IF(A18&lt;'Données projet'!$A$88,$BA$205^A18,IF(A18='Données projet'!$A$88,'Données projet'!$B$88,BD17+BC18-BL17)))</f>
        <v>11.091262175750474</v>
      </c>
      <c r="BE18" s="13">
        <f>BD18*VLOOKUP('Données projet'!$B$11,Paramètres!$A$1:$I$89,3,0)*VLOOKUP('Données projet'!$B$11,Paramètres!$A$1:$I$89,5,0)</f>
        <v>9.6893266367356148</v>
      </c>
      <c r="BF18" s="13">
        <f t="shared" si="37"/>
        <v>3.4280021597216659</v>
      </c>
      <c r="BG18" s="20">
        <f t="shared" si="7"/>
        <v>22.846014320496433</v>
      </c>
      <c r="BH18" s="59">
        <f t="shared" si="8"/>
        <v>251.31386927619792</v>
      </c>
      <c r="BI18" s="59">
        <f ca="1">AVERAGE(OFFSET($BH$3,0,0,'Données projet'!$E$11+1,1))-AVERAGE(OFFSET($H$3,0,0,'Données projet'!$E$11+1,1))</f>
        <v>385.40047672167555</v>
      </c>
      <c r="BJ18" s="59">
        <f t="shared" si="38"/>
        <v>286.49293757741611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135</v>
      </c>
      <c r="BW18" s="12">
        <f>VLOOKUP(A18,'Données projet'!$A$113:$I$133,9,0)</f>
        <v>9</v>
      </c>
      <c r="BX18" s="12">
        <f t="array" ref="BX18">INDEX(BW:BW,MIN(IF(ISNUMBER(BW18:BW214),ROW(BW18:BW214),"")))</f>
        <v>9</v>
      </c>
      <c r="BY18" s="12">
        <f>IF('Données projet'!$A$114&gt;35,BY17+BX18-CG17,IF(A18&lt;'Données projet'!$A$114,$BV$205^A18,IF(A18='Données projet'!$A$114,'Données projet'!$B$114,BY17+BX18-CG17)))</f>
        <v>135</v>
      </c>
      <c r="BZ18" s="13">
        <f>BY18*VLOOKUP('Données projet'!$B$12,Paramètres!$A$1:$I$89,3,0)*VLOOKUP('Données projet'!$B$12,Paramètres!$A$1:$I$89,5,0)</f>
        <v>122.148</v>
      </c>
      <c r="CA18" s="13">
        <f t="shared" si="39"/>
        <v>32.175466547071615</v>
      </c>
      <c r="CB18" s="20">
        <f t="shared" si="10"/>
        <v>268.78003756948306</v>
      </c>
      <c r="CC18" s="59">
        <f t="shared" si="11"/>
        <v>497.24789252518451</v>
      </c>
      <c r="CD18" s="59">
        <f ca="1">AVERAGE(OFFSET($CC$3,0,0,'Données projet'!$E$12+1,1))-AVERAGE(OFFSET($H$3,0,0,'Données projet'!$E$12+1,1))</f>
        <v>397.12030701006762</v>
      </c>
      <c r="CE18" s="59">
        <f t="shared" si="40"/>
        <v>476.47513516380047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37</v>
      </c>
      <c r="CH18" s="16">
        <f>IF(ISNA(VLOOKUP(A18,'Données projet'!$A$113:$I$133,5,0)),0%,VLOOKUP(A18,'Données projet'!$A$113:$I$133,5,0)*VLOOKUP('Données projet'!$B$12,Paramètres!$A$1:$I$89,7,0))</f>
        <v>0.03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1.1102548553355687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1.1102548553355687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172</v>
      </c>
      <c r="CR18" s="12">
        <f>VLOOKUP(A18,'Données projet'!$A$139:$I$159,9,0)</f>
        <v>23</v>
      </c>
      <c r="CS18" s="12">
        <f t="array" ref="CS18">INDEX(CR:CR,MIN(IF(ISNUMBER(CR18:CR214),ROW(CR18:CR214),"")))</f>
        <v>23</v>
      </c>
      <c r="CT18" s="12">
        <f>IF('Données projet'!$A$140&gt;35,CT17+CS18-DB17,IF(A18&lt;'Données projet'!$A$140,$CQ$205^A18,IF(A18='Données projet'!$A$140,'Données projet'!$B$140,CT17+CS18-DB17)))</f>
        <v>172</v>
      </c>
      <c r="CU18" s="17">
        <f>CT18*VLOOKUP('Données projet'!$B$13,Paramètres!$A$1:$I$89,3,0)*VLOOKUP('Données projet'!$B$13,Paramètres!$A$1:$I$89,5,0)</f>
        <v>87.472320000000011</v>
      </c>
      <c r="CV18" s="13">
        <f t="shared" si="41"/>
        <v>23.954602415239084</v>
      </c>
      <c r="CW18" s="20">
        <f t="shared" si="13"/>
        <v>194.06855653987475</v>
      </c>
      <c r="CX18" s="59">
        <f t="shared" si="14"/>
        <v>422.5364114955762</v>
      </c>
      <c r="CY18" s="59">
        <f ca="1">AVERAGE(OFFSET($CX$3,0,0,'Données projet'!$E$13+1,1))-AVERAGE(OFFSET($H$3,0,0,'Données projet'!$E$13+1,1))</f>
        <v>110.43805901666033</v>
      </c>
      <c r="CZ18" s="59">
        <f t="shared" si="42"/>
        <v>319.51880962151881</v>
      </c>
      <c r="DA18" s="15">
        <f>IF(ISNA(VLOOKUP(A18,'Données projet'!$A$139:$I$159,3,0)),0,VLOOKUP(A18,'Données projet'!$A$139:$I$159,3,0))</f>
        <v>8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3.3000000000000003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12.100000000000001</v>
      </c>
      <c r="H19" s="67">
        <f t="shared" si="1"/>
        <v>208.26666666666665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10.163529411764706</v>
      </c>
      <c r="N19" s="13">
        <f>IF('Données projet'!$A$36&gt;35,N18+M19-V18,IF(A19&lt;'Données projet'!$A$36,$K$205^A19,IF(A19='Données projet'!$A$36,'Données projet'!$B$36,N18+M19-V18)))</f>
        <v>127.60750188013651</v>
      </c>
      <c r="O19" s="13">
        <f>N19*VLOOKUP('Données projet'!$B$9,Paramètres!$A$1:$I$89,3,0)*VLOOKUP('Données projet'!$B$9,Paramètres!$A$1:$I$89,5,0)</f>
        <v>71.332593550996307</v>
      </c>
      <c r="P19" s="13">
        <f t="shared" si="33"/>
        <v>20.004023432307392</v>
      </c>
      <c r="Q19" s="20">
        <f t="shared" si="2"/>
        <v>159.07794124592061</v>
      </c>
      <c r="R19" s="59">
        <f t="shared" si="0"/>
        <v>389.57524711007147</v>
      </c>
      <c r="S19" s="59">
        <f ca="1">AVERAGE(OFFSET($R$3,0,0,'Données projet'!$E$9+1,1))-AVERAGE(OFFSET($H$3,0,0,'Données projet'!$E$9+1,1))</f>
        <v>414.37917672189968</v>
      </c>
      <c r="T19" s="59">
        <f t="shared" si="34"/>
        <v>546.83385887302961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14.4</v>
      </c>
      <c r="AI19" s="13">
        <f>IF('Données projet'!$A$62&gt;35,AI18+AH19-AQ18,IF(A19&lt;'Données projet'!$A$62,$AF$205^A19,IF(A19='Données projet'!$A$62,'Données projet'!$B$62,AI18+AH19-AQ18)))</f>
        <v>82.399999999999991</v>
      </c>
      <c r="AJ19" s="13">
        <f>AI19*VLOOKUP('Données projet'!$B$10,Paramètres!$A$1:$I$89,3,0)*VLOOKUP('Données projet'!$B$10,Paramètres!$A$1:$I$89,5,0)</f>
        <v>51.417599999999993</v>
      </c>
      <c r="AK19" s="13">
        <f t="shared" si="35"/>
        <v>14.97926322610034</v>
      </c>
      <c r="AL19" s="20">
        <f t="shared" si="4"/>
        <v>115.64120345212474</v>
      </c>
      <c r="AM19" s="59">
        <f t="shared" si="5"/>
        <v>346.13850931627559</v>
      </c>
      <c r="AN19" s="59">
        <f ca="1">AVERAGE(OFFSET($AM$3,0,0,'Données projet'!$E$10+1,1))-AVERAGE(OFFSET($H$3,0,0,'Données projet'!$E$10+1,1))</f>
        <v>296.20984079604017</v>
      </c>
      <c r="AO19" s="59">
        <f t="shared" si="36"/>
        <v>351.8406329895206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1.7529351121653916</v>
      </c>
      <c r="AV19" s="21">
        <f>EXP(-LN(2)/25)*AV18+(1-EXP(-LN(2)/25))/(LN(2)/25)*Calculateur!AQ19*Calculateur!AS19*VLOOKUP('Données projet'!$B$10,Paramètres!$A$1:$I$89,3,0)*0.475*44/12</f>
        <v>4.8503175262775358</v>
      </c>
      <c r="AW19" s="21">
        <f>EXP(-LN(2)/2)*AW18+(1-EXP(-LN(2)/2))/(LN(2)/2)*AQ19*AT19*VLOOKUP('Données projet'!$B$10,Paramètres!$A$1:$I$89,3,0)*0.475*44/12</f>
        <v>3.1473546333179487</v>
      </c>
      <c r="AX19" s="21">
        <f t="shared" si="6"/>
        <v>9.7506072717608756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4.6587096774193544</v>
      </c>
      <c r="BD19" s="12">
        <f>IF('Données projet'!$A$88&gt;35,BD18+BC19-BL18,IF(A19&lt;'Données projet'!$A$88,$BA$205^A19,IF(A19='Données projet'!$A$88,'Données projet'!$B$88,BD18+BC19-BL18)))</f>
        <v>13.02106087761185</v>
      </c>
      <c r="BE19" s="13">
        <f>BD19*VLOOKUP('Données projet'!$B$11,Paramètres!$A$1:$I$89,3,0)*VLOOKUP('Données projet'!$B$11,Paramètres!$A$1:$I$89,5,0)</f>
        <v>11.375198782681714</v>
      </c>
      <c r="BF19" s="13">
        <f t="shared" si="37"/>
        <v>3.9500030649878779</v>
      </c>
      <c r="BG19" s="20">
        <f t="shared" si="7"/>
        <v>26.69139321802454</v>
      </c>
      <c r="BH19" s="59">
        <f t="shared" si="8"/>
        <v>257.18869908217539</v>
      </c>
      <c r="BI19" s="59">
        <f ca="1">AVERAGE(OFFSET($BH$3,0,0,'Données projet'!$E$11+1,1))-AVERAGE(OFFSET($H$3,0,0,'Données projet'!$E$11+1,1))</f>
        <v>385.40047672167555</v>
      </c>
      <c r="BJ19" s="59">
        <f t="shared" si="38"/>
        <v>286.49293757741611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13.2</v>
      </c>
      <c r="BY19" s="12">
        <f>IF('Données projet'!$A$114&gt;35,BY18+BX19-CG18,IF(A19&lt;'Données projet'!$A$114,$BV$205^A19,IF(A19='Données projet'!$A$114,'Données projet'!$B$114,BY18+BX19-CG18)))</f>
        <v>111.19999999999999</v>
      </c>
      <c r="BZ19" s="13">
        <f>BY19*VLOOKUP('Données projet'!$B$12,Paramètres!$A$1:$I$89,3,0)*VLOOKUP('Données projet'!$B$12,Paramètres!$A$1:$I$89,5,0)</f>
        <v>100.61376</v>
      </c>
      <c r="CA19" s="13">
        <f t="shared" si="39"/>
        <v>27.108165292768138</v>
      </c>
      <c r="CB19" s="20">
        <f t="shared" si="10"/>
        <v>222.44901988490449</v>
      </c>
      <c r="CC19" s="59">
        <f t="shared" si="11"/>
        <v>452.94632574905529</v>
      </c>
      <c r="CD19" s="59">
        <f ca="1">AVERAGE(OFFSET($CC$3,0,0,'Données projet'!$E$12+1,1))-AVERAGE(OFFSET($H$3,0,0,'Données projet'!$E$12+1,1))</f>
        <v>397.12030701006762</v>
      </c>
      <c r="CE19" s="59">
        <f t="shared" si="40"/>
        <v>476.47513516380047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1.088483434811033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1.088483434811033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>
        <f>VLOOKUP(A19,'Données projet'!$A$139:$I$159,2,0)</f>
        <v>193</v>
      </c>
      <c r="CR19" s="12">
        <f>VLOOKUP(A19,'Données projet'!$A$139:$I$159,9,0)</f>
        <v>21</v>
      </c>
      <c r="CS19" s="12">
        <f t="array" ref="CS19">INDEX(CR:CR,MIN(IF(ISNUMBER(CR19:CR215),ROW(CR19:CR215),"")))</f>
        <v>21</v>
      </c>
      <c r="CT19" s="12">
        <f>IF('Données projet'!$A$140&gt;35,CT18+CS19-DB18,IF(A19&lt;'Données projet'!$A$140,$CQ$205^A19,IF(A19='Données projet'!$A$140,'Données projet'!$B$140,CT18+CS19-DB18)))</f>
        <v>193</v>
      </c>
      <c r="CU19" s="17">
        <f>CT19*VLOOKUP('Données projet'!$B$13,Paramètres!$A$1:$I$89,3,0)*VLOOKUP('Données projet'!$B$13,Paramètres!$A$1:$I$89,5,0)</f>
        <v>98.152079999999998</v>
      </c>
      <c r="CV19" s="13">
        <f t="shared" si="41"/>
        <v>26.521279327341439</v>
      </c>
      <c r="CW19" s="20">
        <f t="shared" si="13"/>
        <v>217.13943416178634</v>
      </c>
      <c r="CX19" s="59">
        <f t="shared" si="14"/>
        <v>447.63674002593717</v>
      </c>
      <c r="CY19" s="59">
        <f ca="1">AVERAGE(OFFSET($CX$3,0,0,'Données projet'!$E$13+1,1))-AVERAGE(OFFSET($H$3,0,0,'Données projet'!$E$13+1,1))</f>
        <v>110.43805901666033</v>
      </c>
      <c r="CZ19" s="59">
        <f t="shared" si="42"/>
        <v>319.51880962151881</v>
      </c>
      <c r="DA19" s="15">
        <f>IF(ISNA(VLOOKUP(A19,'Données projet'!$A$139:$I$159,3,0)),0,VLOOKUP(A19,'Données projet'!$A$139:$I$159,3,0))</f>
        <v>9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3.3000000000000003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12.100000000000001</v>
      </c>
      <c r="H20" s="67">
        <f t="shared" si="1"/>
        <v>208.26666666666665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172.78</v>
      </c>
      <c r="L20" s="12">
        <f>VLOOKUP(A20,'Données projet'!$A$35:$I$55,9,0)</f>
        <v>10.163529411764706</v>
      </c>
      <c r="M20" s="12">
        <f t="array" ref="M20">INDEX(L:L,MIN(IF(ISNUMBER(L20:L216),ROW(L20:L216),"")))</f>
        <v>10.163529411764706</v>
      </c>
      <c r="N20" s="13">
        <f>IF('Données projet'!$A$36&gt;35,N19+M20-V19,IF(A20&lt;'Données projet'!$A$36,$K$205^A20,IF(A20='Données projet'!$A$36,'Données projet'!$B$36,N19+M20-V19)))</f>
        <v>172.78</v>
      </c>
      <c r="O20" s="13">
        <f>N20*VLOOKUP('Données projet'!$B$9,Paramètres!$A$1:$I$89,3,0)*VLOOKUP('Données projet'!$B$9,Paramètres!$A$1:$I$89,5,0)</f>
        <v>96.58402000000001</v>
      </c>
      <c r="P20" s="13">
        <f t="shared" si="33"/>
        <v>26.146548535310259</v>
      </c>
      <c r="Q20" s="20">
        <f t="shared" si="2"/>
        <v>213.75574019899872</v>
      </c>
      <c r="R20" s="59">
        <f t="shared" si="0"/>
        <v>446.26849335858589</v>
      </c>
      <c r="S20" s="59">
        <f ca="1">AVERAGE(OFFSET($R$3,0,0,'Données projet'!$E$9+1,1))-AVERAGE(OFFSET($H$3,0,0,'Données projet'!$E$9+1,1))</f>
        <v>414.37917672189968</v>
      </c>
      <c r="T20" s="59">
        <f t="shared" si="34"/>
        <v>546.83385887302961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0.30800000000000005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14.4</v>
      </c>
      <c r="AI20" s="13">
        <f>IF('Données projet'!$A$62&gt;35,AI19+AH20-AQ19,IF(A20&lt;'Données projet'!$A$62,$AF$205^A20,IF(A20='Données projet'!$A$62,'Données projet'!$B$62,AI19+AH20-AQ19)))</f>
        <v>96.8</v>
      </c>
      <c r="AJ20" s="13">
        <f>AI20*VLOOKUP('Données projet'!$B$10,Paramètres!$A$1:$I$89,3,0)*VLOOKUP('Données projet'!$B$10,Paramètres!$A$1:$I$89,5,0)</f>
        <v>60.403199999999998</v>
      </c>
      <c r="AK20" s="13">
        <f t="shared" si="35"/>
        <v>17.270170852472724</v>
      </c>
      <c r="AL20" s="20">
        <f t="shared" si="4"/>
        <v>135.28112090138998</v>
      </c>
      <c r="AM20" s="59">
        <f t="shared" si="5"/>
        <v>367.79387406097715</v>
      </c>
      <c r="AN20" s="59">
        <f ca="1">AVERAGE(OFFSET($AM$3,0,0,'Données projet'!$E$10+1,1))-AVERAGE(OFFSET($H$3,0,0,'Données projet'!$E$10+1,1))</f>
        <v>296.20984079604017</v>
      </c>
      <c r="AO20" s="59">
        <f t="shared" si="36"/>
        <v>351.8406329895206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1.7185611238006735</v>
      </c>
      <c r="AV20" s="21">
        <f>EXP(-LN(2)/25)*AV19+(1-EXP(-LN(2)/25))/(LN(2)/25)*Calculateur!AQ20*Calculateur!AS20*VLOOKUP('Données projet'!$B$10,Paramètres!$A$1:$I$89,3,0)*0.475*44/12</f>
        <v>4.7176853384543636</v>
      </c>
      <c r="AW20" s="21">
        <f>EXP(-LN(2)/2)*AW19+(1-EXP(-LN(2)/2))/(LN(2)/2)*AQ20*AT20*VLOOKUP('Données projet'!$B$10,Paramètres!$A$1:$I$89,3,0)*0.475*44/12</f>
        <v>2.2255158040180216</v>
      </c>
      <c r="AX20" s="21">
        <f t="shared" si="6"/>
        <v>8.6617622662730582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4.6587096774193544</v>
      </c>
      <c r="BD20" s="12">
        <f>IF('Données projet'!$A$88&gt;35,BD19+BC20-BL19,IF(A20&lt;'Données projet'!$A$88,$BA$205^A20,IF(A20='Données projet'!$A$88,'Données projet'!$B$88,BD19+BC20-BL19)))</f>
        <v>15.286630474678292</v>
      </c>
      <c r="BE20" s="13">
        <f>BD20*VLOOKUP('Données projet'!$B$11,Paramètres!$A$1:$I$89,3,0)*VLOOKUP('Données projet'!$B$11,Paramètres!$A$1:$I$89,5,0)</f>
        <v>13.354400382678957</v>
      </c>
      <c r="BF20" s="13">
        <f t="shared" si="37"/>
        <v>4.5514919438325183</v>
      </c>
      <c r="BG20" s="20">
        <f t="shared" si="7"/>
        <v>31.186095802007486</v>
      </c>
      <c r="BH20" s="59">
        <f t="shared" si="8"/>
        <v>263.69884896159465</v>
      </c>
      <c r="BI20" s="59">
        <f ca="1">AVERAGE(OFFSET($BH$3,0,0,'Données projet'!$E$11+1,1))-AVERAGE(OFFSET($H$3,0,0,'Données projet'!$E$11+1,1))</f>
        <v>385.40047672167555</v>
      </c>
      <c r="BJ20" s="59">
        <f t="shared" si="38"/>
        <v>286.49293757741611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13.2</v>
      </c>
      <c r="BY20" s="12">
        <f>IF('Données projet'!$A$114&gt;35,BY19+BX20-CG19,IF(A20&lt;'Données projet'!$A$114,$BV$205^A20,IF(A20='Données projet'!$A$114,'Données projet'!$B$114,BY19+BX20-CG19)))</f>
        <v>124.39999999999999</v>
      </c>
      <c r="BZ20" s="13">
        <f>BY20*VLOOKUP('Données projet'!$B$12,Paramètres!$A$1:$I$89,3,0)*VLOOKUP('Données projet'!$B$12,Paramètres!$A$1:$I$89,5,0)</f>
        <v>112.55711999999998</v>
      </c>
      <c r="CA20" s="13">
        <f t="shared" si="39"/>
        <v>29.93265383414057</v>
      </c>
      <c r="CB20" s="20">
        <f t="shared" si="10"/>
        <v>248.16968942779479</v>
      </c>
      <c r="CC20" s="59">
        <f t="shared" si="11"/>
        <v>480.68244258738196</v>
      </c>
      <c r="CD20" s="59">
        <f ca="1">AVERAGE(OFFSET($CC$3,0,0,'Données projet'!$E$12+1,1))-AVERAGE(OFFSET($H$3,0,0,'Données projet'!$E$12+1,1))</f>
        <v>397.12030701006762</v>
      </c>
      <c r="CE20" s="59">
        <f t="shared" si="40"/>
        <v>476.47513516380047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1.0671389385637282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1.0671389385637282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>
        <f>VLOOKUP(A20,'Données projet'!$A$139:$I$159,2,0)</f>
        <v>212</v>
      </c>
      <c r="CR20" s="12">
        <f>VLOOKUP(A20,'Données projet'!$A$139:$I$159,9,0)</f>
        <v>19</v>
      </c>
      <c r="CS20" s="12">
        <f t="array" ref="CS20">INDEX(CR:CR,MIN(IF(ISNUMBER(CR20:CR216),ROW(CR20:CR216),"")))</f>
        <v>19</v>
      </c>
      <c r="CT20" s="12">
        <f>IF('Données projet'!$A$140&gt;35,CT19+CS20-DB19,IF(A20&lt;'Données projet'!$A$140,$CQ$205^A20,IF(A20='Données projet'!$A$140,'Données projet'!$B$140,CT19+CS20-DB19)))</f>
        <v>212</v>
      </c>
      <c r="CU20" s="17">
        <f>CT20*VLOOKUP('Données projet'!$B$13,Paramètres!$A$1:$I$89,3,0)*VLOOKUP('Données projet'!$B$13,Paramètres!$A$1:$I$89,5,0)</f>
        <v>107.81472000000002</v>
      </c>
      <c r="CV20" s="13">
        <f t="shared" si="41"/>
        <v>28.815515814589094</v>
      </c>
      <c r="CW20" s="20">
        <f t="shared" si="13"/>
        <v>237.96432737707607</v>
      </c>
      <c r="CX20" s="59">
        <f t="shared" si="14"/>
        <v>470.47708053666327</v>
      </c>
      <c r="CY20" s="59">
        <f ca="1">AVERAGE(OFFSET($CX$3,0,0,'Données projet'!$E$13+1,1))-AVERAGE(OFFSET($H$3,0,0,'Données projet'!$E$13+1,1))</f>
        <v>110.43805901666033</v>
      </c>
      <c r="CZ20" s="59">
        <f t="shared" si="42"/>
        <v>319.51880962151881</v>
      </c>
      <c r="DA20" s="15">
        <f>IF(ISNA(VLOOKUP(A20,'Données projet'!$A$139:$I$159,3,0)),0,VLOOKUP(A20,'Données projet'!$A$139:$I$159,3,0))</f>
        <v>10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3.3000000000000003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12.100000000000001</v>
      </c>
      <c r="H21" s="67">
        <f t="shared" si="1"/>
        <v>208.26666666666665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202.31</v>
      </c>
      <c r="L21" s="12">
        <f>VLOOKUP(A21,'Données projet'!$A$35:$I$55,9,0)</f>
        <v>29.53</v>
      </c>
      <c r="M21" s="12">
        <f t="array" ref="M21">INDEX(L:L,MIN(IF(ISNUMBER(L21:L217),ROW(L21:L217),"")))</f>
        <v>29.53</v>
      </c>
      <c r="N21" s="13">
        <f>IF('Données projet'!$A$36&gt;35,N20+M21-V20,IF(A21&lt;'Données projet'!$A$36,$K$205^A21,IF(A21='Données projet'!$A$36,'Données projet'!$B$36,N20+M21-V20)))</f>
        <v>202.31</v>
      </c>
      <c r="O21" s="13">
        <f>N21*VLOOKUP('Données projet'!$B$9,Paramètres!$A$1:$I$89,3,0)*VLOOKUP('Données projet'!$B$9,Paramètres!$A$1:$I$89,5,0)</f>
        <v>113.09129000000001</v>
      </c>
      <c r="P21" s="13">
        <f t="shared" si="33"/>
        <v>30.05813764305373</v>
      </c>
      <c r="Q21" s="20">
        <f t="shared" si="2"/>
        <v>249.31858647831859</v>
      </c>
      <c r="R21" s="59">
        <f t="shared" si="0"/>
        <v>483.83302625170734</v>
      </c>
      <c r="S21" s="59">
        <f ca="1">AVERAGE(OFFSET($R$3,0,0,'Données projet'!$E$9+1,1))-AVERAGE(OFFSET($H$3,0,0,'Données projet'!$E$9+1,1))</f>
        <v>414.37917672189968</v>
      </c>
      <c r="T21" s="59">
        <f t="shared" si="34"/>
        <v>546.83385887302961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17.021397995775043</v>
      </c>
      <c r="AB21" s="21">
        <f>EXP(-LN(2)/2)*AB20+(1-EXP(-LN(2)/2))/(LN(2)/2)*V21*Y21*VLOOKUP('Données projet'!$B$9,Paramètres!$A$1:$I$89,3,0)*0.475*44/12</f>
        <v>20.836162098408781</v>
      </c>
      <c r="AC21" s="22">
        <f t="shared" si="3"/>
        <v>37.857560094183825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14.4</v>
      </c>
      <c r="AI21" s="13">
        <f>IF('Données projet'!$A$62&gt;35,AI20+AH21-AQ20,IF(A21&lt;'Données projet'!$A$62,$AF$205^A21,IF(A21='Données projet'!$A$62,'Données projet'!$B$62,AI20+AH21-AQ20)))</f>
        <v>111.2</v>
      </c>
      <c r="AJ21" s="13">
        <f>AI21*VLOOKUP('Données projet'!$B$10,Paramètres!$A$1:$I$89,3,0)*VLOOKUP('Données projet'!$B$10,Paramètres!$A$1:$I$89,5,0)</f>
        <v>69.388800000000003</v>
      </c>
      <c r="AK21" s="13">
        <f t="shared" si="35"/>
        <v>19.521597687016953</v>
      </c>
      <c r="AL21" s="20">
        <f t="shared" si="4"/>
        <v>154.85227597155452</v>
      </c>
      <c r="AM21" s="59">
        <f t="shared" si="5"/>
        <v>389.36671574494324</v>
      </c>
      <c r="AN21" s="59">
        <f ca="1">AVERAGE(OFFSET($AM$3,0,0,'Données projet'!$E$10+1,1))-AVERAGE(OFFSET($H$3,0,0,'Données projet'!$E$10+1,1))</f>
        <v>296.20984079604017</v>
      </c>
      <c r="AO21" s="59">
        <f t="shared" si="36"/>
        <v>351.8406329895206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1.6848611883817248</v>
      </c>
      <c r="AV21" s="21">
        <f>EXP(-LN(2)/25)*AV20+(1-EXP(-LN(2)/25))/(LN(2)/25)*Calculateur!AQ21*Calculateur!AS21*VLOOKUP('Données projet'!$B$10,Paramètres!$A$1:$I$89,3,0)*0.475*44/12</f>
        <v>4.5886799847820399</v>
      </c>
      <c r="AW21" s="21">
        <f>EXP(-LN(2)/2)*AW20+(1-EXP(-LN(2)/2))/(LN(2)/2)*AQ21*AT21*VLOOKUP('Données projet'!$B$10,Paramètres!$A$1:$I$89,3,0)*0.475*44/12</f>
        <v>1.5736773166589748</v>
      </c>
      <c r="AX21" s="21">
        <f t="shared" si="6"/>
        <v>7.8472184898227395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4.6587096774193544</v>
      </c>
      <c r="BD21" s="12">
        <f>IF('Données projet'!$A$88&gt;35,BD20+BC21-BL20,IF(A21&lt;'Données projet'!$A$88,$BA$205^A21,IF(A21='Données projet'!$A$88,'Données projet'!$B$88,BD20+BC21-BL20)))</f>
        <v>17.946392653086324</v>
      </c>
      <c r="BE21" s="13">
        <f>BD21*VLOOKUP('Données projet'!$B$11,Paramètres!$A$1:$I$89,3,0)*VLOOKUP('Données projet'!$B$11,Paramètres!$A$1:$I$89,5,0)</f>
        <v>15.677968621736214</v>
      </c>
      <c r="BF21" s="13">
        <f t="shared" si="37"/>
        <v>5.244572870941778</v>
      </c>
      <c r="BG21" s="20">
        <f t="shared" si="7"/>
        <v>36.440093099747507</v>
      </c>
      <c r="BH21" s="59">
        <f t="shared" si="8"/>
        <v>270.9545328731362</v>
      </c>
      <c r="BI21" s="59">
        <f ca="1">AVERAGE(OFFSET($BH$3,0,0,'Données projet'!$E$11+1,1))-AVERAGE(OFFSET($H$3,0,0,'Données projet'!$E$11+1,1))</f>
        <v>385.40047672167555</v>
      </c>
      <c r="BJ21" s="59">
        <f t="shared" si="38"/>
        <v>286.49293757741611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13.2</v>
      </c>
      <c r="BY21" s="12">
        <f>IF('Données projet'!$A$114&gt;35,BY20+BX21-CG20,IF(A21&lt;'Données projet'!$A$114,$BV$205^A21,IF(A21='Données projet'!$A$114,'Données projet'!$B$114,BY20+BX21-CG20)))</f>
        <v>137.6</v>
      </c>
      <c r="BZ21" s="13">
        <f>BY21*VLOOKUP('Données projet'!$B$12,Paramètres!$A$1:$I$89,3,0)*VLOOKUP('Données projet'!$B$12,Paramètres!$A$1:$I$89,5,0)</f>
        <v>124.50048</v>
      </c>
      <c r="CA21" s="13">
        <f t="shared" si="39"/>
        <v>32.722402570005542</v>
      </c>
      <c r="CB21" s="20">
        <f t="shared" si="10"/>
        <v>273.82985380942631</v>
      </c>
      <c r="CC21" s="59">
        <f t="shared" si="11"/>
        <v>508.344293582815</v>
      </c>
      <c r="CD21" s="59">
        <f ca="1">AVERAGE(OFFSET($CC$3,0,0,'Données projet'!$E$12+1,1))-AVERAGE(OFFSET($H$3,0,0,'Données projet'!$E$12+1,1))</f>
        <v>397.12030701006762</v>
      </c>
      <c r="CE21" s="59">
        <f t="shared" si="40"/>
        <v>476.47513516380047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1.046212994868976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1.046212994868976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>
        <f>VLOOKUP(A21,'Données projet'!$A$139:$I$159,2,0)</f>
        <v>230</v>
      </c>
      <c r="CR21" s="12">
        <f>VLOOKUP(A21,'Données projet'!$A$139:$I$159,9,0)</f>
        <v>18</v>
      </c>
      <c r="CS21" s="12">
        <f t="array" ref="CS21">INDEX(CR:CR,MIN(IF(ISNUMBER(CR21:CR217),ROW(CR21:CR217),"")))</f>
        <v>18</v>
      </c>
      <c r="CT21" s="12">
        <f>IF('Données projet'!$A$140&gt;35,CT20+CS21-DB20,IF(A21&lt;'Données projet'!$A$140,$CQ$205^A21,IF(A21='Données projet'!$A$140,'Données projet'!$B$140,CT20+CS21-DB20)))</f>
        <v>230</v>
      </c>
      <c r="CU21" s="17">
        <f>CT21*VLOOKUP('Données projet'!$B$13,Paramètres!$A$1:$I$89,3,0)*VLOOKUP('Données projet'!$B$13,Paramètres!$A$1:$I$89,5,0)</f>
        <v>116.96880000000002</v>
      </c>
      <c r="CV21" s="13">
        <f t="shared" si="41"/>
        <v>30.966972418998537</v>
      </c>
      <c r="CW21" s="20">
        <f t="shared" si="13"/>
        <v>257.6548036297558</v>
      </c>
      <c r="CX21" s="59">
        <f t="shared" si="14"/>
        <v>492.16924340314449</v>
      </c>
      <c r="CY21" s="59">
        <f ca="1">AVERAGE(OFFSET($CX$3,0,0,'Données projet'!$E$13+1,1))-AVERAGE(OFFSET($H$3,0,0,'Données projet'!$E$13+1,1))</f>
        <v>110.43805901666033</v>
      </c>
      <c r="CZ21" s="59">
        <f t="shared" si="42"/>
        <v>319.51880962151881</v>
      </c>
      <c r="DA21" s="15">
        <f>IF(ISNA(VLOOKUP(A21,'Données projet'!$A$139:$I$159,3,0)),0,VLOOKUP(A21,'Données projet'!$A$139:$I$159,3,0))</f>
        <v>11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3.3000000000000003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12.100000000000001</v>
      </c>
      <c r="H22" s="67">
        <f t="shared" si="1"/>
        <v>208.26666666666665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24.633333333333326</v>
      </c>
      <c r="N22" s="13">
        <f>IF('Données projet'!$A$36&gt;35,N21+M22-V21,IF(A22&lt;'Données projet'!$A$36,$K$205^A22,IF(A22='Données projet'!$A$36,'Données projet'!$B$36,N21+M22-V21)))</f>
        <v>152.12333333333333</v>
      </c>
      <c r="O22" s="13">
        <f>N22*VLOOKUP('Données projet'!$B$9,Paramètres!$A$1:$I$89,3,0)*VLOOKUP('Données projet'!$B$9,Paramètres!$A$1:$I$89,5,0)</f>
        <v>85.03694333333334</v>
      </c>
      <c r="P22" s="13">
        <f t="shared" si="33"/>
        <v>23.364332412276816</v>
      </c>
      <c r="Q22" s="20">
        <f t="shared" si="2"/>
        <v>188.79888859027099</v>
      </c>
      <c r="R22" s="59">
        <f t="shared" si="0"/>
        <v>425.30149301288873</v>
      </c>
      <c r="S22" s="59">
        <f ca="1">AVERAGE(OFFSET($R$3,0,0,'Données projet'!$E$9+1,1))-AVERAGE(OFFSET($H$3,0,0,'Données projet'!$E$9+1,1))</f>
        <v>414.37917672189968</v>
      </c>
      <c r="T22" s="59">
        <f t="shared" si="34"/>
        <v>546.83385887302961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16.555946972464156</v>
      </c>
      <c r="AB22" s="21">
        <f>EXP(-LN(2)/2)*AB21+(1-EXP(-LN(2)/2))/(LN(2)/2)*V22*Y22*VLOOKUP('Données projet'!$B$9,Paramètres!$A$1:$I$89,3,0)*0.475*44/12</f>
        <v>14.733391513686975</v>
      </c>
      <c r="AC22" s="22">
        <f t="shared" si="3"/>
        <v>31.289338486151131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14.4</v>
      </c>
      <c r="AI22" s="13">
        <f>IF('Données projet'!$A$62&gt;35,AI21+AH22-AQ21,IF(A22&lt;'Données projet'!$A$62,$AF$205^A22,IF(A22='Données projet'!$A$62,'Données projet'!$B$62,AI21+AH22-AQ21)))</f>
        <v>125.60000000000001</v>
      </c>
      <c r="AJ22" s="13">
        <f>AI22*VLOOKUP('Données projet'!$B$10,Paramètres!$A$1:$I$89,3,0)*VLOOKUP('Données projet'!$B$10,Paramètres!$A$1:$I$89,5,0)</f>
        <v>78.374400000000009</v>
      </c>
      <c r="AK22" s="13">
        <f t="shared" si="35"/>
        <v>21.739242829727448</v>
      </c>
      <c r="AL22" s="20">
        <f t="shared" si="4"/>
        <v>174.36459459510866</v>
      </c>
      <c r="AM22" s="59">
        <f t="shared" si="5"/>
        <v>410.86719901772642</v>
      </c>
      <c r="AN22" s="59">
        <f ca="1">AVERAGE(OFFSET($AM$3,0,0,'Données projet'!$E$10+1,1))-AVERAGE(OFFSET($H$3,0,0,'Données projet'!$E$10+1,1))</f>
        <v>296.20984079604017</v>
      </c>
      <c r="AO22" s="59">
        <f t="shared" si="36"/>
        <v>351.8406329895206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1.6518220881414107</v>
      </c>
      <c r="AV22" s="21">
        <f>EXP(-LN(2)/25)*AV21+(1-EXP(-LN(2)/25))/(LN(2)/25)*Calculateur!AQ22*Calculateur!AS22*VLOOKUP('Données projet'!$B$10,Paramètres!$A$1:$I$89,3,0)*0.475*44/12</f>
        <v>4.4632022892899821</v>
      </c>
      <c r="AW22" s="21">
        <f>EXP(-LN(2)/2)*AW21+(1-EXP(-LN(2)/2))/(LN(2)/2)*AQ22*AT22*VLOOKUP('Données projet'!$B$10,Paramètres!$A$1:$I$89,3,0)*0.475*44/12</f>
        <v>1.112757902009011</v>
      </c>
      <c r="AX22" s="21">
        <f t="shared" si="6"/>
        <v>7.2277822794404036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4.6587096774193544</v>
      </c>
      <c r="BD22" s="12">
        <f>IF('Données projet'!$A$88&gt;35,BD21+BC22-BL21,IF(A22&lt;'Données projet'!$A$88,$BA$205^A22,IF(A22='Données projet'!$A$88,'Données projet'!$B$88,BD21+BC22-BL21)))</f>
        <v>21.068934046142619</v>
      </c>
      <c r="BE22" s="13">
        <f>BD22*VLOOKUP('Données projet'!$B$11,Paramètres!$A$1:$I$89,3,0)*VLOOKUP('Données projet'!$B$11,Paramètres!$A$1:$I$89,5,0)</f>
        <v>18.405820782710197</v>
      </c>
      <c r="BF22" s="13">
        <f t="shared" si="37"/>
        <v>6.0431930756001426</v>
      </c>
      <c r="BG22" s="20">
        <f t="shared" si="7"/>
        <v>42.582032469890507</v>
      </c>
      <c r="BH22" s="59">
        <f t="shared" si="8"/>
        <v>279.08463689250829</v>
      </c>
      <c r="BI22" s="59">
        <f ca="1">AVERAGE(OFFSET($BH$3,0,0,'Données projet'!$E$11+1,1))-AVERAGE(OFFSET($H$3,0,0,'Données projet'!$E$11+1,1))</f>
        <v>385.40047672167555</v>
      </c>
      <c r="BJ22" s="59">
        <f t="shared" si="38"/>
        <v>286.49293757741611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13.2</v>
      </c>
      <c r="BY22" s="12">
        <f>IF('Données projet'!$A$114&gt;35,BY21+BX22-CG21,IF(A22&lt;'Données projet'!$A$114,$BV$205^A22,IF(A22='Données projet'!$A$114,'Données projet'!$B$114,BY21+BX22-CG21)))</f>
        <v>150.79999999999998</v>
      </c>
      <c r="BZ22" s="13">
        <f>BY22*VLOOKUP('Données projet'!$B$12,Paramètres!$A$1:$I$89,3,0)*VLOOKUP('Données projet'!$B$12,Paramètres!$A$1:$I$89,5,0)</f>
        <v>136.44383999999999</v>
      </c>
      <c r="CA22" s="13">
        <f t="shared" si="39"/>
        <v>35.481123277327953</v>
      </c>
      <c r="CB22" s="20">
        <f t="shared" si="10"/>
        <v>299.43597770801284</v>
      </c>
      <c r="CC22" s="59">
        <f t="shared" si="11"/>
        <v>535.93858213063061</v>
      </c>
      <c r="CD22" s="59">
        <f ca="1">AVERAGE(OFFSET($CC$3,0,0,'Données projet'!$E$12+1,1))-AVERAGE(OFFSET($H$3,0,0,'Données projet'!$E$12+1,1))</f>
        <v>397.12030701006762</v>
      </c>
      <c r="CE22" s="59">
        <f t="shared" si="40"/>
        <v>476.47513516380047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1.0256973961665126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1.0256973961665126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>
        <f>VLOOKUP(A22,'Données projet'!$A$139:$I$159,2,0)</f>
        <v>245</v>
      </c>
      <c r="CR22" s="12">
        <f>VLOOKUP(A22,'Données projet'!$A$139:$I$159,9,0)</f>
        <v>15</v>
      </c>
      <c r="CS22" s="12">
        <f t="array" ref="CS22">INDEX(CR:CR,MIN(IF(ISNUMBER(CR22:CR218),ROW(CR22:CR218),"")))</f>
        <v>15</v>
      </c>
      <c r="CT22" s="12">
        <f>IF('Données projet'!$A$140&gt;35,CT21+CS22-DB21,IF(A22&lt;'Données projet'!$A$140,$CQ$205^A22,IF(A22='Données projet'!$A$140,'Données projet'!$B$140,CT21+CS22-DB21)))</f>
        <v>245</v>
      </c>
      <c r="CU22" s="17">
        <f>CT22*VLOOKUP('Données projet'!$B$13,Paramètres!$A$1:$I$89,3,0)*VLOOKUP('Données projet'!$B$13,Paramètres!$A$1:$I$89,5,0)</f>
        <v>124.59720000000002</v>
      </c>
      <c r="CV22" s="13">
        <f t="shared" si="41"/>
        <v>32.744863437292544</v>
      </c>
      <c r="CW22" s="20">
        <f t="shared" si="13"/>
        <v>274.03742715328451</v>
      </c>
      <c r="CX22" s="59">
        <f t="shared" si="14"/>
        <v>510.54003157590228</v>
      </c>
      <c r="CY22" s="59">
        <f ca="1">AVERAGE(OFFSET($CX$3,0,0,'Données projet'!$E$13+1,1))-AVERAGE(OFFSET($H$3,0,0,'Données projet'!$E$13+1,1))</f>
        <v>110.43805901666033</v>
      </c>
      <c r="CZ22" s="59">
        <f t="shared" si="42"/>
        <v>319.51880962151881</v>
      </c>
      <c r="DA22" s="15">
        <f>IF(ISNA(VLOOKUP(A22,'Données projet'!$A$139:$I$159,3,0)),0,VLOOKUP(A22,'Données projet'!$A$139:$I$159,3,0))</f>
        <v>12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3.3000000000000003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12.100000000000001</v>
      </c>
      <c r="H23" s="67">
        <f t="shared" si="1"/>
        <v>208.26666666666665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24.633333333333326</v>
      </c>
      <c r="N23" s="13">
        <f>IF('Données projet'!$A$36&gt;35,N22+M23-V22,IF(A23&lt;'Données projet'!$A$36,$K$205^A23,IF(A23='Données projet'!$A$36,'Données projet'!$B$36,N22+M23-V22)))</f>
        <v>176.75666666666666</v>
      </c>
      <c r="O23" s="13">
        <f>N23*VLOOKUP('Données projet'!$B$9,Paramètres!$A$1:$I$89,3,0)*VLOOKUP('Données projet'!$B$9,Paramètres!$A$1:$I$89,5,0)</f>
        <v>98.806976666666657</v>
      </c>
      <c r="P23" s="13">
        <f t="shared" si="33"/>
        <v>26.677577962718331</v>
      </c>
      <c r="Q23" s="20">
        <f t="shared" si="2"/>
        <v>218.55226597951219</v>
      </c>
      <c r="R23" s="59">
        <f t="shared" si="0"/>
        <v>457.02974766264117</v>
      </c>
      <c r="S23" s="59">
        <f ca="1">AVERAGE(OFFSET($R$3,0,0,'Données projet'!$E$9+1,1))-AVERAGE(OFFSET($H$3,0,0,'Données projet'!$E$9+1,1))</f>
        <v>414.37917672189968</v>
      </c>
      <c r="T23" s="59">
        <f t="shared" si="34"/>
        <v>546.83385887302961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16.103223731862712</v>
      </c>
      <c r="AB23" s="21">
        <f>EXP(-LN(2)/2)*AB22+(1-EXP(-LN(2)/2))/(LN(2)/2)*V23*Y23*VLOOKUP('Données projet'!$B$9,Paramètres!$A$1:$I$89,3,0)*0.475*44/12</f>
        <v>10.418081049204392</v>
      </c>
      <c r="AC23" s="22">
        <f t="shared" si="3"/>
        <v>26.521304781067105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140</v>
      </c>
      <c r="AG23" s="12">
        <f>VLOOKUP(A23,'Données projet'!$A$61:$I$81,9,0)</f>
        <v>14.4</v>
      </c>
      <c r="AH23" s="12">
        <f t="array" ref="AH23">INDEX(AG:AG,MIN(IF(ISNUMBER(AG23:AG219),ROW(AG23:AG219),"")))</f>
        <v>14.4</v>
      </c>
      <c r="AI23" s="13">
        <f>IF('Données projet'!$A$62&gt;35,AI22+AH23-AQ22,IF(A23&lt;'Données projet'!$A$62,$AF$205^A23,IF(A23='Données projet'!$A$62,'Données projet'!$B$62,AI22+AH23-AQ22)))</f>
        <v>140</v>
      </c>
      <c r="AJ23" s="13">
        <f>AI23*VLOOKUP('Données projet'!$B$10,Paramètres!$A$1:$I$89,3,0)*VLOOKUP('Données projet'!$B$10,Paramètres!$A$1:$I$89,5,0)</f>
        <v>87.360000000000014</v>
      </c>
      <c r="AK23" s="13">
        <f t="shared" si="35"/>
        <v>23.927421530185931</v>
      </c>
      <c r="AL23" s="20">
        <f t="shared" si="4"/>
        <v>193.82559249840719</v>
      </c>
      <c r="AM23" s="59">
        <f t="shared" si="5"/>
        <v>432.3030741815362</v>
      </c>
      <c r="AN23" s="59">
        <f ca="1">AVERAGE(OFFSET($AM$3,0,0,'Données projet'!$E$10+1,1))-AVERAGE(OFFSET($H$3,0,0,'Données projet'!$E$10+1,1))</f>
        <v>296.20984079604017</v>
      </c>
      <c r="AO23" s="59">
        <f t="shared" si="36"/>
        <v>351.8406329895206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0.12</v>
      </c>
      <c r="AS23" s="16">
        <f>IF(ISNA(VLOOKUP(A23,'Données projet'!$A$61:$I$81,6,0)),0%,VLOOKUP(A23,'Données projet'!$A$61:$I$81,6,0)*VLOOKUP('Données projet'!$B$10,Paramètres!$A$1:$I$89,7,0))</f>
        <v>0.33600000000000002</v>
      </c>
      <c r="AT23" s="16">
        <f>IF(ISNA(VLOOKUP(A23,'Données projet'!$A$61:$I$81,7,0)),0%,VLOOKUP(A23,'Données projet'!$A$61:$I$81,7,0))</f>
        <v>0.35</v>
      </c>
      <c r="AU23" s="21">
        <f>EXP(-LN(2)/35)*AU22+(1-EXP(-LN(2)/35))/(LN(2)/35)*AQ23*AR23*VLOOKUP('Données projet'!$B$10,Paramètres!$A$1:$I$89,3,0)*0.475*44/12</f>
        <v>5.7914230142840832</v>
      </c>
      <c r="AV23" s="21">
        <f>EXP(-LN(2)/25)*AV22+(1-EXP(-LN(2)/25))/(LN(2)/25)*Calculateur!AQ23*Calculateur!AS23*VLOOKUP('Données projet'!$B$10,Paramètres!$A$1:$I$89,3,0)*0.475*44/12</f>
        <v>15.976738983668834</v>
      </c>
      <c r="AW23" s="21">
        <f>EXP(-LN(2)/2)*AW22+(1-EXP(-LN(2)/2))/(LN(2)/2)*AQ23*AT23*VLOOKUP('Données projet'!$B$10,Paramètres!$A$1:$I$89,3,0)*0.475*44/12</f>
        <v>11.172579077080254</v>
      </c>
      <c r="AX23" s="21">
        <f t="shared" si="6"/>
        <v>32.940741075033174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4.6587096774193544</v>
      </c>
      <c r="BD23" s="12">
        <f>IF('Données projet'!$A$88&gt;35,BD22+BC23-BL22,IF(A23&lt;'Données projet'!$A$88,$BA$205^A23,IF(A23='Données projet'!$A$88,'Données projet'!$B$88,BD22+BC23-BL22)))</f>
        <v>24.734774860972863</v>
      </c>
      <c r="BE23" s="13">
        <f>BD23*VLOOKUP('Données projet'!$B$11,Paramètres!$A$1:$I$89,3,0)*VLOOKUP('Données projet'!$B$11,Paramètres!$A$1:$I$89,5,0)</f>
        <v>21.608299318545896</v>
      </c>
      <c r="BF23" s="13">
        <f t="shared" si="37"/>
        <v>6.9634236090657105</v>
      </c>
      <c r="BG23" s="20">
        <f t="shared" si="7"/>
        <v>49.762417432256882</v>
      </c>
      <c r="BH23" s="59">
        <f t="shared" si="8"/>
        <v>288.23989911538587</v>
      </c>
      <c r="BI23" s="59">
        <f ca="1">AVERAGE(OFFSET($BH$3,0,0,'Données projet'!$E$11+1,1))-AVERAGE(OFFSET($H$3,0,0,'Données projet'!$E$11+1,1))</f>
        <v>385.40047672167555</v>
      </c>
      <c r="BJ23" s="59">
        <f t="shared" si="38"/>
        <v>286.49293757741611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164</v>
      </c>
      <c r="BW23" s="12">
        <f>VLOOKUP(A23,'Données projet'!$A$113:$I$133,9,0)</f>
        <v>13.2</v>
      </c>
      <c r="BX23" s="12">
        <f t="array" ref="BX23">INDEX(BW:BW,MIN(IF(ISNUMBER(BW23:BW219),ROW(BW23:BW219),"")))</f>
        <v>13.2</v>
      </c>
      <c r="BY23" s="12">
        <f>IF('Données projet'!$A$114&gt;35,BY22+BX23-CG22,IF(A23&lt;'Données projet'!$A$114,$BV$205^A23,IF(A23='Données projet'!$A$114,'Données projet'!$B$114,BY22+BX23-CG22)))</f>
        <v>163.99999999999997</v>
      </c>
      <c r="BZ23" s="13">
        <f>BY23*VLOOKUP('Données projet'!$B$12,Paramètres!$A$1:$I$89,3,0)*VLOOKUP('Données projet'!$B$12,Paramètres!$A$1:$I$89,5,0)</f>
        <v>148.38719999999998</v>
      </c>
      <c r="CA23" s="13">
        <f t="shared" si="39"/>
        <v>38.211840758090553</v>
      </c>
      <c r="CB23" s="20">
        <f t="shared" si="10"/>
        <v>324.99332932034093</v>
      </c>
      <c r="CC23" s="59">
        <f t="shared" si="11"/>
        <v>563.47081100346986</v>
      </c>
      <c r="CD23" s="59">
        <f ca="1">AVERAGE(OFFSET($CC$3,0,0,'Données projet'!$E$12+1,1))-AVERAGE(OFFSET($H$3,0,0,'Données projet'!$E$12+1,1))</f>
        <v>397.12030701006762</v>
      </c>
      <c r="CE23" s="59">
        <f t="shared" si="40"/>
        <v>476.47513516380047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0.06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2.7459835987997834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2.7459835987997834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259</v>
      </c>
      <c r="CR23" s="12">
        <f>VLOOKUP(A23,'Données projet'!$A$139:$I$159,9,0)</f>
        <v>14</v>
      </c>
      <c r="CS23" s="12">
        <f t="array" ref="CS23">INDEX(CR:CR,MIN(IF(ISNUMBER(CR23:CR219),ROW(CR23:CR219),"")))</f>
        <v>14</v>
      </c>
      <c r="CT23" s="12">
        <f>IF('Données projet'!$A$140&gt;35,CT22+CS23-DB22,IF(A23&lt;'Données projet'!$A$140,$CQ$205^A23,IF(A23='Données projet'!$A$140,'Données projet'!$B$140,CT22+CS23-DB22)))</f>
        <v>259</v>
      </c>
      <c r="CU23" s="17">
        <f>CT23*VLOOKUP('Données projet'!$B$13,Paramètres!$A$1:$I$89,3,0)*VLOOKUP('Données projet'!$B$13,Paramètres!$A$1:$I$89,5,0)</f>
        <v>131.71704</v>
      </c>
      <c r="CV23" s="13">
        <f t="shared" si="41"/>
        <v>34.392813361754953</v>
      </c>
      <c r="CW23" s="20">
        <f t="shared" si="13"/>
        <v>289.30799460505648</v>
      </c>
      <c r="CX23" s="59">
        <f t="shared" si="14"/>
        <v>527.78547628818546</v>
      </c>
      <c r="CY23" s="59">
        <f ca="1">AVERAGE(OFFSET($CX$3,0,0,'Données projet'!$E$13+1,1))-AVERAGE(OFFSET($H$3,0,0,'Données projet'!$E$13+1,1))</f>
        <v>110.43805901666033</v>
      </c>
      <c r="CZ23" s="59">
        <f t="shared" si="42"/>
        <v>319.51880962151881</v>
      </c>
      <c r="DA23" s="15">
        <f>IF(ISNA(VLOOKUP(A23,'Données projet'!$A$139:$I$159,3,0)),0,VLOOKUP(A23,'Données projet'!$A$139:$I$159,3,0))</f>
        <v>13</v>
      </c>
      <c r="DB23" s="15">
        <f>IF(ISNA(VLOOKUP(A23,'Données projet'!$A$139:$I$159,4,0)),0,VLOOKUP(A23,'Données projet'!$A$139:$I$159,4,0))</f>
        <v>259</v>
      </c>
      <c r="DC23" s="16">
        <f>IF(ISNA(VLOOKUP(A23,'Données projet'!$A$139:$I$159,5,0)),0%,VLOOKUP(A23,'Données projet'!$A$139:$I$159,5,0)*VLOOKUP('Données projet'!$B$13,Paramètres!$A$1:$I$89,7,0))</f>
        <v>0.28199999999999997</v>
      </c>
      <c r="DD23" s="16">
        <f>IF(ISNA(VLOOKUP(A23,'Données projet'!$A$139:$I$159,6,0)),0%,VLOOKUP(A23,'Données projet'!$A$139:$I$159,6,0)*VLOOKUP('Données projet'!$B$13,Paramètres!$A$1:$I$89,7,0))</f>
        <v>0.126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41.061818708331408</v>
      </c>
      <c r="DG23" s="21">
        <f>EXP(-LN(2)/25)*DG22+(1-EXP(-LN(2)/25))/(LN(2)/25)*Calculateur!DB23*Calculateur!DD23*VLOOKUP('Données projet'!$B$13,Paramètres!$A$1:$I$89,3,0)*0.475*44/12</f>
        <v>18.274531836771079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59.336350545102491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3.3000000000000003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12.100000000000001</v>
      </c>
      <c r="H24" s="67">
        <f t="shared" si="1"/>
        <v>208.26666666666665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201.39</v>
      </c>
      <c r="L24" s="12">
        <f>VLOOKUP(A24,'Données projet'!$A$35:$I$55,9,0)</f>
        <v>24.633333333333326</v>
      </c>
      <c r="M24" s="12">
        <f t="array" ref="M24">INDEX(L:L,MIN(IF(ISNUMBER(L24:L220),ROW(L24:L220),"")))</f>
        <v>24.633333333333326</v>
      </c>
      <c r="N24" s="13">
        <f>IF('Données projet'!$A$36&gt;35,N23+M24-V23,IF(A24&lt;'Données projet'!$A$36,$K$205^A24,IF(A24='Données projet'!$A$36,'Données projet'!$B$36,N23+M24-V23)))</f>
        <v>201.39</v>
      </c>
      <c r="O24" s="13">
        <f>N24*VLOOKUP('Données projet'!$B$9,Paramètres!$A$1:$I$89,3,0)*VLOOKUP('Données projet'!$B$9,Paramètres!$A$1:$I$89,5,0)</f>
        <v>112.57700999999999</v>
      </c>
      <c r="P24" s="13">
        <f t="shared" si="33"/>
        <v>29.937327506622612</v>
      </c>
      <c r="Q24" s="20">
        <f t="shared" si="2"/>
        <v>248.21247115736773</v>
      </c>
      <c r="R24" s="59">
        <f t="shared" si="0"/>
        <v>488.65177321877815</v>
      </c>
      <c r="S24" s="59">
        <f ca="1">AVERAGE(OFFSET($R$3,0,0,'Données projet'!$E$9+1,1))-AVERAGE(OFFSET($H$3,0,0,'Données projet'!$E$9+1,1))</f>
        <v>414.37917672189968</v>
      </c>
      <c r="T24" s="59">
        <f t="shared" si="34"/>
        <v>546.83385887302961</v>
      </c>
      <c r="U24" s="15">
        <f>IF(ISNA(VLOOKUP(A24,'Données projet'!$A$35:$I$55,3,0)),0,VLOOKUP(A24,'Données projet'!$A$35:$I$55,3,0))</f>
        <v>2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0.30800000000000005</v>
      </c>
      <c r="Y24" s="16">
        <f>IF(ISNA(VLOOKUP(A24,'Données projet'!$A$35:$I$55,7,0)),0%,VLOOKUP(A24,'Données projet'!$A$35:$I$55,7,0))</f>
        <v>0.44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15.662880232083195</v>
      </c>
      <c r="AB24" s="21">
        <f>EXP(-LN(2)/2)*AB23+(1-EXP(-LN(2)/2))/(LN(2)/2)*V24*Y24*VLOOKUP('Données projet'!$B$9,Paramètres!$A$1:$I$89,3,0)*0.475*44/12</f>
        <v>7.3666957568434883</v>
      </c>
      <c r="AC24" s="22">
        <f t="shared" si="3"/>
        <v>23.029575988926684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16.399999999999999</v>
      </c>
      <c r="AI24" s="13">
        <f>IF('Données projet'!$A$62&gt;35,AI23+AH24-AQ23,IF(A24&lt;'Données projet'!$A$62,$AF$205^A24,IF(A24='Données projet'!$A$62,'Données projet'!$B$62,AI23+AH24-AQ23)))</f>
        <v>114.4</v>
      </c>
      <c r="AJ24" s="13">
        <f>AI24*VLOOKUP('Données projet'!$B$10,Paramètres!$A$1:$I$89,3,0)*VLOOKUP('Données projet'!$B$10,Paramètres!$A$1:$I$89,5,0)</f>
        <v>71.385599999999997</v>
      </c>
      <c r="AK24" s="13">
        <f t="shared" si="35"/>
        <v>20.017157370878923</v>
      </c>
      <c r="AL24" s="20">
        <f t="shared" si="4"/>
        <v>159.19313575428077</v>
      </c>
      <c r="AM24" s="59">
        <f t="shared" si="5"/>
        <v>399.63243781569122</v>
      </c>
      <c r="AN24" s="59">
        <f ca="1">AVERAGE(OFFSET($AM$3,0,0,'Données projet'!$E$10+1,1))-AVERAGE(OFFSET($H$3,0,0,'Données projet'!$E$10+1,1))</f>
        <v>296.20984079604017</v>
      </c>
      <c r="AO24" s="59">
        <f t="shared" si="36"/>
        <v>351.8406329895206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5.6778567413932137</v>
      </c>
      <c r="AV24" s="21">
        <f>EXP(-LN(2)/25)*AV23+(1-EXP(-LN(2)/25))/(LN(2)/25)*Calculateur!AQ24*Calculateur!AS24*VLOOKUP('Données projet'!$B$10,Paramètres!$A$1:$I$89,3,0)*0.475*44/12</f>
        <v>15.539854215980222</v>
      </c>
      <c r="AW24" s="21">
        <f>EXP(-LN(2)/2)*AW23+(1-EXP(-LN(2)/2))/(LN(2)/2)*AQ24*AT24*VLOOKUP('Données projet'!$B$10,Paramètres!$A$1:$I$89,3,0)*0.475*44/12</f>
        <v>7.9002064287463867</v>
      </c>
      <c r="AX24" s="21">
        <f t="shared" si="6"/>
        <v>29.117917386119821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4.6587096774193544</v>
      </c>
      <c r="BD24" s="12">
        <f>IF('Données projet'!$A$88&gt;35,BD23+BC24-BL23,IF(A24&lt;'Données projet'!$A$88,$BA$205^A24,IF(A24='Données projet'!$A$88,'Données projet'!$B$88,BD23+BC24-BL23)))</f>
        <v>29.038445233304401</v>
      </c>
      <c r="BE24" s="13">
        <f>BD24*VLOOKUP('Données projet'!$B$11,Paramètres!$A$1:$I$89,3,0)*VLOOKUP('Données projet'!$B$11,Paramètres!$A$1:$I$89,5,0)</f>
        <v>25.367985755814725</v>
      </c>
      <c r="BF24" s="13">
        <f t="shared" si="37"/>
        <v>8.0237827507237576</v>
      </c>
      <c r="BG24" s="20">
        <f t="shared" si="7"/>
        <v>58.157330148887858</v>
      </c>
      <c r="BH24" s="59">
        <f t="shared" si="8"/>
        <v>298.59663221029825</v>
      </c>
      <c r="BI24" s="59">
        <f ca="1">AVERAGE(OFFSET($BH$3,0,0,'Données projet'!$E$11+1,1))-AVERAGE(OFFSET($H$3,0,0,'Données projet'!$E$11+1,1))</f>
        <v>385.40047672167555</v>
      </c>
      <c r="BJ24" s="59">
        <f t="shared" si="38"/>
        <v>286.49293757741611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11.4</v>
      </c>
      <c r="BY24" s="12">
        <f>IF('Données projet'!$A$114&gt;35,BY23+BX24-CG23,IF(A24&lt;'Données projet'!$A$114,$BV$205^A24,IF(A24='Données projet'!$A$114,'Données projet'!$B$114,BY23+BX24-CG23)))</f>
        <v>146.39999999999998</v>
      </c>
      <c r="BZ24" s="13">
        <f>BY24*VLOOKUP('Données projet'!$B$12,Paramètres!$A$1:$I$89,3,0)*VLOOKUP('Données projet'!$B$12,Paramètres!$A$1:$I$89,5,0)</f>
        <v>132.46271999999996</v>
      </c>
      <c r="CA24" s="13">
        <f t="shared" si="39"/>
        <v>34.564798581986729</v>
      </c>
      <c r="CB24" s="20">
        <f t="shared" si="10"/>
        <v>290.90626153029353</v>
      </c>
      <c r="CC24" s="59">
        <f t="shared" si="11"/>
        <v>531.34556359170392</v>
      </c>
      <c r="CD24" s="59">
        <f ca="1">AVERAGE(OFFSET($CC$3,0,0,'Données projet'!$E$12+1,1))-AVERAGE(OFFSET($H$3,0,0,'Données projet'!$E$12+1,1))</f>
        <v>397.12030701006762</v>
      </c>
      <c r="CE24" s="59">
        <f t="shared" si="40"/>
        <v>476.47513516380047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2.692136535311934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2.692136535311934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110.43805901666033</v>
      </c>
      <c r="CZ24" s="59">
        <f t="shared" si="42"/>
        <v>319.51880962151881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40.256621488697427</v>
      </c>
      <c r="DG24" s="21">
        <f>EXP(-LN(2)/25)*DG23+(1-EXP(-LN(2)/25))/(LN(2)/25)*Calculateur!DB24*Calculateur!DD24*VLOOKUP('Données projet'!$B$13,Paramètres!$A$1:$I$89,3,0)*0.475*44/12</f>
        <v>17.774813802678711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58.031435291376141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3.3000000000000003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12.100000000000001</v>
      </c>
      <c r="H25" s="67">
        <f t="shared" si="1"/>
        <v>208.26666666666665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29.233333333333331</v>
      </c>
      <c r="N25" s="13">
        <f>IF('Données projet'!$A$36&gt;35,N24+M25-V24,IF(A25&lt;'Données projet'!$A$36,$K$205^A25,IF(A25='Données projet'!$A$36,'Données projet'!$B$36,N24+M25-V24)))</f>
        <v>230.62333333333331</v>
      </c>
      <c r="O25" s="13">
        <f>N25*VLOOKUP('Données projet'!$B$9,Paramètres!$A$1:$I$89,3,0)*VLOOKUP('Données projet'!$B$9,Paramètres!$A$1:$I$89,5,0)</f>
        <v>128.91844333333333</v>
      </c>
      <c r="P25" s="13">
        <f t="shared" si="33"/>
        <v>33.746321955186929</v>
      </c>
      <c r="Q25" s="20">
        <f t="shared" si="2"/>
        <v>283.30779954417272</v>
      </c>
      <c r="R25" s="59">
        <f t="shared" si="0"/>
        <v>525.69609160935079</v>
      </c>
      <c r="S25" s="59">
        <f ca="1">AVERAGE(OFFSET($R$3,0,0,'Données projet'!$E$9+1,1))-AVERAGE(OFFSET($H$3,0,0,'Données projet'!$E$9+1,1))</f>
        <v>414.37917672189968</v>
      </c>
      <c r="T25" s="59">
        <f t="shared" si="34"/>
        <v>546.83385887302961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15.234577948461807</v>
      </c>
      <c r="AB25" s="21">
        <f>EXP(-LN(2)/2)*AB24+(1-EXP(-LN(2)/2))/(LN(2)/2)*V25*Y25*VLOOKUP('Données projet'!$B$9,Paramètres!$A$1:$I$89,3,0)*0.475*44/12</f>
        <v>5.2090405246021971</v>
      </c>
      <c r="AC25" s="22">
        <f t="shared" si="3"/>
        <v>20.443618473064003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16.399999999999999</v>
      </c>
      <c r="AI25" s="13">
        <f>IF('Données projet'!$A$62&gt;35,AI24+AH25-AQ24,IF(A25&lt;'Données projet'!$A$62,$AF$205^A25,IF(A25='Données projet'!$A$62,'Données projet'!$B$62,AI24+AH25-AQ24)))</f>
        <v>130.80000000000001</v>
      </c>
      <c r="AJ25" s="13">
        <f>AI25*VLOOKUP('Données projet'!$B$10,Paramètres!$A$1:$I$89,3,0)*VLOOKUP('Données projet'!$B$10,Paramètres!$A$1:$I$89,5,0)</f>
        <v>81.619200000000006</v>
      </c>
      <c r="AK25" s="13">
        <f t="shared" si="35"/>
        <v>22.532624061019149</v>
      </c>
      <c r="AL25" s="20">
        <f t="shared" si="4"/>
        <v>181.39776023960835</v>
      </c>
      <c r="AM25" s="59">
        <f t="shared" si="5"/>
        <v>423.78605230478638</v>
      </c>
      <c r="AN25" s="59">
        <f ca="1">AVERAGE(OFFSET($AM$3,0,0,'Données projet'!$E$10+1,1))-AVERAGE(OFFSET($H$3,0,0,'Données projet'!$E$10+1,1))</f>
        <v>296.20984079604017</v>
      </c>
      <c r="AO25" s="59">
        <f t="shared" si="36"/>
        <v>351.8406329895206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5.5665174338451475</v>
      </c>
      <c r="AV25" s="21">
        <f>EXP(-LN(2)/25)*AV24+(1-EXP(-LN(2)/25))/(LN(2)/25)*Calculateur!AQ25*Calculateur!AS25*VLOOKUP('Données projet'!$B$10,Paramètres!$A$1:$I$89,3,0)*0.475*44/12</f>
        <v>15.114916085238827</v>
      </c>
      <c r="AW25" s="21">
        <f>EXP(-LN(2)/2)*AW24+(1-EXP(-LN(2)/2))/(LN(2)/2)*AQ25*AT25*VLOOKUP('Données projet'!$B$10,Paramètres!$A$1:$I$89,3,0)*0.475*44/12</f>
        <v>5.5862895385401279</v>
      </c>
      <c r="AX25" s="21">
        <f t="shared" si="6"/>
        <v>26.267723057624103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4.6587096774193544</v>
      </c>
      <c r="BD25" s="12">
        <f>IF('Données projet'!$A$88&gt;35,BD24+BC25-BL24,IF(A25&lt;'Données projet'!$A$88,$BA$205^A25,IF(A25='Données projet'!$A$88,'Données projet'!$B$88,BD24+BC25-BL24)))</f>
        <v>34.09092285283301</v>
      </c>
      <c r="BE25" s="13">
        <f>BD25*VLOOKUP('Données projet'!$B$11,Paramètres!$A$1:$I$89,3,0)*VLOOKUP('Données projet'!$B$11,Paramètres!$A$1:$I$89,5,0)</f>
        <v>29.781830204234922</v>
      </c>
      <c r="BF25" s="13">
        <f t="shared" si="37"/>
        <v>9.2456086610893724</v>
      </c>
      <c r="BG25" s="20">
        <f t="shared" si="7"/>
        <v>67.972789357106464</v>
      </c>
      <c r="BH25" s="59">
        <f t="shared" si="8"/>
        <v>310.36108142228449</v>
      </c>
      <c r="BI25" s="59">
        <f ca="1">AVERAGE(OFFSET($BH$3,0,0,'Données projet'!$E$11+1,1))-AVERAGE(OFFSET($H$3,0,0,'Données projet'!$E$11+1,1))</f>
        <v>385.40047672167555</v>
      </c>
      <c r="BJ25" s="59">
        <f t="shared" si="38"/>
        <v>286.49293757741611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11.4</v>
      </c>
      <c r="BY25" s="12">
        <f>IF('Données projet'!$A$114&gt;35,BY24+BX25-CG24,IF(A25&lt;'Données projet'!$A$114,$BV$205^A25,IF(A25='Données projet'!$A$114,'Données projet'!$B$114,BY24+BX25-CG24)))</f>
        <v>157.79999999999998</v>
      </c>
      <c r="BZ25" s="13">
        <f>BY25*VLOOKUP('Données projet'!$B$12,Paramètres!$A$1:$I$89,3,0)*VLOOKUP('Données projet'!$B$12,Paramètres!$A$1:$I$89,5,0)</f>
        <v>142.77743999999998</v>
      </c>
      <c r="CA25" s="13">
        <f t="shared" si="39"/>
        <v>36.932548710504676</v>
      </c>
      <c r="CB25" s="20">
        <f t="shared" si="10"/>
        <v>312.99489700412892</v>
      </c>
      <c r="CC25" s="59">
        <f t="shared" si="11"/>
        <v>555.38318906930692</v>
      </c>
      <c r="CD25" s="59">
        <f ca="1">AVERAGE(OFFSET($CC$3,0,0,'Données projet'!$E$12+1,1))-AVERAGE(OFFSET($H$3,0,0,'Données projet'!$E$12+1,1))</f>
        <v>397.12030701006762</v>
      </c>
      <c r="CE25" s="59">
        <f t="shared" si="40"/>
        <v>476.47513516380047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2.6393453798956155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2.6393453798956155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110.43805901666033</v>
      </c>
      <c r="CZ25" s="59">
        <f t="shared" si="42"/>
        <v>319.51880962151881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39.467213695418664</v>
      </c>
      <c r="DG25" s="21">
        <f>EXP(-LN(2)/25)*DG24+(1-EXP(-LN(2)/25))/(LN(2)/25)*Calculateur!DB25*Calculateur!DD25*VLOOKUP('Données projet'!$B$13,Paramètres!$A$1:$I$89,3,0)*0.475*44/12</f>
        <v>17.288760584507628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56.755974279926292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3.3000000000000003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12.100000000000001</v>
      </c>
      <c r="H26" s="67">
        <f t="shared" si="1"/>
        <v>208.26666666666665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29.233333333333331</v>
      </c>
      <c r="N26" s="13">
        <f>IF('Données projet'!$A$36&gt;35,N25+M26-V25,IF(A26&lt;'Données projet'!$A$36,$K$205^A26,IF(A26='Données projet'!$A$36,'Données projet'!$B$36,N25+M26-V25)))</f>
        <v>259.85666666666663</v>
      </c>
      <c r="O26" s="13">
        <f>N26*VLOOKUP('Données projet'!$B$9,Paramètres!$A$1:$I$89,3,0)*VLOOKUP('Données projet'!$B$9,Paramètres!$A$1:$I$89,5,0)</f>
        <v>145.25987666666666</v>
      </c>
      <c r="P26" s="13">
        <f t="shared" si="33"/>
        <v>37.499370718606009</v>
      </c>
      <c r="Q26" s="20">
        <f t="shared" si="2"/>
        <v>318.30568919601654</v>
      </c>
      <c r="R26" s="59">
        <f t="shared" si="0"/>
        <v>562.63036346876174</v>
      </c>
      <c r="S26" s="59">
        <f ca="1">AVERAGE(OFFSET($R$3,0,0,'Données projet'!$E$9+1,1))-AVERAGE(OFFSET($H$3,0,0,'Données projet'!$E$9+1,1))</f>
        <v>414.37917672189968</v>
      </c>
      <c r="T26" s="59">
        <f t="shared" si="34"/>
        <v>546.83385887302961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14.817987613309484</v>
      </c>
      <c r="AB26" s="21">
        <f>EXP(-LN(2)/2)*AB25+(1-EXP(-LN(2)/2))/(LN(2)/2)*V26*Y26*VLOOKUP('Données projet'!$B$9,Paramètres!$A$1:$I$89,3,0)*0.475*44/12</f>
        <v>3.6833478784217446</v>
      </c>
      <c r="AC26" s="22">
        <f t="shared" si="3"/>
        <v>18.501335491731229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16.399999999999999</v>
      </c>
      <c r="AI26" s="13">
        <f>IF('Données projet'!$A$62&gt;35,AI25+AH26-AQ25,IF(A26&lt;'Données projet'!$A$62,$AF$205^A26,IF(A26='Données projet'!$A$62,'Données projet'!$B$62,AI25+AH26-AQ25)))</f>
        <v>147.20000000000002</v>
      </c>
      <c r="AJ26" s="13">
        <f>AI26*VLOOKUP('Données projet'!$B$10,Paramètres!$A$1:$I$89,3,0)*VLOOKUP('Données projet'!$B$10,Paramètres!$A$1:$I$89,5,0)</f>
        <v>91.852800000000016</v>
      </c>
      <c r="AK26" s="13">
        <f t="shared" si="35"/>
        <v>25.011544404557082</v>
      </c>
      <c r="AL26" s="20">
        <f t="shared" si="4"/>
        <v>203.53873317127031</v>
      </c>
      <c r="AM26" s="59">
        <f t="shared" si="5"/>
        <v>447.86340744401548</v>
      </c>
      <c r="AN26" s="59">
        <f ca="1">AVERAGE(OFFSET($AM$3,0,0,'Données projet'!$E$10+1,1))-AVERAGE(OFFSET($H$3,0,0,'Données projet'!$E$10+1,1))</f>
        <v>296.20984079604017</v>
      </c>
      <c r="AO26" s="59">
        <f t="shared" si="36"/>
        <v>351.8406329895206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5.4573614222078266</v>
      </c>
      <c r="AV26" s="21">
        <f>EXP(-LN(2)/25)*AV25+(1-EXP(-LN(2)/25))/(LN(2)/25)*Calculateur!AQ26*Calculateur!AS26*VLOOKUP('Données projet'!$B$10,Paramètres!$A$1:$I$89,3,0)*0.475*44/12</f>
        <v>14.701597910029079</v>
      </c>
      <c r="AW26" s="21">
        <f>EXP(-LN(2)/2)*AW25+(1-EXP(-LN(2)/2))/(LN(2)/2)*AQ26*AT26*VLOOKUP('Données projet'!$B$10,Paramètres!$A$1:$I$89,3,0)*0.475*44/12</f>
        <v>3.9501032143731942</v>
      </c>
      <c r="AX26" s="21">
        <f t="shared" si="6"/>
        <v>24.109062546610097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4.6587096774193544</v>
      </c>
      <c r="BD26" s="12">
        <f>IF('Données projet'!$A$88&gt;35,BD25+BC26-BL25,IF(A26&lt;'Données projet'!$A$88,$BA$205^A26,IF(A26='Données projet'!$A$88,'Données projet'!$B$88,BD25+BC26-BL25)))</f>
        <v>40.022494717619615</v>
      </c>
      <c r="BE26" s="13">
        <f>BD26*VLOOKUP('Données projet'!$B$11,Paramètres!$A$1:$I$89,3,0)*VLOOKUP('Données projet'!$B$11,Paramètres!$A$1:$I$89,5,0)</f>
        <v>34.963651385312502</v>
      </c>
      <c r="BF26" s="13">
        <f t="shared" si="37"/>
        <v>10.653488780749985</v>
      </c>
      <c r="BG26" s="20">
        <f t="shared" si="7"/>
        <v>79.449852455892156</v>
      </c>
      <c r="BH26" s="59">
        <f t="shared" si="8"/>
        <v>323.77452672863734</v>
      </c>
      <c r="BI26" s="59">
        <f ca="1">AVERAGE(OFFSET($BH$3,0,0,'Données projet'!$E$11+1,1))-AVERAGE(OFFSET($H$3,0,0,'Données projet'!$E$11+1,1))</f>
        <v>385.40047672167555</v>
      </c>
      <c r="BJ26" s="59">
        <f t="shared" si="38"/>
        <v>286.49293757741611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11.4</v>
      </c>
      <c r="BY26" s="12">
        <f>IF('Données projet'!$A$114&gt;35,BY25+BX26-CG25,IF(A26&lt;'Données projet'!$A$114,$BV$205^A26,IF(A26='Données projet'!$A$114,'Données projet'!$B$114,BY25+BX26-CG25)))</f>
        <v>169.2</v>
      </c>
      <c r="BZ26" s="13">
        <f>BY26*VLOOKUP('Données projet'!$B$12,Paramètres!$A$1:$I$89,3,0)*VLOOKUP('Données projet'!$B$12,Paramètres!$A$1:$I$89,5,0)</f>
        <v>153.09215999999998</v>
      </c>
      <c r="CA26" s="13">
        <f t="shared" si="39"/>
        <v>39.280453399141116</v>
      </c>
      <c r="CB26" s="20">
        <f t="shared" si="10"/>
        <v>335.04896833683739</v>
      </c>
      <c r="CC26" s="59">
        <f t="shared" si="11"/>
        <v>579.37364260958259</v>
      </c>
      <c r="CD26" s="59">
        <f ca="1">AVERAGE(OFFSET($CC$3,0,0,'Données projet'!$E$12+1,1))-AVERAGE(OFFSET($H$3,0,0,'Données projet'!$E$12+1,1))</f>
        <v>397.12030701006762</v>
      </c>
      <c r="CE26" s="59">
        <f t="shared" si="40"/>
        <v>476.47513516380047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2.5875894268375856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2.5875894268375856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110.43805901666033</v>
      </c>
      <c r="CZ26" s="59">
        <f t="shared" si="42"/>
        <v>319.51880962151881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38.693285707474885</v>
      </c>
      <c r="DG26" s="21">
        <f>EXP(-LN(2)/25)*DG25+(1-EXP(-LN(2)/25))/(LN(2)/25)*Calculateur!DB26*Calculateur!DD26*VLOOKUP('Données projet'!$B$13,Paramètres!$A$1:$I$89,3,0)*0.475*44/12</f>
        <v>16.815998517147861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55.509284224622746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3.3000000000000003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12.100000000000001</v>
      </c>
      <c r="H27" s="67">
        <f t="shared" si="1"/>
        <v>208.26666666666665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289.08999999999997</v>
      </c>
      <c r="L27" s="12">
        <f>VLOOKUP(A27,'Données projet'!$A$35:$I$55,9,0)</f>
        <v>29.233333333333331</v>
      </c>
      <c r="M27" s="12">
        <f t="array" ref="M27">INDEX(L:L,MIN(IF(ISNUMBER(L27:L223),ROW(L27:L223),"")))</f>
        <v>29.233333333333331</v>
      </c>
      <c r="N27" s="13">
        <f>IF('Données projet'!$A$36&gt;35,N26+M27-V26,IF(A27&lt;'Données projet'!$A$36,$K$205^A27,IF(A27='Données projet'!$A$36,'Données projet'!$B$36,N26+M27-V26)))</f>
        <v>289.08999999999997</v>
      </c>
      <c r="O27" s="13">
        <f>N27*VLOOKUP('Données projet'!$B$9,Paramètres!$A$1:$I$89,3,0)*VLOOKUP('Données projet'!$B$9,Paramètres!$A$1:$I$89,5,0)</f>
        <v>161.60130999999998</v>
      </c>
      <c r="P27" s="13">
        <f t="shared" si="33"/>
        <v>41.203485747561459</v>
      </c>
      <c r="Q27" s="20">
        <f t="shared" si="2"/>
        <v>353.21835259366952</v>
      </c>
      <c r="R27" s="59">
        <f t="shared" si="0"/>
        <v>599.46701999485867</v>
      </c>
      <c r="S27" s="59">
        <f ca="1">AVERAGE(OFFSET($R$3,0,0,'Données projet'!$E$9+1,1))-AVERAGE(OFFSET($H$3,0,0,'Données projet'!$E$9+1,1))</f>
        <v>414.37917672189968</v>
      </c>
      <c r="T27" s="59">
        <f t="shared" si="34"/>
        <v>546.83385887302961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0.30800000000000005</v>
      </c>
      <c r="Y27" s="16">
        <f>IF(ISNA(VLOOKUP(A27,'Données projet'!$A$35:$I$55,7,0)),0%,VLOOKUP(A27,'Données projet'!$A$35:$I$55,7,0))</f>
        <v>0.35</v>
      </c>
      <c r="Z27" s="21">
        <f>EXP(-LN(2)/35)*Z26+(1-EXP(-LN(2)/35))/(LN(2)/35)*V27*W27*VLOOKUP('Données projet'!$B$9,Paramètres!$A$1:$I$89,3,0)*0.475*44/12</f>
        <v>4.1919053414761853</v>
      </c>
      <c r="AA27" s="21">
        <f>EXP(-LN(2)/25)*AA26+(1-EXP(-LN(2)/25))/(LN(2)/25)*Calculateur!V27*Calculateur!X27*VLOOKUP('Données projet'!$B$9,Paramètres!$A$1:$I$89,3,0)*0.475*44/12</f>
        <v>26.10390955891522</v>
      </c>
      <c r="AB27" s="21">
        <f>EXP(-LN(2)/2)*AB26+(1-EXP(-LN(2)/2))/(LN(2)/2)*V27*Y27*VLOOKUP('Données projet'!$B$9,Paramètres!$A$1:$I$89,3,0)*0.475*44/12</f>
        <v>13.988497248979114</v>
      </c>
      <c r="AC27" s="22">
        <f t="shared" si="3"/>
        <v>44.284312149370521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16.399999999999999</v>
      </c>
      <c r="AI27" s="13">
        <f>IF('Données projet'!$A$62&gt;35,AI26+AH27-AQ26,IF(A27&lt;'Données projet'!$A$62,$AF$205^A27,IF(A27='Données projet'!$A$62,'Données projet'!$B$62,AI26+AH27-AQ26)))</f>
        <v>163.60000000000002</v>
      </c>
      <c r="AJ27" s="13">
        <f>AI27*VLOOKUP('Données projet'!$B$10,Paramètres!$A$1:$I$89,3,0)*VLOOKUP('Données projet'!$B$10,Paramètres!$A$1:$I$89,5,0)</f>
        <v>102.08640000000001</v>
      </c>
      <c r="AK27" s="13">
        <f t="shared" si="35"/>
        <v>27.458454645162281</v>
      </c>
      <c r="AL27" s="20">
        <f t="shared" si="4"/>
        <v>225.62395517365766</v>
      </c>
      <c r="AM27" s="59">
        <f t="shared" si="5"/>
        <v>471.87262257484679</v>
      </c>
      <c r="AN27" s="59">
        <f ca="1">AVERAGE(OFFSET($AM$3,0,0,'Données projet'!$E$10+1,1))-AVERAGE(OFFSET($H$3,0,0,'Données projet'!$E$10+1,1))</f>
        <v>296.20984079604017</v>
      </c>
      <c r="AO27" s="59">
        <f t="shared" si="36"/>
        <v>351.8406329895206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5.3503458933801209</v>
      </c>
      <c r="AV27" s="21">
        <f>EXP(-LN(2)/25)*AV26+(1-EXP(-LN(2)/25))/(LN(2)/25)*Calculateur!AQ27*Calculateur!AS27*VLOOKUP('Données projet'!$B$10,Paramètres!$A$1:$I$89,3,0)*0.475*44/12</f>
        <v>14.299581942055902</v>
      </c>
      <c r="AW27" s="21">
        <f>EXP(-LN(2)/2)*AW26+(1-EXP(-LN(2)/2))/(LN(2)/2)*AQ27*AT27*VLOOKUP('Données projet'!$B$10,Paramètres!$A$1:$I$89,3,0)*0.475*44/12</f>
        <v>2.7931447692700644</v>
      </c>
      <c r="AX27" s="21">
        <f t="shared" si="6"/>
        <v>22.443072604706089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4.6587096774193544</v>
      </c>
      <c r="BD27" s="12">
        <f>IF('Données projet'!$A$88&gt;35,BD26+BC27-BL26,IF(A27&lt;'Données projet'!$A$88,$BA$205^A27,IF(A27='Données projet'!$A$88,'Données projet'!$B$88,BD26+BC27-BL26)))</f>
        <v>46.98611681287408</v>
      </c>
      <c r="BE27" s="13">
        <f>BD27*VLOOKUP('Données projet'!$B$11,Paramètres!$A$1:$I$89,3,0)*VLOOKUP('Données projet'!$B$11,Paramètres!$A$1:$I$89,5,0)</f>
        <v>41.047071647726803</v>
      </c>
      <c r="BF27" s="13">
        <f t="shared" si="37"/>
        <v>12.275754616266983</v>
      </c>
      <c r="BG27" s="20">
        <f t="shared" si="7"/>
        <v>92.870589076455829</v>
      </c>
      <c r="BH27" s="59">
        <f t="shared" si="8"/>
        <v>339.11925647764491</v>
      </c>
      <c r="BI27" s="59">
        <f ca="1">AVERAGE(OFFSET($BH$3,0,0,'Données projet'!$E$11+1,1))-AVERAGE(OFFSET($H$3,0,0,'Données projet'!$E$11+1,1))</f>
        <v>385.40047672167555</v>
      </c>
      <c r="BJ27" s="59">
        <f t="shared" si="38"/>
        <v>286.49293757741611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11.4</v>
      </c>
      <c r="BY27" s="12">
        <f>IF('Données projet'!$A$114&gt;35,BY26+BX27-CG26,IF(A27&lt;'Données projet'!$A$114,$BV$205^A27,IF(A27='Données projet'!$A$114,'Données projet'!$B$114,BY26+BX27-CG26)))</f>
        <v>180.6</v>
      </c>
      <c r="BZ27" s="13">
        <f>BY27*VLOOKUP('Données projet'!$B$12,Paramètres!$A$1:$I$89,3,0)*VLOOKUP('Données projet'!$B$12,Paramètres!$A$1:$I$89,5,0)</f>
        <v>163.40688</v>
      </c>
      <c r="CA27" s="13">
        <f t="shared" si="39"/>
        <v>41.610001881769797</v>
      </c>
      <c r="CB27" s="20">
        <f t="shared" si="10"/>
        <v>357.07106927741569</v>
      </c>
      <c r="CC27" s="59">
        <f t="shared" si="11"/>
        <v>603.31973667860484</v>
      </c>
      <c r="CD27" s="59">
        <f ca="1">AVERAGE(OFFSET($CC$3,0,0,'Données projet'!$E$12+1,1))-AVERAGE(OFFSET($H$3,0,0,'Données projet'!$E$12+1,1))</f>
        <v>397.12030701006762</v>
      </c>
      <c r="CE27" s="59">
        <f t="shared" si="40"/>
        <v>476.47513516380047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2.5368483764510095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2.5368483764510095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110.43805901666033</v>
      </c>
      <c r="CZ27" s="59">
        <f t="shared" si="42"/>
        <v>319.51880962151881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37.934533975325223</v>
      </c>
      <c r="DG27" s="21">
        <f>EXP(-LN(2)/25)*DG26+(1-EXP(-LN(2)/25))/(LN(2)/25)*Calculateur!DB27*Calculateur!DD27*VLOOKUP('Données projet'!$B$13,Paramètres!$A$1:$I$89,3,0)*0.475*44/12</f>
        <v>16.356164153381524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54.290698128706751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3.3000000000000003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12.100000000000001</v>
      </c>
      <c r="H28" s="67">
        <f t="shared" si="1"/>
        <v>208.26666666666665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27.766666666666669</v>
      </c>
      <c r="N28" s="13">
        <f>IF('Données projet'!$A$36&gt;35,N27+M28-V27,IF(A28&lt;'Données projet'!$A$36,$K$205^A28,IF(A28='Données projet'!$A$36,'Données projet'!$B$36,N27+M28-V27)))</f>
        <v>265.46666666666664</v>
      </c>
      <c r="O28" s="13">
        <f>N28*VLOOKUP('Données projet'!$B$9,Paramètres!$A$1:$I$89,3,0)*VLOOKUP('Données projet'!$B$9,Paramètres!$A$1:$I$89,5,0)</f>
        <v>148.39586666666665</v>
      </c>
      <c r="P28" s="13">
        <f t="shared" si="33"/>
        <v>38.213812762326462</v>
      </c>
      <c r="Q28" s="20">
        <f t="shared" si="2"/>
        <v>325.01185833882965</v>
      </c>
      <c r="R28" s="59">
        <f t="shared" si="0"/>
        <v>573.17234471216443</v>
      </c>
      <c r="S28" s="59">
        <f ca="1">AVERAGE(OFFSET($R$3,0,0,'Données projet'!$E$9+1,1))-AVERAGE(OFFSET($H$3,0,0,'Données projet'!$E$9+1,1))</f>
        <v>414.37917672189968</v>
      </c>
      <c r="T28" s="59">
        <f t="shared" si="34"/>
        <v>546.83385887302961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4.1097046345396313</v>
      </c>
      <c r="AA28" s="21">
        <f>EXP(-LN(2)/25)*AA27+(1-EXP(-LN(2)/25))/(LN(2)/25)*Calculateur!V28*Calculateur!X28*VLOOKUP('Données projet'!$B$9,Paramètres!$A$1:$I$89,3,0)*0.475*44/12</f>
        <v>25.390096779281741</v>
      </c>
      <c r="AB28" s="21">
        <f>EXP(-LN(2)/2)*AB27+(1-EXP(-LN(2)/2))/(LN(2)/2)*V28*Y28*VLOOKUP('Données projet'!$B$9,Paramètres!$A$1:$I$89,3,0)*0.475*44/12</f>
        <v>9.8913612633624961</v>
      </c>
      <c r="AC28" s="22">
        <f t="shared" si="3"/>
        <v>39.391162677183871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180</v>
      </c>
      <c r="AG28" s="12">
        <f>VLOOKUP(A28,'Données projet'!$A$61:$I$81,9,0)</f>
        <v>16.399999999999999</v>
      </c>
      <c r="AH28" s="12">
        <f t="array" ref="AH28">INDEX(AG:AG,MIN(IF(ISNUMBER(AG28:AG224),ROW(AG28:AG224),"")))</f>
        <v>16.399999999999999</v>
      </c>
      <c r="AI28" s="13">
        <f>IF('Données projet'!$A$62&gt;35,AI27+AH28-AQ27,IF(A28&lt;'Données projet'!$A$62,$AF$205^A28,IF(A28='Données projet'!$A$62,'Données projet'!$B$62,AI27+AH28-AQ27)))</f>
        <v>180.00000000000003</v>
      </c>
      <c r="AJ28" s="13">
        <f>AI28*VLOOKUP('Données projet'!$B$10,Paramètres!$A$1:$I$89,3,0)*VLOOKUP('Données projet'!$B$10,Paramètres!$A$1:$I$89,5,0)</f>
        <v>112.32000000000001</v>
      </c>
      <c r="AK28" s="13">
        <f t="shared" si="35"/>
        <v>29.87692891707237</v>
      </c>
      <c r="AL28" s="20">
        <f t="shared" si="4"/>
        <v>247.65965119723435</v>
      </c>
      <c r="AM28" s="59">
        <f t="shared" si="5"/>
        <v>495.8201375705691</v>
      </c>
      <c r="AN28" s="59">
        <f ca="1">AVERAGE(OFFSET($AM$3,0,0,'Données projet'!$E$10+1,1))-AVERAGE(OFFSET($H$3,0,0,'Données projet'!$E$10+1,1))</f>
        <v>296.20984079604017</v>
      </c>
      <c r="AO28" s="59">
        <f t="shared" si="36"/>
        <v>351.8406329895206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0.24</v>
      </c>
      <c r="AS28" s="16">
        <f>IF(ISNA(VLOOKUP(A28,'Données projet'!$A$61:$I$81,6,0)),0%,VLOOKUP(A28,'Données projet'!$A$61:$I$81,6,0)*VLOOKUP('Données projet'!$B$10,Paramètres!$A$1:$I$89,7,0))</f>
        <v>0.20400000000000001</v>
      </c>
      <c r="AT28" s="16">
        <f>IF(ISNA(VLOOKUP(A28,'Données projet'!$A$61:$I$81,7,0)),0%,VLOOKUP(A28,'Données projet'!$A$61:$I$81,7,0))</f>
        <v>0.26</v>
      </c>
      <c r="AU28" s="21">
        <f>EXP(-LN(2)/35)*AU27+(1-EXP(-LN(2)/35))/(LN(2)/35)*AQ28*AR28*VLOOKUP('Données projet'!$B$10,Paramètres!$A$1:$I$89,3,0)*0.475*44/12</f>
        <v>13.589413173357968</v>
      </c>
      <c r="AV28" s="21">
        <f>EXP(-LN(2)/25)*AV27+(1-EXP(-LN(2)/25))/(LN(2)/25)*Calculateur!AQ28*Calculateur!AS28*VLOOKUP('Données projet'!$B$10,Paramètres!$A$1:$I$89,3,0)*0.475*44/12</f>
        <v>20.973020347822143</v>
      </c>
      <c r="AW28" s="21">
        <f>EXP(-LN(2)/2)*AW27+(1-EXP(-LN(2)/2))/(LN(2)/2)*AQ28*AT28*VLOOKUP('Données projet'!$B$10,Paramètres!$A$1:$I$89,3,0)*0.475*44/12</f>
        <v>9.6901730611157362</v>
      </c>
      <c r="AX28" s="21">
        <f t="shared" si="6"/>
        <v>44.252606582295847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4.6587096774193544</v>
      </c>
      <c r="BD28" s="12">
        <f>IF('Données projet'!$A$88&gt;35,BD27+BC28-BL27,IF(A28&lt;'Données projet'!$A$88,$BA$205^A28,IF(A28='Données projet'!$A$88,'Données projet'!$B$88,BD27+BC28-BL27)))</f>
        <v>55.161358349336624</v>
      </c>
      <c r="BE28" s="13">
        <f>BD28*VLOOKUP('Données projet'!$B$11,Paramètres!$A$1:$I$89,3,0)*VLOOKUP('Données projet'!$B$11,Paramètres!$A$1:$I$89,5,0)</f>
        <v>48.188962653980475</v>
      </c>
      <c r="BF28" s="13">
        <f t="shared" si="37"/>
        <v>14.145051869871262</v>
      </c>
      <c r="BG28" s="20">
        <f t="shared" si="7"/>
        <v>108.56507529570843</v>
      </c>
      <c r="BH28" s="59">
        <f t="shared" si="8"/>
        <v>356.72556166904315</v>
      </c>
      <c r="BI28" s="59">
        <f ca="1">AVERAGE(OFFSET($BH$3,0,0,'Données projet'!$E$11+1,1))-AVERAGE(OFFSET($H$3,0,0,'Données projet'!$E$11+1,1))</f>
        <v>385.40047672167555</v>
      </c>
      <c r="BJ28" s="59">
        <f t="shared" si="38"/>
        <v>286.49293757741611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192</v>
      </c>
      <c r="BW28" s="12">
        <f>VLOOKUP(A28,'Données projet'!$A$113:$I$133,9,0)</f>
        <v>11.4</v>
      </c>
      <c r="BX28" s="12">
        <f t="array" ref="BX28">INDEX(BW:BW,MIN(IF(ISNUMBER(BW28:BW224),ROW(BW28:BW224),"")))</f>
        <v>11.4</v>
      </c>
      <c r="BY28" s="12">
        <f>IF('Données projet'!$A$114&gt;35,BY27+BX28-CG27,IF(A28&lt;'Données projet'!$A$114,$BV$205^A28,IF(A28='Données projet'!$A$114,'Données projet'!$B$114,BY27+BX28-CG27)))</f>
        <v>192</v>
      </c>
      <c r="BZ28" s="13">
        <f>BY28*VLOOKUP('Données projet'!$B$12,Paramètres!$A$1:$I$89,3,0)*VLOOKUP('Données projet'!$B$12,Paramètres!$A$1:$I$89,5,0)</f>
        <v>173.7216</v>
      </c>
      <c r="CA28" s="13">
        <f t="shared" si="39"/>
        <v>43.922484755075111</v>
      </c>
      <c r="CB28" s="20">
        <f t="shared" si="10"/>
        <v>379.06344761508916</v>
      </c>
      <c r="CC28" s="59">
        <f t="shared" si="11"/>
        <v>627.22393398842394</v>
      </c>
      <c r="CD28" s="59">
        <f ca="1">AVERAGE(OFFSET($CC$3,0,0,'Données projet'!$E$12+1,1))-AVERAGE(OFFSET($H$3,0,0,'Données projet'!$E$12+1,1))</f>
        <v>397.12030701006762</v>
      </c>
      <c r="CE28" s="59">
        <f t="shared" si="40"/>
        <v>476.47513516380047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24</v>
      </c>
      <c r="CH28" s="16">
        <f>IF(ISNA(VLOOKUP(A28,'Données projet'!$A$113:$I$133,5,0)),0%,VLOOKUP(A28,'Données projet'!$A$113:$I$133,5,0)*VLOOKUP('Données projet'!$B$12,Paramètres!$A$1:$I$89,7,0))</f>
        <v>0.09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4.6475982618205816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4.6475982618205816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110.43805901666033</v>
      </c>
      <c r="CZ28" s="59">
        <f t="shared" si="42"/>
        <v>319.51880962151881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37.190660901850151</v>
      </c>
      <c r="DG28" s="21">
        <f>EXP(-LN(2)/25)*DG27+(1-EXP(-LN(2)/25))/(LN(2)/25)*Calculateur!DB28*Calculateur!DD28*VLOOKUP('Données projet'!$B$13,Paramètres!$A$1:$I$89,3,0)*0.475*44/12</f>
        <v>15.908903984474016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53.099564886324167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3.3000000000000003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12.100000000000001</v>
      </c>
      <c r="H29" s="67">
        <f t="shared" si="1"/>
        <v>208.26666666666665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27.766666666666669</v>
      </c>
      <c r="N29" s="13">
        <f>IF('Données projet'!$A$36&gt;35,N28+M29-V28,IF(A29&lt;'Données projet'!$A$36,$K$205^A29,IF(A29='Données projet'!$A$36,'Données projet'!$B$36,N28+M29-V28)))</f>
        <v>293.23333333333329</v>
      </c>
      <c r="O29" s="13">
        <f>N29*VLOOKUP('Données projet'!$B$9,Paramètres!$A$1:$I$89,3,0)*VLOOKUP('Données projet'!$B$9,Paramètres!$A$1:$I$89,5,0)</f>
        <v>163.91743333333332</v>
      </c>
      <c r="P29" s="13">
        <f t="shared" si="33"/>
        <v>41.724855672169163</v>
      </c>
      <c r="Q29" s="20">
        <f t="shared" si="2"/>
        <v>358.16032001791677</v>
      </c>
      <c r="R29" s="59">
        <f t="shared" si="0"/>
        <v>608.22066240149343</v>
      </c>
      <c r="S29" s="59">
        <f ca="1">AVERAGE(OFFSET($R$3,0,0,'Données projet'!$E$9+1,1))-AVERAGE(OFFSET($H$3,0,0,'Données projet'!$E$9+1,1))</f>
        <v>414.37917672189968</v>
      </c>
      <c r="T29" s="59">
        <f t="shared" si="34"/>
        <v>546.83385887302961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4.029115833328623</v>
      </c>
      <c r="AA29" s="21">
        <f>EXP(-LN(2)/25)*AA28+(1-EXP(-LN(2)/25))/(LN(2)/25)*Calculateur!V29*Calculateur!X29*VLOOKUP('Données projet'!$B$9,Paramètres!$A$1:$I$89,3,0)*0.475*44/12</f>
        <v>24.695803247645124</v>
      </c>
      <c r="AB29" s="21">
        <f>EXP(-LN(2)/2)*AB28+(1-EXP(-LN(2)/2))/(LN(2)/2)*V29*Y29*VLOOKUP('Données projet'!$B$9,Paramètres!$A$1:$I$89,3,0)*0.475*44/12</f>
        <v>6.9942486244895576</v>
      </c>
      <c r="AC29" s="22">
        <f t="shared" si="3"/>
        <v>35.719167705463306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16.600000000000001</v>
      </c>
      <c r="AI29" s="13">
        <f>IF('Données projet'!$A$62&gt;35,AI28+AH29-AQ28,IF(A29&lt;'Données projet'!$A$62,$AF$205^A29,IF(A29='Données projet'!$A$62,'Données projet'!$B$62,AI28+AH29-AQ28)))</f>
        <v>154.60000000000002</v>
      </c>
      <c r="AJ29" s="13">
        <f>AI29*VLOOKUP('Données projet'!$B$10,Paramètres!$A$1:$I$89,3,0)*VLOOKUP('Données projet'!$B$10,Paramètres!$A$1:$I$89,5,0)</f>
        <v>96.470400000000026</v>
      </c>
      <c r="AK29" s="13">
        <f t="shared" si="35"/>
        <v>26.119368543036277</v>
      </c>
      <c r="AL29" s="20">
        <f t="shared" si="4"/>
        <v>213.5105135457882</v>
      </c>
      <c r="AM29" s="59">
        <f t="shared" si="5"/>
        <v>463.57085592936482</v>
      </c>
      <c r="AN29" s="59">
        <f ca="1">AVERAGE(OFFSET($AM$3,0,0,'Données projet'!$E$10+1,1))-AVERAGE(OFFSET($H$3,0,0,'Données projet'!$E$10+1,1))</f>
        <v>296.20984079604017</v>
      </c>
      <c r="AO29" s="59">
        <f t="shared" si="36"/>
        <v>351.8406329895206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13.322933069752011</v>
      </c>
      <c r="AV29" s="21">
        <f>EXP(-LN(2)/25)*AV28+(1-EXP(-LN(2)/25))/(LN(2)/25)*Calculateur!AQ29*Calculateur!AS29*VLOOKUP('Données projet'!$B$10,Paramètres!$A$1:$I$89,3,0)*0.475*44/12</f>
        <v>20.39951200348774</v>
      </c>
      <c r="AW29" s="21">
        <f>EXP(-LN(2)/2)*AW28+(1-EXP(-LN(2)/2))/(LN(2)/2)*AQ29*AT29*VLOOKUP('Données projet'!$B$10,Paramètres!$A$1:$I$89,3,0)*0.475*44/12</f>
        <v>6.8519870823861426</v>
      </c>
      <c r="AX29" s="21">
        <f t="shared" si="6"/>
        <v>40.5744321556259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4.6587096774193544</v>
      </c>
      <c r="BD29" s="12">
        <f>IF('Données projet'!$A$88&gt;35,BD28+BC29-BL28,IF(A29&lt;'Données projet'!$A$88,$BA$205^A29,IF(A29='Données projet'!$A$88,'Données projet'!$B$88,BD28+BC29-BL28)))</f>
        <v>64.759032270362397</v>
      </c>
      <c r="BE29" s="13">
        <f>BD29*VLOOKUP('Données projet'!$B$11,Paramètres!$A$1:$I$89,3,0)*VLOOKUP('Données projet'!$B$11,Paramètres!$A$1:$I$89,5,0)</f>
        <v>56.573490591388598</v>
      </c>
      <c r="BF29" s="13">
        <f t="shared" si="37"/>
        <v>16.298997385970306</v>
      </c>
      <c r="BG29" s="20">
        <f t="shared" si="7"/>
        <v>126.91958322723343</v>
      </c>
      <c r="BH29" s="59">
        <f t="shared" si="8"/>
        <v>376.97992561081008</v>
      </c>
      <c r="BI29" s="59">
        <f ca="1">AVERAGE(OFFSET($BH$3,0,0,'Données projet'!$E$11+1,1))-AVERAGE(OFFSET($H$3,0,0,'Données projet'!$E$11+1,1))</f>
        <v>385.40047672167555</v>
      </c>
      <c r="BJ29" s="59">
        <f t="shared" si="38"/>
        <v>286.49293757741611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177.8</v>
      </c>
      <c r="BZ29" s="13">
        <f>BY29*VLOOKUP('Données projet'!$B$12,Paramètres!$A$1:$I$89,3,0)*VLOOKUP('Données projet'!$B$12,Paramètres!$A$1:$I$89,5,0)</f>
        <v>160.87343999999999</v>
      </c>
      <c r="CA29" s="13">
        <f t="shared" si="39"/>
        <v>41.039459771757215</v>
      </c>
      <c r="CB29" s="20">
        <f t="shared" si="10"/>
        <v>351.66496710247708</v>
      </c>
      <c r="CC29" s="59">
        <f t="shared" si="11"/>
        <v>601.72530948605367</v>
      </c>
      <c r="CD29" s="59">
        <f ca="1">AVERAGE(OFFSET($CC$3,0,0,'Données projet'!$E$12+1,1))-AVERAGE(OFFSET($H$3,0,0,'Données projet'!$E$12+1,1))</f>
        <v>397.12030701006762</v>
      </c>
      <c r="CE29" s="59">
        <f t="shared" si="40"/>
        <v>476.47513516380047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4.5564616946613112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4.5564616946613112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110.43805901666033</v>
      </c>
      <c r="CZ29" s="59">
        <f t="shared" si="42"/>
        <v>319.51880962151881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36.461374725628154</v>
      </c>
      <c r="DG29" s="21">
        <f>EXP(-LN(2)/25)*DG28+(1-EXP(-LN(2)/25))/(LN(2)/25)*Calculateur!DB29*Calculateur!DD29*VLOOKUP('Données projet'!$B$13,Paramètres!$A$1:$I$89,3,0)*0.475*44/12</f>
        <v>15.473874168405674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51.935248894033826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3.3000000000000003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12.100000000000001</v>
      </c>
      <c r="H30" s="67">
        <f t="shared" si="1"/>
        <v>208.26666666666665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321</v>
      </c>
      <c r="L30" s="12">
        <f>VLOOKUP(A30,'Données projet'!$A$35:$I$55,9,0)</f>
        <v>27.766666666666669</v>
      </c>
      <c r="M30" s="12">
        <f t="array" ref="M30">INDEX(L:L,MIN(IF(ISNUMBER(L30:L226),ROW(L30:L226),"")))</f>
        <v>27.766666666666669</v>
      </c>
      <c r="N30" s="13">
        <f>IF('Données projet'!$A$36&gt;35,N29+M30-V29,IF(A30&lt;'Données projet'!$A$36,$K$205^A30,IF(A30='Données projet'!$A$36,'Données projet'!$B$36,N29+M30-V29)))</f>
        <v>320.99999999999994</v>
      </c>
      <c r="O30" s="13">
        <f>N30*VLOOKUP('Données projet'!$B$9,Paramètres!$A$1:$I$89,3,0)*VLOOKUP('Données projet'!$B$9,Paramètres!$A$1:$I$89,5,0)</f>
        <v>179.43899999999996</v>
      </c>
      <c r="P30" s="13">
        <f t="shared" si="33"/>
        <v>45.197351336396032</v>
      </c>
      <c r="Q30" s="20">
        <f t="shared" si="2"/>
        <v>391.24164524422298</v>
      </c>
      <c r="R30" s="59">
        <f t="shared" si="0"/>
        <v>643.19008820678152</v>
      </c>
      <c r="S30" s="59">
        <f ca="1">AVERAGE(OFFSET($R$3,0,0,'Données projet'!$E$9+1,1))-AVERAGE(OFFSET($H$3,0,0,'Données projet'!$E$9+1,1))</f>
        <v>414.37917672189968</v>
      </c>
      <c r="T30" s="59">
        <f t="shared" si="34"/>
        <v>546.83385887302961</v>
      </c>
      <c r="U30" s="15">
        <f>IF(ISNA(VLOOKUP(A30,'Données projet'!$A$35:$I$55,3,0)),0,VLOOKUP(A30,'Données projet'!$A$35:$I$55,3,0))</f>
        <v>4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0.11000000000000001</v>
      </c>
      <c r="X30" s="16">
        <f>IF(ISNA(VLOOKUP(A30,'Données projet'!$A$35:$I$55,6,0)),0%,VLOOKUP(A30,'Données projet'!$A$35:$I$55,6,0)*VLOOKUP('Données projet'!$B$9,Paramètres!$A$1:$I$89,7,0))</f>
        <v>0.30800000000000005</v>
      </c>
      <c r="Y30" s="16">
        <f>IF(ISNA(VLOOKUP(A30,'Données projet'!$A$35:$I$55,7,0)),0%,VLOOKUP(A30,'Données projet'!$A$35:$I$55,7,0))</f>
        <v>0.35</v>
      </c>
      <c r="Z30" s="21">
        <f>EXP(-LN(2)/35)*Z29+(1-EXP(-LN(2)/35))/(LN(2)/35)*V30*W30*VLOOKUP('Données projet'!$B$9,Paramètres!$A$1:$I$89,3,0)*0.475*44/12</f>
        <v>3.9501073293550473</v>
      </c>
      <c r="AA30" s="21">
        <f>EXP(-LN(2)/25)*AA29+(1-EXP(-LN(2)/25))/(LN(2)/25)*Calculateur!V30*Calculateur!X30*VLOOKUP('Données projet'!$B$9,Paramètres!$A$1:$I$89,3,0)*0.475*44/12</f>
        <v>24.020495209142418</v>
      </c>
      <c r="AB30" s="21">
        <f>EXP(-LN(2)/2)*AB29+(1-EXP(-LN(2)/2))/(LN(2)/2)*V30*Y30*VLOOKUP('Données projet'!$B$9,Paramètres!$A$1:$I$89,3,0)*0.475*44/12</f>
        <v>4.9456806316812489</v>
      </c>
      <c r="AC30" s="22">
        <f t="shared" si="3"/>
        <v>32.916283170178716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16.600000000000001</v>
      </c>
      <c r="AI30" s="13">
        <f>IF('Données projet'!$A$62&gt;35,AI29+AH30-AQ29,IF(A30&lt;'Données projet'!$A$62,$AF$205^A30,IF(A30='Données projet'!$A$62,'Données projet'!$B$62,AI29+AH30-AQ29)))</f>
        <v>171.20000000000002</v>
      </c>
      <c r="AJ30" s="13">
        <f>AI30*VLOOKUP('Données projet'!$B$10,Paramètres!$A$1:$I$89,3,0)*VLOOKUP('Données projet'!$B$10,Paramètres!$A$1:$I$89,5,0)</f>
        <v>106.8288</v>
      </c>
      <c r="AK30" s="13">
        <f t="shared" si="35"/>
        <v>28.582557836195459</v>
      </c>
      <c r="AL30" s="20">
        <f t="shared" si="4"/>
        <v>235.84144823137376</v>
      </c>
      <c r="AM30" s="59">
        <f t="shared" si="5"/>
        <v>487.78989119393236</v>
      </c>
      <c r="AN30" s="59">
        <f ca="1">AVERAGE(OFFSET($AM$3,0,0,'Données projet'!$E$10+1,1))-AVERAGE(OFFSET($H$3,0,0,'Données projet'!$E$10+1,1))</f>
        <v>296.20984079604017</v>
      </c>
      <c r="AO30" s="59">
        <f t="shared" si="36"/>
        <v>351.8406329895206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13.061678478440953</v>
      </c>
      <c r="AV30" s="21">
        <f>EXP(-LN(2)/25)*AV29+(1-EXP(-LN(2)/25))/(LN(2)/25)*Calculateur!AQ30*Calculateur!AS30*VLOOKUP('Données projet'!$B$10,Paramètres!$A$1:$I$89,3,0)*0.475*44/12</f>
        <v>19.841686274988653</v>
      </c>
      <c r="AW30" s="21">
        <f>EXP(-LN(2)/2)*AW29+(1-EXP(-LN(2)/2))/(LN(2)/2)*AQ30*AT30*VLOOKUP('Données projet'!$B$10,Paramètres!$A$1:$I$89,3,0)*0.475*44/12</f>
        <v>4.845086530557869</v>
      </c>
      <c r="AX30" s="21">
        <f t="shared" si="6"/>
        <v>37.748451283987478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4.6587096774193544</v>
      </c>
      <c r="BD30" s="12">
        <f>IF('Données projet'!$A$88&gt;35,BD29+BC30-BL29,IF(A30&lt;'Données projet'!$A$88,$BA$205^A30,IF(A30='Données projet'!$A$88,'Données projet'!$B$88,BD29+BC30-BL29)))</f>
        <v>76.026631433456572</v>
      </c>
      <c r="BE30" s="13">
        <f>BD30*VLOOKUP('Données projet'!$B$11,Paramètres!$A$1:$I$89,3,0)*VLOOKUP('Données projet'!$B$11,Paramètres!$A$1:$I$89,5,0)</f>
        <v>66.416865220267667</v>
      </c>
      <c r="BF30" s="13">
        <f t="shared" si="37"/>
        <v>18.780936134544177</v>
      </c>
      <c r="BG30" s="20">
        <f t="shared" si="7"/>
        <v>148.38617069296393</v>
      </c>
      <c r="BH30" s="59">
        <f t="shared" si="8"/>
        <v>400.3346136555225</v>
      </c>
      <c r="BI30" s="59">
        <f ca="1">AVERAGE(OFFSET($BH$3,0,0,'Données projet'!$E$11+1,1))-AVERAGE(OFFSET($H$3,0,0,'Données projet'!$E$11+1,1))</f>
        <v>385.40047672167555</v>
      </c>
      <c r="BJ30" s="59">
        <f t="shared" si="38"/>
        <v>286.49293757741611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187.60000000000002</v>
      </c>
      <c r="BZ30" s="13">
        <f>BY30*VLOOKUP('Données projet'!$B$12,Paramètres!$A$1:$I$89,3,0)*VLOOKUP('Données projet'!$B$12,Paramètres!$A$1:$I$89,5,0)</f>
        <v>169.74048000000002</v>
      </c>
      <c r="CA30" s="13">
        <f t="shared" si="39"/>
        <v>43.031894571322063</v>
      </c>
      <c r="CB30" s="20">
        <f t="shared" si="10"/>
        <v>370.57855237838589</v>
      </c>
      <c r="CC30" s="59">
        <f t="shared" si="11"/>
        <v>622.5269953409445</v>
      </c>
      <c r="CD30" s="59">
        <f ca="1">AVERAGE(OFFSET($CC$3,0,0,'Données projet'!$E$12+1,1))-AVERAGE(OFFSET($H$3,0,0,'Données projet'!$E$12+1,1))</f>
        <v>397.12030701006762</v>
      </c>
      <c r="CE30" s="59">
        <f t="shared" si="40"/>
        <v>476.47513516380047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4.4671122599962167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4.4671122599962167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110.43805901666033</v>
      </c>
      <c r="CZ30" s="59">
        <f t="shared" si="42"/>
        <v>319.51880962151881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35.746389406501223</v>
      </c>
      <c r="DG30" s="21">
        <f>EXP(-LN(2)/25)*DG29+(1-EXP(-LN(2)/25))/(LN(2)/25)*Calculateur!DB30*Calculateur!DD30*VLOOKUP('Données projet'!$B$13,Paramètres!$A$1:$I$89,3,0)*0.475*44/12</f>
        <v>15.050740265534944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50.797129672036164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3.3000000000000003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12.100000000000001</v>
      </c>
      <c r="H31" s="67">
        <f t="shared" si="1"/>
        <v>208.26666666666665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29.853333333333335</v>
      </c>
      <c r="N31" s="13">
        <f>IF('Données projet'!$A$36&gt;35,N30+M31-V30,IF(A31&lt;'Données projet'!$A$36,$K$205^A31,IF(A31='Données projet'!$A$36,'Données projet'!$B$36,N30+M31-V30)))</f>
        <v>350.8533333333333</v>
      </c>
      <c r="O31" s="13">
        <f>N31*VLOOKUP('Données projet'!$B$9,Paramètres!$A$1:$I$89,3,0)*VLOOKUP('Données projet'!$B$9,Paramètres!$A$1:$I$89,5,0)</f>
        <v>196.12701333333334</v>
      </c>
      <c r="P31" s="13">
        <f t="shared" si="33"/>
        <v>48.892036198454882</v>
      </c>
      <c r="Q31" s="20">
        <f t="shared" si="2"/>
        <v>426.7415112678645</v>
      </c>
      <c r="R31" s="59">
        <f t="shared" si="0"/>
        <v>680.56650330859611</v>
      </c>
      <c r="S31" s="59">
        <f ca="1">AVERAGE(OFFSET($R$3,0,0,'Données projet'!$E$9+1,1))-AVERAGE(OFFSET($H$3,0,0,'Données projet'!$E$9+1,1))</f>
        <v>414.37917672189968</v>
      </c>
      <c r="T31" s="59">
        <f t="shared" si="34"/>
        <v>546.83385887302961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3.8726481339539642</v>
      </c>
      <c r="AA31" s="21">
        <f>EXP(-LN(2)/25)*AA30+(1-EXP(-LN(2)/25))/(LN(2)/25)*Calculateur!V31*Calculateur!X31*VLOOKUP('Données projet'!$B$9,Paramètres!$A$1:$I$89,3,0)*0.475*44/12</f>
        <v>23.363653504465475</v>
      </c>
      <c r="AB31" s="21">
        <f>EXP(-LN(2)/2)*AB30+(1-EXP(-LN(2)/2))/(LN(2)/2)*V31*Y31*VLOOKUP('Données projet'!$B$9,Paramètres!$A$1:$I$89,3,0)*0.475*44/12</f>
        <v>3.4971243122447793</v>
      </c>
      <c r="AC31" s="22">
        <f t="shared" si="3"/>
        <v>30.73342595066422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16.600000000000001</v>
      </c>
      <c r="AI31" s="13">
        <f>IF('Données projet'!$A$62&gt;35,AI30+AH31-AQ30,IF(A31&lt;'Données projet'!$A$62,$AF$205^A31,IF(A31='Données projet'!$A$62,'Données projet'!$B$62,AI30+AH31-AQ30)))</f>
        <v>187.8</v>
      </c>
      <c r="AJ31" s="13">
        <f>AI31*VLOOKUP('Données projet'!$B$10,Paramètres!$A$1:$I$89,3,0)*VLOOKUP('Données projet'!$B$10,Paramètres!$A$1:$I$89,5,0)</f>
        <v>117.1872</v>
      </c>
      <c r="AK31" s="13">
        <f t="shared" si="35"/>
        <v>31.018057006390617</v>
      </c>
      <c r="AL31" s="20">
        <f t="shared" si="4"/>
        <v>258.12415595279703</v>
      </c>
      <c r="AM31" s="59">
        <f t="shared" si="5"/>
        <v>511.9491479935287</v>
      </c>
      <c r="AN31" s="59">
        <f ca="1">AVERAGE(OFFSET($AM$3,0,0,'Données projet'!$E$10+1,1))-AVERAGE(OFFSET($H$3,0,0,'Données projet'!$E$10+1,1))</f>
        <v>296.20984079604017</v>
      </c>
      <c r="AO31" s="59">
        <f t="shared" si="36"/>
        <v>351.8406329895206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12.805546930315938</v>
      </c>
      <c r="AV31" s="21">
        <f>EXP(-LN(2)/25)*AV30+(1-EXP(-LN(2)/25))/(LN(2)/25)*Calculateur!AQ31*Calculateur!AS31*VLOOKUP('Données projet'!$B$10,Paramètres!$A$1:$I$89,3,0)*0.475*44/12</f>
        <v>19.299114320370155</v>
      </c>
      <c r="AW31" s="21">
        <f>EXP(-LN(2)/2)*AW30+(1-EXP(-LN(2)/2))/(LN(2)/2)*AQ31*AT31*VLOOKUP('Données projet'!$B$10,Paramètres!$A$1:$I$89,3,0)*0.475*44/12</f>
        <v>3.4259935411930722</v>
      </c>
      <c r="AX31" s="21">
        <f t="shared" si="6"/>
        <v>35.530654791879165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4.6587096774193544</v>
      </c>
      <c r="BD31" s="12">
        <f>IF('Données projet'!$A$88&gt;35,BD30+BC31-BL30,IF(A31&lt;'Données projet'!$A$88,$BA$205^A31,IF(A31='Données projet'!$A$88,'Données projet'!$B$88,BD30+BC31-BL30)))</f>
        <v>89.254710647736857</v>
      </c>
      <c r="BE31" s="13">
        <f>BD31*VLOOKUP('Données projet'!$B$11,Paramètres!$A$1:$I$89,3,0)*VLOOKUP('Données projet'!$B$11,Paramètres!$A$1:$I$89,5,0)</f>
        <v>77.972915221862934</v>
      </c>
      <c r="BF31" s="13">
        <f t="shared" si="37"/>
        <v>21.640813464602513</v>
      </c>
      <c r="BG31" s="20">
        <f t="shared" si="7"/>
        <v>173.49391079559396</v>
      </c>
      <c r="BH31" s="59">
        <f t="shared" si="8"/>
        <v>427.31890283632561</v>
      </c>
      <c r="BI31" s="59">
        <f ca="1">AVERAGE(OFFSET($BH$3,0,0,'Données projet'!$E$11+1,1))-AVERAGE(OFFSET($H$3,0,0,'Données projet'!$E$11+1,1))</f>
        <v>385.40047672167555</v>
      </c>
      <c r="BJ31" s="59">
        <f t="shared" si="38"/>
        <v>286.49293757741611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197.40000000000003</v>
      </c>
      <c r="BZ31" s="13">
        <f>BY31*VLOOKUP('Données projet'!$B$12,Paramètres!$A$1:$I$89,3,0)*VLOOKUP('Données projet'!$B$12,Paramètres!$A$1:$I$89,5,0)</f>
        <v>178.60752000000002</v>
      </c>
      <c r="CA31" s="13">
        <f t="shared" si="39"/>
        <v>45.012245134905669</v>
      </c>
      <c r="CB31" s="20">
        <f t="shared" si="10"/>
        <v>389.47109094329409</v>
      </c>
      <c r="CC31" s="59">
        <f t="shared" si="11"/>
        <v>643.29608298402582</v>
      </c>
      <c r="CD31" s="59">
        <f ca="1">AVERAGE(OFFSET($CC$3,0,0,'Données projet'!$E$12+1,1))-AVERAGE(OFFSET($H$3,0,0,'Données projet'!$E$12+1,1))</f>
        <v>397.12030701006762</v>
      </c>
      <c r="CE31" s="59">
        <f t="shared" si="40"/>
        <v>476.47513516380047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4.3795149132471307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4.3795149132471307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110.43805901666033</v>
      </c>
      <c r="CZ31" s="59">
        <f t="shared" si="42"/>
        <v>319.51880962151881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35.04542451338439</v>
      </c>
      <c r="DG31" s="21">
        <f>EXP(-LN(2)/25)*DG30+(1-EXP(-LN(2)/25))/(LN(2)/25)*Calculateur!DB31*Calculateur!DD31*VLOOKUP('Données projet'!$B$13,Paramètres!$A$1:$I$89,3,0)*0.475*44/12</f>
        <v>14.639176981489859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49.684601494874251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3.3000000000000003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12.100000000000001</v>
      </c>
      <c r="H32" s="67">
        <f t="shared" si="1"/>
        <v>208.26666666666665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29.853333333333335</v>
      </c>
      <c r="N32" s="13">
        <f>IF('Données projet'!$A$36&gt;35,N31+M32-V31,IF(A32&lt;'Données projet'!$A$36,$K$205^A32,IF(A32='Données projet'!$A$36,'Données projet'!$B$36,N31+M32-V31)))</f>
        <v>380.70666666666665</v>
      </c>
      <c r="O32" s="13">
        <f>N32*VLOOKUP('Données projet'!$B$9,Paramètres!$A$1:$I$89,3,0)*VLOOKUP('Données projet'!$B$9,Paramètres!$A$1:$I$89,5,0)</f>
        <v>212.81502666666668</v>
      </c>
      <c r="P32" s="13">
        <f t="shared" si="33"/>
        <v>52.550262305758714</v>
      </c>
      <c r="Q32" s="20">
        <f t="shared" si="2"/>
        <v>462.17787829364084</v>
      </c>
      <c r="R32" s="59">
        <f t="shared" si="0"/>
        <v>717.86806830445062</v>
      </c>
      <c r="S32" s="59">
        <f ca="1">AVERAGE(OFFSET($R$3,0,0,'Données projet'!$E$9+1,1))-AVERAGE(OFFSET($H$3,0,0,'Données projet'!$E$9+1,1))</f>
        <v>414.37917672189968</v>
      </c>
      <c r="T32" s="59">
        <f t="shared" si="34"/>
        <v>546.83385887302961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3.7967078661292524</v>
      </c>
      <c r="AA32" s="21">
        <f>EXP(-LN(2)/25)*AA31+(1-EXP(-LN(2)/25))/(LN(2)/25)*Calculateur!V32*Calculateur!X32*VLOOKUP('Données projet'!$B$9,Paramètres!$A$1:$I$89,3,0)*0.475*44/12</f>
        <v>22.724773170744726</v>
      </c>
      <c r="AB32" s="21">
        <f>EXP(-LN(2)/2)*AB31+(1-EXP(-LN(2)/2))/(LN(2)/2)*V32*Y32*VLOOKUP('Données projet'!$B$9,Paramètres!$A$1:$I$89,3,0)*0.475*44/12</f>
        <v>2.4728403158406249</v>
      </c>
      <c r="AC32" s="22">
        <f t="shared" si="3"/>
        <v>28.994321352714604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16.600000000000001</v>
      </c>
      <c r="AI32" s="13">
        <f>IF('Données projet'!$A$62&gt;35,AI31+AH32-AQ31,IF(A32&lt;'Données projet'!$A$62,$AF$205^A32,IF(A32='Données projet'!$A$62,'Données projet'!$B$62,AI31+AH32-AQ31)))</f>
        <v>204.4</v>
      </c>
      <c r="AJ32" s="13">
        <f>AI32*VLOOKUP('Données projet'!$B$10,Paramètres!$A$1:$I$89,3,0)*VLOOKUP('Données projet'!$B$10,Paramètres!$A$1:$I$89,5,0)</f>
        <v>127.54559999999999</v>
      </c>
      <c r="AK32" s="13">
        <f t="shared" si="35"/>
        <v>33.428591950384806</v>
      </c>
      <c r="AL32" s="20">
        <f t="shared" si="4"/>
        <v>280.36338431358689</v>
      </c>
      <c r="AM32" s="59">
        <f t="shared" si="5"/>
        <v>536.05357432439678</v>
      </c>
      <c r="AN32" s="59">
        <f ca="1">AVERAGE(OFFSET($AM$3,0,0,'Données projet'!$E$10+1,1))-AVERAGE(OFFSET($H$3,0,0,'Données projet'!$E$10+1,1))</f>
        <v>296.20984079604017</v>
      </c>
      <c r="AO32" s="59">
        <f t="shared" si="36"/>
        <v>351.8406329895206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12.554437965624835</v>
      </c>
      <c r="AV32" s="21">
        <f>EXP(-LN(2)/25)*AV31+(1-EXP(-LN(2)/25))/(LN(2)/25)*Calculateur!AQ32*Calculateur!AS32*VLOOKUP('Données projet'!$B$10,Paramètres!$A$1:$I$89,3,0)*0.475*44/12</f>
        <v>18.771379024383318</v>
      </c>
      <c r="AW32" s="21">
        <f>EXP(-LN(2)/2)*AW31+(1-EXP(-LN(2)/2))/(LN(2)/2)*AQ32*AT32*VLOOKUP('Données projet'!$B$10,Paramètres!$A$1:$I$89,3,0)*0.475*44/12</f>
        <v>2.4225432652789349</v>
      </c>
      <c r="AX32" s="21">
        <f t="shared" si="6"/>
        <v>33.748360255287089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4.6587096774193544</v>
      </c>
      <c r="BD32" s="12">
        <f>IF('Données projet'!$A$88&gt;35,BD31+BC32-BL31,IF(A32&lt;'Données projet'!$A$88,$BA$205^A32,IF(A32='Données projet'!$A$88,'Données projet'!$B$88,BD31+BC32-BL31)))</f>
        <v>104.7843791393538</v>
      </c>
      <c r="BE32" s="13">
        <f>BD32*VLOOKUP('Données projet'!$B$11,Paramètres!$A$1:$I$89,3,0)*VLOOKUP('Données projet'!$B$11,Paramètres!$A$1:$I$89,5,0)</f>
        <v>91.539633616139497</v>
      </c>
      <c r="BF32" s="13">
        <f t="shared" si="37"/>
        <v>24.936180180514079</v>
      </c>
      <c r="BG32" s="20">
        <f t="shared" si="7"/>
        <v>202.86204236250498</v>
      </c>
      <c r="BH32" s="59">
        <f t="shared" si="8"/>
        <v>458.55223237331484</v>
      </c>
      <c r="BI32" s="59">
        <f ca="1">AVERAGE(OFFSET($BH$3,0,0,'Données projet'!$E$11+1,1))-AVERAGE(OFFSET($H$3,0,0,'Données projet'!$E$11+1,1))</f>
        <v>385.40047672167555</v>
      </c>
      <c r="BJ32" s="59">
        <f t="shared" si="38"/>
        <v>286.49293757741611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207.20000000000005</v>
      </c>
      <c r="BZ32" s="13">
        <f>BY32*VLOOKUP('Données projet'!$B$12,Paramètres!$A$1:$I$89,3,0)*VLOOKUP('Données projet'!$B$12,Paramètres!$A$1:$I$89,5,0)</f>
        <v>187.47456000000003</v>
      </c>
      <c r="CA32" s="13">
        <f t="shared" si="39"/>
        <v>46.981179851370143</v>
      </c>
      <c r="CB32" s="20">
        <f t="shared" si="10"/>
        <v>408.34374690780299</v>
      </c>
      <c r="CC32" s="59">
        <f t="shared" si="11"/>
        <v>664.03393691861288</v>
      </c>
      <c r="CD32" s="59">
        <f ca="1">AVERAGE(OFFSET($CC$3,0,0,'Données projet'!$E$12+1,1))-AVERAGE(OFFSET($H$3,0,0,'Données projet'!$E$12+1,1))</f>
        <v>397.12030701006762</v>
      </c>
      <c r="CE32" s="59">
        <f t="shared" si="40"/>
        <v>476.47513516380047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4.2936352970386888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4.2936352970386888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110.43805901666033</v>
      </c>
      <c r="CZ32" s="59">
        <f t="shared" si="42"/>
        <v>319.51880962151881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34.358205114275208</v>
      </c>
      <c r="DG32" s="21">
        <f>EXP(-LN(2)/25)*DG31+(1-EXP(-LN(2)/25))/(LN(2)/25)*Calculateur!DB32*Calculateur!DD32*VLOOKUP('Données projet'!$B$13,Paramètres!$A$1:$I$89,3,0)*0.475*44/12</f>
        <v>14.238867917090159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48.597073031365369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3.3000000000000003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12.100000000000001</v>
      </c>
      <c r="H33" s="67">
        <f t="shared" si="1"/>
        <v>208.26666666666665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410.56</v>
      </c>
      <c r="L33" s="12">
        <f>VLOOKUP(A33,'Données projet'!$A$35:$I$55,9,0)</f>
        <v>29.853333333333335</v>
      </c>
      <c r="M33" s="12">
        <f t="array" ref="M33">INDEX(L:L,MIN(IF(ISNUMBER(L33:L229),ROW(L33:L229),"")))</f>
        <v>29.853333333333335</v>
      </c>
      <c r="N33" s="13">
        <f>IF('Données projet'!$A$36&gt;35,N32+M33-V32,IF(A33&lt;'Données projet'!$A$36,$K$205^A33,IF(A33='Données projet'!$A$36,'Données projet'!$B$36,N32+M33-V32)))</f>
        <v>410.56</v>
      </c>
      <c r="O33" s="13">
        <f>N33*VLOOKUP('Données projet'!$B$9,Paramètres!$A$1:$I$89,3,0)*VLOOKUP('Données projet'!$B$9,Paramètres!$A$1:$I$89,5,0)</f>
        <v>229.50304</v>
      </c>
      <c r="P33" s="13">
        <f t="shared" si="33"/>
        <v>56.175213636682351</v>
      </c>
      <c r="Q33" s="20">
        <f t="shared" si="2"/>
        <v>497.55629175055515</v>
      </c>
      <c r="R33" s="59">
        <f t="shared" si="0"/>
        <v>755.10052553969626</v>
      </c>
      <c r="S33" s="59">
        <f ca="1">AVERAGE(OFFSET($R$3,0,0,'Données projet'!$E$9+1,1))-AVERAGE(OFFSET($H$3,0,0,'Données projet'!$E$9+1,1))</f>
        <v>414.37917672189968</v>
      </c>
      <c r="T33" s="59">
        <f t="shared" si="34"/>
        <v>546.83385887302961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81</v>
      </c>
      <c r="W33" s="16">
        <f>IF(ISNA(VLOOKUP(A33,'Données projet'!$A$35:$I$55,5,0)),0%,VLOOKUP(A33,'Données projet'!$A$35:$I$55,5,0)*VLOOKUP('Données projet'!$B$9,Paramètres!$A$1:$I$89,7,0))</f>
        <v>0.22000000000000003</v>
      </c>
      <c r="X33" s="16">
        <f>IF(ISNA(VLOOKUP(A33,'Données projet'!$A$35:$I$55,6,0)),0%,VLOOKUP(A33,'Données projet'!$A$35:$I$55,6,0)*VLOOKUP('Données projet'!$B$9,Paramètres!$A$1:$I$89,7,0))</f>
        <v>0.18700000000000003</v>
      </c>
      <c r="Y33" s="16">
        <f>IF(ISNA(VLOOKUP(A33,'Données projet'!$A$35:$I$55,7,0)),0%,VLOOKUP(A33,'Données projet'!$A$35:$I$55,7,0))</f>
        <v>0.26</v>
      </c>
      <c r="Z33" s="21">
        <f>EXP(-LN(2)/35)*Z32+(1-EXP(-LN(2)/35))/(LN(2)/35)*V33*W33*VLOOKUP('Données projet'!$B$9,Paramètres!$A$1:$I$89,3,0)*0.475*44/12</f>
        <v>16.93666937576392</v>
      </c>
      <c r="AA33" s="21">
        <f>EXP(-LN(2)/25)*AA32+(1-EXP(-LN(2)/25))/(LN(2)/25)*Calculateur!V33*Calculateur!X33*VLOOKUP('Données projet'!$B$9,Paramètres!$A$1:$I$89,3,0)*0.475*44/12</f>
        <v>33.291388142218324</v>
      </c>
      <c r="AB33" s="21">
        <f>EXP(-LN(2)/2)*AB32+(1-EXP(-LN(2)/2))/(LN(2)/2)*V33*Y33*VLOOKUP('Données projet'!$B$9,Paramètres!$A$1:$I$89,3,0)*0.475*44/12</f>
        <v>15.077812168044609</v>
      </c>
      <c r="AC33" s="22">
        <f t="shared" si="3"/>
        <v>65.305869686026853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221</v>
      </c>
      <c r="AG33" s="12">
        <f>VLOOKUP(A33,'Données projet'!$A$61:$I$81,9,0)</f>
        <v>16.600000000000001</v>
      </c>
      <c r="AH33" s="12">
        <f t="array" ref="AH33">INDEX(AG:AG,MIN(IF(ISNUMBER(AG33:AG229),ROW(AG33:AG229),"")))</f>
        <v>16.600000000000001</v>
      </c>
      <c r="AI33" s="13">
        <f>IF('Données projet'!$A$62&gt;35,AI32+AH33-AQ32,IF(A33&lt;'Données projet'!$A$62,$AF$205^A33,IF(A33='Données projet'!$A$62,'Données projet'!$B$62,AI32+AH33-AQ32)))</f>
        <v>221</v>
      </c>
      <c r="AJ33" s="13">
        <f>AI33*VLOOKUP('Données projet'!$B$10,Paramètres!$A$1:$I$89,3,0)*VLOOKUP('Données projet'!$B$10,Paramètres!$A$1:$I$89,5,0)</f>
        <v>137.904</v>
      </c>
      <c r="AK33" s="13">
        <f t="shared" si="35"/>
        <v>35.816420593519346</v>
      </c>
      <c r="AL33" s="20">
        <f t="shared" si="4"/>
        <v>302.56306586704619</v>
      </c>
      <c r="AM33" s="59">
        <f t="shared" si="5"/>
        <v>560.10729965618725</v>
      </c>
      <c r="AN33" s="59">
        <f ca="1">AVERAGE(OFFSET($AM$3,0,0,'Données projet'!$E$10+1,1))-AVERAGE(OFFSET($H$3,0,0,'Données projet'!$E$10+1,1))</f>
        <v>296.20984079604017</v>
      </c>
      <c r="AO33" s="59">
        <f t="shared" si="36"/>
        <v>351.8406329895206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0.24</v>
      </c>
      <c r="AS33" s="16">
        <f>IF(ISNA(VLOOKUP(A33,'Données projet'!$A$61:$I$81,6,0)),0%,VLOOKUP(A33,'Données projet'!$A$61:$I$81,6,0)*VLOOKUP('Données projet'!$B$10,Paramètres!$A$1:$I$89,7,0))</f>
        <v>0.20400000000000001</v>
      </c>
      <c r="AT33" s="16">
        <f>IF(ISNA(VLOOKUP(A33,'Données projet'!$A$61:$I$81,7,0)),0%,VLOOKUP(A33,'Données projet'!$A$61:$I$81,7,0))</f>
        <v>0.26</v>
      </c>
      <c r="AU33" s="21">
        <f>EXP(-LN(2)/35)*AU32+(1-EXP(-LN(2)/35))/(LN(2)/35)*AQ33*AR33*VLOOKUP('Données projet'!$B$10,Paramètres!$A$1:$I$89,3,0)*0.475*44/12</f>
        <v>20.65223739412825</v>
      </c>
      <c r="AV33" s="21">
        <f>EXP(-LN(2)/25)*AV32+(1-EXP(-LN(2)/25))/(LN(2)/25)*Calculateur!AQ33*Calculateur!AS33*VLOOKUP('Données projet'!$B$10,Paramètres!$A$1:$I$89,3,0)*0.475*44/12</f>
        <v>25.32253590377173</v>
      </c>
      <c r="AW33" s="21">
        <f>EXP(-LN(2)/2)*AW32+(1-EXP(-LN(2)/2))/(LN(2)/2)*AQ33*AT33*VLOOKUP('Données projet'!$B$10,Paramètres!$A$1:$I$89,3,0)*0.475*44/12</f>
        <v>9.4281182245256758</v>
      </c>
      <c r="AX33" s="21">
        <f t="shared" si="6"/>
        <v>55.402891522425655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4.6587096774193544</v>
      </c>
      <c r="BD33" s="12">
        <f>IF('Données projet'!$A$88&gt;35,BD32+BC33-BL32,IF(A33&lt;'Données projet'!$A$88,$BA$205^A33,IF(A33='Données projet'!$A$88,'Données projet'!$B$88,BD32+BC33-BL32)))</f>
        <v>123.01609665123316</v>
      </c>
      <c r="BE33" s="13">
        <f>BD33*VLOOKUP('Données projet'!$B$11,Paramètres!$A$1:$I$89,3,0)*VLOOKUP('Données projet'!$B$11,Paramètres!$A$1:$I$89,5,0)</f>
        <v>107.46686203451731</v>
      </c>
      <c r="BF33" s="13">
        <f t="shared" si="37"/>
        <v>28.733350666884643</v>
      </c>
      <c r="BG33" s="20">
        <f t="shared" si="7"/>
        <v>237.21537045494168</v>
      </c>
      <c r="BH33" s="59">
        <f t="shared" si="8"/>
        <v>494.75960424408277</v>
      </c>
      <c r="BI33" s="59">
        <f ca="1">AVERAGE(OFFSET($BH$3,0,0,'Données projet'!$E$11+1,1))-AVERAGE(OFFSET($H$3,0,0,'Données projet'!$E$11+1,1))</f>
        <v>385.40047672167555</v>
      </c>
      <c r="BJ33" s="59">
        <f t="shared" si="38"/>
        <v>286.49293757741611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217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217.00000000000006</v>
      </c>
      <c r="BZ33" s="13">
        <f>BY33*VLOOKUP('Données projet'!$B$12,Paramètres!$A$1:$I$89,3,0)*VLOOKUP('Données projet'!$B$12,Paramètres!$A$1:$I$89,5,0)</f>
        <v>196.34160000000006</v>
      </c>
      <c r="CA33" s="13">
        <f t="shared" si="39"/>
        <v>48.939300310809159</v>
      </c>
      <c r="CB33" s="20">
        <f t="shared" si="10"/>
        <v>427.19756804132606</v>
      </c>
      <c r="CC33" s="59">
        <f t="shared" si="11"/>
        <v>684.74180183046713</v>
      </c>
      <c r="CD33" s="59">
        <f ca="1">AVERAGE(OFFSET($CC$3,0,0,'Données projet'!$E$12+1,1))-AVERAGE(OFFSET($H$3,0,0,'Données projet'!$E$12+1,1))</f>
        <v>397.12030701006762</v>
      </c>
      <c r="CE33" s="59">
        <f t="shared" si="40"/>
        <v>476.47513516380047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0.09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6.009853006645244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6.009853006645244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110.43805901666033</v>
      </c>
      <c r="CZ33" s="59">
        <f t="shared" si="42"/>
        <v>319.51880962151881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33.684461668420113</v>
      </c>
      <c r="DG33" s="21">
        <f>EXP(-LN(2)/25)*DG32+(1-EXP(-LN(2)/25))/(LN(2)/25)*Calculateur!DB33*Calculateur!DD33*VLOOKUP('Données projet'!$B$13,Paramètres!$A$1:$I$89,3,0)*0.475*44/12</f>
        <v>13.849505325107808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47.533966993527919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3.3000000000000003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12.100000000000001</v>
      </c>
      <c r="H34" s="67">
        <f t="shared" si="1"/>
        <v>208.26666666666665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27.790000000000003</v>
      </c>
      <c r="N34" s="13">
        <f>IF('Données projet'!$A$36&gt;35,N33+M34-V33,IF(A34&lt;'Données projet'!$A$36,$K$205^A34,IF(A34='Données projet'!$A$36,'Données projet'!$B$36,N33+M34-V33)))</f>
        <v>357.35</v>
      </c>
      <c r="O34" s="13">
        <f>N34*VLOOKUP('Données projet'!$B$9,Paramètres!$A$1:$I$89,3,0)*VLOOKUP('Données projet'!$B$9,Paramètres!$A$1:$I$89,5,0)</f>
        <v>199.75865000000002</v>
      </c>
      <c r="P34" s="13">
        <f t="shared" si="33"/>
        <v>49.691122573396591</v>
      </c>
      <c r="Q34" s="20">
        <f t="shared" si="2"/>
        <v>434.45835389866573</v>
      </c>
      <c r="R34" s="59">
        <f t="shared" si="0"/>
        <v>692.62344855245863</v>
      </c>
      <c r="S34" s="59">
        <f ca="1">AVERAGE(OFFSET($R$3,0,0,'Données projet'!$E$9+1,1))-AVERAGE(OFFSET($H$3,0,0,'Données projet'!$E$9+1,1))</f>
        <v>414.37917672189968</v>
      </c>
      <c r="T34" s="59">
        <f t="shared" si="34"/>
        <v>546.83385887302961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16.604551619653471</v>
      </c>
      <c r="AA34" s="21">
        <f>EXP(-LN(2)/25)*AA33+(1-EXP(-LN(2)/25))/(LN(2)/25)*Calculateur!V34*Calculateur!X34*VLOOKUP('Données projet'!$B$9,Paramètres!$A$1:$I$89,3,0)*0.475*44/12</f>
        <v>32.381033382751347</v>
      </c>
      <c r="AB34" s="21">
        <f>EXP(-LN(2)/2)*AB33+(1-EXP(-LN(2)/2))/(LN(2)/2)*V34*Y34*VLOOKUP('Données projet'!$B$9,Paramètres!$A$1:$I$89,3,0)*0.475*44/12</f>
        <v>10.661623229481384</v>
      </c>
      <c r="AC34" s="22">
        <f t="shared" si="3"/>
        <v>59.647208231886204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15.6</v>
      </c>
      <c r="AI34" s="13">
        <f>IF('Données projet'!$A$62&gt;35,AI33+AH34-AQ33,IF(A34&lt;'Données projet'!$A$62,$AF$205^A34,IF(A34='Données projet'!$A$62,'Données projet'!$B$62,AI33+AH34-AQ33)))</f>
        <v>194.6</v>
      </c>
      <c r="AJ34" s="13">
        <f>AI34*VLOOKUP('Données projet'!$B$10,Paramètres!$A$1:$I$89,3,0)*VLOOKUP('Données projet'!$B$10,Paramètres!$A$1:$I$89,5,0)</f>
        <v>121.43039999999999</v>
      </c>
      <c r="AK34" s="13">
        <f t="shared" si="35"/>
        <v>32.008386179504484</v>
      </c>
      <c r="AL34" s="20">
        <f t="shared" si="4"/>
        <v>267.23921926263694</v>
      </c>
      <c r="AM34" s="59">
        <f t="shared" si="5"/>
        <v>525.40431391642983</v>
      </c>
      <c r="AN34" s="59">
        <f ca="1">AVERAGE(OFFSET($AM$3,0,0,'Données projet'!$E$10+1,1))-AVERAGE(OFFSET($H$3,0,0,'Données projet'!$E$10+1,1))</f>
        <v>296.20984079604017</v>
      </c>
      <c r="AO34" s="59">
        <f t="shared" si="36"/>
        <v>351.8406329895206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20.247259615450393</v>
      </c>
      <c r="AV34" s="21">
        <f>EXP(-LN(2)/25)*AV33+(1-EXP(-LN(2)/25))/(LN(2)/25)*Calculateur!AQ34*Calculateur!AS34*VLOOKUP('Données projet'!$B$10,Paramètres!$A$1:$I$89,3,0)*0.475*44/12</f>
        <v>24.630089827828805</v>
      </c>
      <c r="AW34" s="21">
        <f>EXP(-LN(2)/2)*AW33+(1-EXP(-LN(2)/2))/(LN(2)/2)*AQ34*AT34*VLOOKUP('Données projet'!$B$10,Paramètres!$A$1:$I$89,3,0)*0.475*44/12</f>
        <v>6.6666863303905783</v>
      </c>
      <c r="AX34" s="21">
        <f t="shared" si="6"/>
        <v>51.544035773669776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144.41999999999999</v>
      </c>
      <c r="BB34" s="12">
        <f>VLOOKUP(A34,'Données projet'!$A$87:$I$107,9,0)</f>
        <v>4.6587096774193544</v>
      </c>
      <c r="BC34" s="12">
        <f t="array" ref="BC34">INDEX(BB:BB,MIN(IF(ISNUMBER(BB34:BB230),ROW(BB34:BB230),"")))</f>
        <v>4.6587096774193544</v>
      </c>
      <c r="BD34" s="12">
        <f>IF('Données projet'!$A$88&gt;35,BD33+BC34-BL33,IF(A34&lt;'Données projet'!$A$88,$BA$205^A34,IF(A34='Données projet'!$A$88,'Données projet'!$B$88,BD33+BC34-BL33)))</f>
        <v>144.41999999999999</v>
      </c>
      <c r="BE34" s="13">
        <f>BD34*VLOOKUP('Données projet'!$B$11,Paramètres!$A$1:$I$89,3,0)*VLOOKUP('Données projet'!$B$11,Paramètres!$A$1:$I$89,5,0)</f>
        <v>126.16531200000001</v>
      </c>
      <c r="BF34" s="13">
        <f t="shared" si="37"/>
        <v>33.108737367534438</v>
      </c>
      <c r="BG34" s="20">
        <f t="shared" si="7"/>
        <v>277.40230264845582</v>
      </c>
      <c r="BH34" s="59">
        <f t="shared" si="8"/>
        <v>535.56739730224876</v>
      </c>
      <c r="BI34" s="59">
        <f ca="1">AVERAGE(OFFSET($BH$3,0,0,'Données projet'!$E$11+1,1))-AVERAGE(OFFSET($H$3,0,0,'Données projet'!$E$11+1,1))</f>
        <v>385.40047672167555</v>
      </c>
      <c r="BJ34" s="59">
        <f t="shared" si="38"/>
        <v>286.49293757741611</v>
      </c>
      <c r="BK34" s="15">
        <f>IF(ISNA(VLOOKUP(A34,'Données projet'!$A$87:$I$107,3,0)),0,VLOOKUP(A34,'Données projet'!$A$87:$I$107,3,0))</f>
        <v>1</v>
      </c>
      <c r="BL34" s="15">
        <f>IF(ISNA(VLOOKUP(A34,'Données projet'!$A$87:$I$107,4,0)),0,VLOOKUP(A34,'Données projet'!$A$87:$I$107,4,0))</f>
        <v>64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8.6</v>
      </c>
      <c r="BY34" s="12">
        <f>IF('Données projet'!$A$114&gt;35,BY33+BX34-CG33,IF(A34&lt;'Données projet'!$A$114,$BV$205^A34,IF(A34='Données projet'!$A$114,'Données projet'!$B$114,BY33+BX34-CG33)))</f>
        <v>205.60000000000005</v>
      </c>
      <c r="BZ34" s="13">
        <f>BY34*VLOOKUP('Données projet'!$B$12,Paramètres!$A$1:$I$89,3,0)*VLOOKUP('Données projet'!$B$12,Paramètres!$A$1:$I$89,5,0)</f>
        <v>186.02688000000003</v>
      </c>
      <c r="CA34" s="13">
        <f t="shared" si="39"/>
        <v>46.660474979065647</v>
      </c>
      <c r="CB34" s="20">
        <f t="shared" si="10"/>
        <v>405.26380992187273</v>
      </c>
      <c r="CC34" s="59">
        <f t="shared" si="11"/>
        <v>663.42890457566568</v>
      </c>
      <c r="CD34" s="59">
        <f ca="1">AVERAGE(OFFSET($CC$3,0,0,'Données projet'!$E$12+1,1))-AVERAGE(OFFSET($H$3,0,0,'Données projet'!$E$12+1,1))</f>
        <v>397.12030701006762</v>
      </c>
      <c r="CE34" s="59">
        <f t="shared" si="40"/>
        <v>476.47513516380047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5.8920034548333122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5.8920034548333122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110.43805901666033</v>
      </c>
      <c r="CZ34" s="59">
        <f t="shared" si="42"/>
        <v>319.51880962151881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33.023929920595315</v>
      </c>
      <c r="DG34" s="21">
        <f>EXP(-LN(2)/25)*DG33+(1-EXP(-LN(2)/25))/(LN(2)/25)*Calculateur!DB34*Calculateur!DD34*VLOOKUP('Données projet'!$B$13,Paramètres!$A$1:$I$89,3,0)*0.475*44/12</f>
        <v>13.470789873678903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46.494719794274218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3.3000000000000003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12.100000000000001</v>
      </c>
      <c r="H35" s="67">
        <f t="shared" si="1"/>
        <v>208.26666666666665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27.790000000000003</v>
      </c>
      <c r="N35" s="13">
        <f>IF('Données projet'!$A$36&gt;35,N34+M35-V34,IF(A35&lt;'Données projet'!$A$36,$K$205^A35,IF(A35='Données projet'!$A$36,'Données projet'!$B$36,N34+M35-V34)))</f>
        <v>385.14000000000004</v>
      </c>
      <c r="O35" s="13">
        <f>N35*VLOOKUP('Données projet'!$B$9,Paramètres!$A$1:$I$89,3,0)*VLOOKUP('Données projet'!$B$9,Paramètres!$A$1:$I$89,5,0)</f>
        <v>215.29326000000003</v>
      </c>
      <c r="P35" s="13">
        <f t="shared" si="33"/>
        <v>53.090615010734737</v>
      </c>
      <c r="Q35" s="20">
        <f t="shared" ref="Q35:Q66" si="53">(O35+P35)*0.475*44/12</f>
        <v>467.43524897702969</v>
      </c>
      <c r="R35" s="59">
        <f t="shared" si="0"/>
        <v>726.21043394750973</v>
      </c>
      <c r="S35" s="59">
        <f ca="1">AVERAGE(OFFSET($R$3,0,0,'Données projet'!$E$9+1,1))-AVERAGE(OFFSET($H$3,0,0,'Données projet'!$E$9+1,1))</f>
        <v>414.37917672189968</v>
      </c>
      <c r="T35" s="59">
        <f t="shared" si="34"/>
        <v>546.83385887302961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16.278946490168519</v>
      </c>
      <c r="AA35" s="21">
        <f>EXP(-LN(2)/25)*AA34+(1-EXP(-LN(2)/25))/(LN(2)/25)*Calculateur!V35*Calculateur!X35*VLOOKUP('Données projet'!$B$9,Paramètres!$A$1:$I$89,3,0)*0.475*44/12</f>
        <v>31.495572322055473</v>
      </c>
      <c r="AB35" s="21">
        <f>EXP(-LN(2)/2)*AB34+(1-EXP(-LN(2)/2))/(LN(2)/2)*V35*Y35*VLOOKUP('Données projet'!$B$9,Paramètres!$A$1:$I$89,3,0)*0.475*44/12</f>
        <v>7.5389060840223054</v>
      </c>
      <c r="AC35" s="22">
        <f t="shared" si="3"/>
        <v>55.313424896246296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15.6</v>
      </c>
      <c r="AI35" s="13">
        <f>IF('Données projet'!$A$62&gt;35,AI34+AH35-AQ34,IF(A35&lt;'Données projet'!$A$62,$AF$205^A35,IF(A35='Données projet'!$A$62,'Données projet'!$B$62,AI34+AH35-AQ34)))</f>
        <v>210.2</v>
      </c>
      <c r="AJ35" s="13">
        <f>AI35*VLOOKUP('Données projet'!$B$10,Paramètres!$A$1:$I$89,3,0)*VLOOKUP('Données projet'!$B$10,Paramètres!$A$1:$I$89,5,0)</f>
        <v>131.16479999999999</v>
      </c>
      <c r="AK35" s="13">
        <f t="shared" si="35"/>
        <v>34.265370524008389</v>
      </c>
      <c r="AL35" s="20">
        <f t="shared" si="4"/>
        <v>288.12421366264789</v>
      </c>
      <c r="AM35" s="59">
        <f t="shared" si="5"/>
        <v>546.89939863312793</v>
      </c>
      <c r="AN35" s="59">
        <f ca="1">AVERAGE(OFFSET($AM$3,0,0,'Données projet'!$E$10+1,1))-AVERAGE(OFFSET($H$3,0,0,'Données projet'!$E$10+1,1))</f>
        <v>296.20984079604017</v>
      </c>
      <c r="AO35" s="59">
        <f t="shared" si="36"/>
        <v>351.8406329895206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19.850223204000354</v>
      </c>
      <c r="AV35" s="21">
        <f>EXP(-LN(2)/25)*AV34+(1-EXP(-LN(2)/25))/(LN(2)/25)*Calculateur!AQ35*Calculateur!AS35*VLOOKUP('Données projet'!$B$10,Paramètres!$A$1:$I$89,3,0)*0.475*44/12</f>
        <v>23.956578726246693</v>
      </c>
      <c r="AW35" s="21">
        <f>EXP(-LN(2)/2)*AW34+(1-EXP(-LN(2)/2))/(LN(2)/2)*AQ35*AT35*VLOOKUP('Données projet'!$B$10,Paramètres!$A$1:$I$89,3,0)*0.475*44/12</f>
        <v>4.7140591122628388</v>
      </c>
      <c r="AX35" s="21">
        <f t="shared" si="6"/>
        <v>48.520861042509885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11.276666666666671</v>
      </c>
      <c r="BD35" s="12">
        <f>IF('Données projet'!$A$88&gt;35,BD34+BC35-BL34,IF(A35&lt;'Données projet'!$A$88,$BA$205^A35,IF(A35='Données projet'!$A$88,'Données projet'!$B$88,BD34+BC35-BL34)))</f>
        <v>91.696666666666658</v>
      </c>
      <c r="BE35" s="13">
        <f>BD35*VLOOKUP('Données projet'!$B$11,Paramètres!$A$1:$I$89,3,0)*VLOOKUP('Données projet'!$B$11,Paramètres!$A$1:$I$89,5,0)</f>
        <v>80.106207999999995</v>
      </c>
      <c r="BF35" s="13">
        <f t="shared" si="37"/>
        <v>22.163150531312251</v>
      </c>
      <c r="BG35" s="20">
        <f t="shared" si="7"/>
        <v>178.11913277536883</v>
      </c>
      <c r="BH35" s="59">
        <f t="shared" si="8"/>
        <v>436.89431774584887</v>
      </c>
      <c r="BI35" s="59">
        <f ca="1">AVERAGE(OFFSET($BH$3,0,0,'Données projet'!$E$11+1,1))-AVERAGE(OFFSET($H$3,0,0,'Données projet'!$E$11+1,1))</f>
        <v>385.40047672167555</v>
      </c>
      <c r="BJ35" s="59">
        <f t="shared" si="38"/>
        <v>286.49293757741611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8.6</v>
      </c>
      <c r="BY35" s="12">
        <f>IF('Données projet'!$A$114&gt;35,BY34+BX35-CG34,IF(A35&lt;'Données projet'!$A$114,$BV$205^A35,IF(A35='Données projet'!$A$114,'Données projet'!$B$114,BY34+BX35-CG34)))</f>
        <v>214.20000000000005</v>
      </c>
      <c r="BZ35" s="13">
        <f>BY35*VLOOKUP('Données projet'!$B$12,Paramètres!$A$1:$I$89,3,0)*VLOOKUP('Données projet'!$B$12,Paramètres!$A$1:$I$89,5,0)</f>
        <v>193.80816000000004</v>
      </c>
      <c r="CA35" s="13">
        <f t="shared" si="39"/>
        <v>48.380908095574732</v>
      </c>
      <c r="CB35" s="20">
        <f t="shared" si="10"/>
        <v>421.81262693312607</v>
      </c>
      <c r="CC35" s="59">
        <f t="shared" si="11"/>
        <v>680.58781190360605</v>
      </c>
      <c r="CD35" s="59">
        <f ca="1">AVERAGE(OFFSET($CC$3,0,0,'Données projet'!$E$12+1,1))-AVERAGE(OFFSET($H$3,0,0,'Données projet'!$E$12+1,1))</f>
        <v>397.12030701006762</v>
      </c>
      <c r="CE35" s="59">
        <f t="shared" si="40"/>
        <v>476.47513516380047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5.7764648608512834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5.7764648608512834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110.43805901666033</v>
      </c>
      <c r="CZ35" s="59">
        <f t="shared" si="42"/>
        <v>319.51880962151881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32.376350797460773</v>
      </c>
      <c r="DG35" s="21">
        <f>EXP(-LN(2)/25)*DG34+(1-EXP(-LN(2)/25))/(LN(2)/25)*Calculateur!DB35*Calculateur!DD35*VLOOKUP('Données projet'!$B$13,Paramètres!$A$1:$I$89,3,0)*0.475*44/12</f>
        <v>13.102430416185102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45.478781213645874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3.3000000000000003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12.100000000000001</v>
      </c>
      <c r="H36" s="67">
        <f t="shared" si="1"/>
        <v>208.26666666666665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412.93</v>
      </c>
      <c r="L36" s="12">
        <f>VLOOKUP(A36,'Données projet'!$A$35:$I$55,9,0)</f>
        <v>27.790000000000003</v>
      </c>
      <c r="M36" s="12">
        <f t="array" ref="M36">INDEX(L:L,MIN(IF(ISNUMBER(L36:L232),ROW(L36:L232),"")))</f>
        <v>27.790000000000003</v>
      </c>
      <c r="N36" s="13">
        <f>IF('Données projet'!$A$36&gt;35,N35+M36-V35,IF(A36&lt;'Données projet'!$A$36,$K$205^A36,IF(A36='Données projet'!$A$36,'Données projet'!$B$36,N35+M36-V35)))</f>
        <v>412.93000000000006</v>
      </c>
      <c r="O36" s="13">
        <f>N36*VLOOKUP('Données projet'!$B$9,Paramètres!$A$1:$I$89,3,0)*VLOOKUP('Données projet'!$B$9,Paramètres!$A$1:$I$89,5,0)</f>
        <v>230.82787000000005</v>
      </c>
      <c r="P36" s="13">
        <f t="shared" si="33"/>
        <v>56.461648931670915</v>
      </c>
      <c r="Q36" s="20">
        <f t="shared" si="53"/>
        <v>500.36257880599351</v>
      </c>
      <c r="R36" s="59">
        <f t="shared" si="0"/>
        <v>759.73727039012374</v>
      </c>
      <c r="S36" s="59">
        <f ca="1">AVERAGE(OFFSET($R$3,0,0,'Données projet'!$E$9+1,1))-AVERAGE(OFFSET($H$3,0,0,'Données projet'!$E$9+1,1))</f>
        <v>414.37917672189968</v>
      </c>
      <c r="T36" s="59">
        <f t="shared" si="34"/>
        <v>546.83385887302961</v>
      </c>
      <c r="U36" s="15">
        <f>IF(ISNA(VLOOKUP(A36,'Données projet'!$A$35:$I$55,3,0)),0,VLOOKUP(A36,'Données projet'!$A$35:$I$55,3,0))</f>
        <v>6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0.22000000000000003</v>
      </c>
      <c r="X36" s="16">
        <f>IF(ISNA(VLOOKUP(A36,'Données projet'!$A$35:$I$55,6,0)),0%,VLOOKUP(A36,'Données projet'!$A$35:$I$55,6,0)*VLOOKUP('Données projet'!$B$9,Paramètres!$A$1:$I$89,7,0))</f>
        <v>0.18700000000000003</v>
      </c>
      <c r="Y36" s="16">
        <f>IF(ISNA(VLOOKUP(A36,'Données projet'!$A$35:$I$55,7,0)),0%,VLOOKUP(A36,'Données projet'!$A$35:$I$55,7,0))</f>
        <v>0.26</v>
      </c>
      <c r="Z36" s="21">
        <f>EXP(-LN(2)/35)*Z35+(1-EXP(-LN(2)/35))/(LN(2)/35)*V36*W36*VLOOKUP('Données projet'!$B$9,Paramètres!$A$1:$I$89,3,0)*0.475*44/12</f>
        <v>15.959726278673248</v>
      </c>
      <c r="AA36" s="21">
        <f>EXP(-LN(2)/25)*AA35+(1-EXP(-LN(2)/25))/(LN(2)/25)*Calculateur!V36*Calculateur!X36*VLOOKUP('Données projet'!$B$9,Paramètres!$A$1:$I$89,3,0)*0.475*44/12</f>
        <v>30.6343242406287</v>
      </c>
      <c r="AB36" s="21">
        <f>EXP(-LN(2)/2)*AB35+(1-EXP(-LN(2)/2))/(LN(2)/2)*V36*Y36*VLOOKUP('Données projet'!$B$9,Paramètres!$A$1:$I$89,3,0)*0.475*44/12</f>
        <v>5.3308116147406928</v>
      </c>
      <c r="AC36" s="22">
        <f t="shared" si="3"/>
        <v>51.924862134042641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15.6</v>
      </c>
      <c r="AI36" s="13">
        <f>IF('Données projet'!$A$62&gt;35,AI35+AH36-AQ35,IF(A36&lt;'Données projet'!$A$62,$AF$205^A36,IF(A36='Données projet'!$A$62,'Données projet'!$B$62,AI35+AH36-AQ35)))</f>
        <v>225.79999999999998</v>
      </c>
      <c r="AJ36" s="13">
        <f>AI36*VLOOKUP('Données projet'!$B$10,Paramètres!$A$1:$I$89,3,0)*VLOOKUP('Données projet'!$B$10,Paramètres!$A$1:$I$89,5,0)</f>
        <v>140.89919999999998</v>
      </c>
      <c r="AK36" s="13">
        <f t="shared" si="35"/>
        <v>36.502922768741627</v>
      </c>
      <c r="AL36" s="20">
        <f t="shared" si="4"/>
        <v>308.97536382222495</v>
      </c>
      <c r="AM36" s="59">
        <f t="shared" si="5"/>
        <v>568.35005540635518</v>
      </c>
      <c r="AN36" s="59">
        <f ca="1">AVERAGE(OFFSET($AM$3,0,0,'Données projet'!$E$10+1,1))-AVERAGE(OFFSET($H$3,0,0,'Données projet'!$E$10+1,1))</f>
        <v>296.20984079604017</v>
      </c>
      <c r="AO36" s="59">
        <f t="shared" si="36"/>
        <v>351.8406329895206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19.46097243441055</v>
      </c>
      <c r="AV36" s="21">
        <f>EXP(-LN(2)/25)*AV35+(1-EXP(-LN(2)/25))/(LN(2)/25)*Calculateur!AQ36*Calculateur!AS36*VLOOKUP('Données projet'!$B$10,Paramètres!$A$1:$I$89,3,0)*0.475*44/12</f>
        <v>23.301484821155757</v>
      </c>
      <c r="AW36" s="21">
        <f>EXP(-LN(2)/2)*AW35+(1-EXP(-LN(2)/2))/(LN(2)/2)*AQ36*AT36*VLOOKUP('Données projet'!$B$10,Paramètres!$A$1:$I$89,3,0)*0.475*44/12</f>
        <v>3.3333431651952901</v>
      </c>
      <c r="AX36" s="21">
        <f t="shared" si="6"/>
        <v>46.095800420761591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11.276666666666671</v>
      </c>
      <c r="BD36" s="12">
        <f>IF('Données projet'!$A$88&gt;35,BD35+BC36-BL35,IF(A36&lt;'Données projet'!$A$88,$BA$205^A36,IF(A36='Données projet'!$A$88,'Données projet'!$B$88,BD35+BC36-BL35)))</f>
        <v>102.97333333333333</v>
      </c>
      <c r="BE36" s="13">
        <f>BD36*VLOOKUP('Données projet'!$B$11,Paramètres!$A$1:$I$89,3,0)*VLOOKUP('Données projet'!$B$11,Paramètres!$A$1:$I$89,5,0)</f>
        <v>89.957504</v>
      </c>
      <c r="BF36" s="13">
        <f t="shared" si="37"/>
        <v>24.55497570031093</v>
      </c>
      <c r="BG36" s="20">
        <f t="shared" si="7"/>
        <v>199.44256881137485</v>
      </c>
      <c r="BH36" s="59">
        <f t="shared" si="8"/>
        <v>458.81726039550506</v>
      </c>
      <c r="BI36" s="59">
        <f ca="1">AVERAGE(OFFSET($BH$3,0,0,'Données projet'!$E$11+1,1))-AVERAGE(OFFSET($H$3,0,0,'Données projet'!$E$11+1,1))</f>
        <v>385.40047672167555</v>
      </c>
      <c r="BJ36" s="59">
        <f t="shared" si="38"/>
        <v>286.49293757741611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8.6</v>
      </c>
      <c r="BY36" s="12">
        <f>IF('Données projet'!$A$114&gt;35,BY35+BX36-CG35,IF(A36&lt;'Données projet'!$A$114,$BV$205^A36,IF(A36='Données projet'!$A$114,'Données projet'!$B$114,BY35+BX36-CG35)))</f>
        <v>222.80000000000004</v>
      </c>
      <c r="BZ36" s="13">
        <f>BY36*VLOOKUP('Données projet'!$B$12,Paramètres!$A$1:$I$89,3,0)*VLOOKUP('Données projet'!$B$12,Paramètres!$A$1:$I$89,5,0)</f>
        <v>201.58944000000002</v>
      </c>
      <c r="CA36" s="13">
        <f t="shared" si="39"/>
        <v>50.093317439945402</v>
      </c>
      <c r="CB36" s="20">
        <f t="shared" si="10"/>
        <v>438.34746920790491</v>
      </c>
      <c r="CC36" s="59">
        <f t="shared" si="11"/>
        <v>697.72216079203508</v>
      </c>
      <c r="CD36" s="59">
        <f ca="1">AVERAGE(OFFSET($CC$3,0,0,'Données projet'!$E$12+1,1))-AVERAGE(OFFSET($H$3,0,0,'Données projet'!$E$12+1,1))</f>
        <v>397.12030701006762</v>
      </c>
      <c r="CE36" s="59">
        <f t="shared" si="40"/>
        <v>476.47513516380047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5.6631919082256585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5.6631919082256585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110.43805901666033</v>
      </c>
      <c r="CZ36" s="59">
        <f t="shared" si="42"/>
        <v>319.51880962151881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31.741470305946638</v>
      </c>
      <c r="DG36" s="21">
        <f>EXP(-LN(2)/25)*DG35+(1-EXP(-LN(2)/25))/(LN(2)/25)*Calculateur!DB36*Calculateur!DD36*VLOOKUP('Données projet'!$B$13,Paramètres!$A$1:$I$89,3,0)*0.475*44/12</f>
        <v>12.744143767427651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44.485614073374293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3.3000000000000003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12.100000000000001</v>
      </c>
      <c r="H37" s="67">
        <f t="shared" si="1"/>
        <v>208.26666666666665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29.493333333333339</v>
      </c>
      <c r="N37" s="13">
        <f>IF('Données projet'!$A$36&gt;35,N36+M37-V36,IF(A37&lt;'Données projet'!$A$36,$K$205^A37,IF(A37='Données projet'!$A$36,'Données projet'!$B$36,N36+M37-V36)))</f>
        <v>442.4233333333334</v>
      </c>
      <c r="O37" s="13">
        <f>N37*VLOOKUP('Données projet'!$B$9,Paramètres!$A$1:$I$89,3,0)*VLOOKUP('Données projet'!$B$9,Paramètres!$A$1:$I$89,5,0)</f>
        <v>247.31464333333338</v>
      </c>
      <c r="P37" s="13">
        <f t="shared" si="33"/>
        <v>60.0105512136019</v>
      </c>
      <c r="Q37" s="20">
        <f t="shared" si="53"/>
        <v>535.25804716924551</v>
      </c>
      <c r="R37" s="59">
        <f t="shared" si="0"/>
        <v>795.22184526757519</v>
      </c>
      <c r="S37" s="59">
        <f ca="1">AVERAGE(OFFSET($R$3,0,0,'Données projet'!$E$9+1,1))-AVERAGE(OFFSET($H$3,0,0,'Données projet'!$E$9+1,1))</f>
        <v>414.37917672189968</v>
      </c>
      <c r="T37" s="59">
        <f t="shared" si="34"/>
        <v>546.83385887302961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15.646765780820296</v>
      </c>
      <c r="AA37" s="21">
        <f>EXP(-LN(2)/25)*AA36+(1-EXP(-LN(2)/25))/(LN(2)/25)*Calculateur!V37*Calculateur!X37*VLOOKUP('Données projet'!$B$9,Paramètres!$A$1:$I$89,3,0)*0.475*44/12</f>
        <v>29.796627033279613</v>
      </c>
      <c r="AB37" s="21">
        <f>EXP(-LN(2)/2)*AB36+(1-EXP(-LN(2)/2))/(LN(2)/2)*V37*Y37*VLOOKUP('Données projet'!$B$9,Paramètres!$A$1:$I$89,3,0)*0.475*44/12</f>
        <v>3.7694530420111532</v>
      </c>
      <c r="AC37" s="22">
        <f t="shared" si="3"/>
        <v>49.212845856111059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15.6</v>
      </c>
      <c r="AI37" s="13">
        <f>IF('Données projet'!$A$62&gt;35,AI36+AH37-AQ36,IF(A37&lt;'Données projet'!$A$62,$AF$205^A37,IF(A37='Données projet'!$A$62,'Données projet'!$B$62,AI36+AH37-AQ36)))</f>
        <v>241.39999999999998</v>
      </c>
      <c r="AJ37" s="13">
        <f>AI37*VLOOKUP('Données projet'!$B$10,Paramètres!$A$1:$I$89,3,0)*VLOOKUP('Données projet'!$B$10,Paramètres!$A$1:$I$89,5,0)</f>
        <v>150.63359999999997</v>
      </c>
      <c r="AK37" s="13">
        <f t="shared" si="35"/>
        <v>38.722538152439981</v>
      </c>
      <c r="AL37" s="20">
        <f t="shared" si="4"/>
        <v>329.79527394883291</v>
      </c>
      <c r="AM37" s="59">
        <f t="shared" si="5"/>
        <v>589.75907204716259</v>
      </c>
      <c r="AN37" s="59">
        <f ca="1">AVERAGE(OFFSET($AM$3,0,0,'Données projet'!$E$10+1,1))-AVERAGE(OFFSET($H$3,0,0,'Données projet'!$E$10+1,1))</f>
        <v>296.20984079604017</v>
      </c>
      <c r="AO37" s="59">
        <f t="shared" si="36"/>
        <v>351.8406329895206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19.079354634992878</v>
      </c>
      <c r="AV37" s="21">
        <f>EXP(-LN(2)/25)*AV36+(1-EXP(-LN(2)/25))/(LN(2)/25)*Calculateur!AQ37*Calculateur!AS37*VLOOKUP('Données projet'!$B$10,Paramètres!$A$1:$I$89,3,0)*0.475*44/12</f>
        <v>22.664304493349423</v>
      </c>
      <c r="AW37" s="21">
        <f>EXP(-LN(2)/2)*AW36+(1-EXP(-LN(2)/2))/(LN(2)/2)*AQ37*AT37*VLOOKUP('Données projet'!$B$10,Paramètres!$A$1:$I$89,3,0)*0.475*44/12</f>
        <v>2.3570295561314198</v>
      </c>
      <c r="AX37" s="21">
        <f t="shared" si="6"/>
        <v>44.100688684473724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114.25</v>
      </c>
      <c r="BB37" s="12">
        <f>VLOOKUP(A37,'Données projet'!$A$87:$I$107,9,0)</f>
        <v>11.276666666666671</v>
      </c>
      <c r="BC37" s="12">
        <f t="array" ref="BC37">INDEX(BB:BB,MIN(IF(ISNUMBER(BB37:BB233),ROW(BB37:BB233),"")))</f>
        <v>11.276666666666671</v>
      </c>
      <c r="BD37" s="12">
        <f>IF('Données projet'!$A$88&gt;35,BD36+BC37-BL36,IF(A37&lt;'Données projet'!$A$88,$BA$205^A37,IF(A37='Données projet'!$A$88,'Données projet'!$B$88,BD36+BC37-BL36)))</f>
        <v>114.25</v>
      </c>
      <c r="BE37" s="13">
        <f>BD37*VLOOKUP('Données projet'!$B$11,Paramètres!$A$1:$I$89,3,0)*VLOOKUP('Données projet'!$B$11,Paramètres!$A$1:$I$89,5,0)</f>
        <v>99.808800000000005</v>
      </c>
      <c r="BF37" s="13">
        <f t="shared" si="37"/>
        <v>26.916441712508213</v>
      </c>
      <c r="BG37" s="20">
        <f t="shared" si="7"/>
        <v>220.71312931595182</v>
      </c>
      <c r="BH37" s="59">
        <f t="shared" si="8"/>
        <v>480.67692741428141</v>
      </c>
      <c r="BI37" s="59">
        <f ca="1">AVERAGE(OFFSET($BH$3,0,0,'Données projet'!$E$11+1,1))-AVERAGE(OFFSET($H$3,0,0,'Données projet'!$E$11+1,1))</f>
        <v>385.40047672167555</v>
      </c>
      <c r="BJ37" s="59">
        <f t="shared" si="38"/>
        <v>286.49293757741611</v>
      </c>
      <c r="BK37" s="15">
        <f>IF(ISNA(VLOOKUP(A37,'Données projet'!$A$87:$I$107,3,0)),0,VLOOKUP(A37,'Données projet'!$A$87:$I$107,3,0))</f>
        <v>2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8.6</v>
      </c>
      <c r="BY37" s="12">
        <f>IF('Données projet'!$A$114&gt;35,BY36+BX37-CG36,IF(A37&lt;'Données projet'!$A$114,$BV$205^A37,IF(A37='Données projet'!$A$114,'Données projet'!$B$114,BY36+BX37-CG36)))</f>
        <v>231.40000000000003</v>
      </c>
      <c r="BZ37" s="13">
        <f>BY37*VLOOKUP('Données projet'!$B$12,Paramètres!$A$1:$I$89,3,0)*VLOOKUP('Données projet'!$B$12,Paramètres!$A$1:$I$89,5,0)</f>
        <v>209.37072000000003</v>
      </c>
      <c r="CA37" s="13">
        <f t="shared" si="39"/>
        <v>51.798048176641544</v>
      </c>
      <c r="CB37" s="20">
        <f t="shared" si="10"/>
        <v>454.86893790765072</v>
      </c>
      <c r="CC37" s="59">
        <f t="shared" si="11"/>
        <v>714.83273600598034</v>
      </c>
      <c r="CD37" s="59">
        <f ca="1">AVERAGE(OFFSET($CC$3,0,0,'Données projet'!$E$12+1,1))-AVERAGE(OFFSET($H$3,0,0,'Données projet'!$E$12+1,1))</f>
        <v>397.12030701006762</v>
      </c>
      <c r="CE37" s="59">
        <f t="shared" si="40"/>
        <v>476.47513516380047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5.5521401691113432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5.5521401691113432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110.43805901666033</v>
      </c>
      <c r="CZ37" s="59">
        <f t="shared" si="42"/>
        <v>319.51880962151881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31.119039433632231</v>
      </c>
      <c r="DG37" s="21">
        <f>EXP(-LN(2)/25)*DG36+(1-EXP(-LN(2)/25))/(LN(2)/25)*Calculateur!DB37*Calculateur!DD37*VLOOKUP('Données projet'!$B$13,Paramètres!$A$1:$I$89,3,0)*0.475*44/12</f>
        <v>12.395654485921948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43.514693919554176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3.3000000000000003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12.100000000000001</v>
      </c>
      <c r="H38" s="67">
        <f t="shared" si="1"/>
        <v>208.26666666666665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29.493333333333339</v>
      </c>
      <c r="N38" s="13">
        <f>IF('Données projet'!$A$36&gt;35,N37+M38-V37,IF(A38&lt;'Données projet'!$A$36,$K$205^A38,IF(A38='Données projet'!$A$36,'Données projet'!$B$36,N37+M38-V37)))</f>
        <v>471.91666666666674</v>
      </c>
      <c r="O38" s="13">
        <f>N38*VLOOKUP('Données projet'!$B$9,Paramètres!$A$1:$I$89,3,0)*VLOOKUP('Données projet'!$B$9,Paramètres!$A$1:$I$89,5,0)</f>
        <v>263.80141666666674</v>
      </c>
      <c r="P38" s="13">
        <f t="shared" si="33"/>
        <v>63.532000575841487</v>
      </c>
      <c r="Q38" s="20">
        <f t="shared" si="53"/>
        <v>570.10570169736854</v>
      </c>
      <c r="R38" s="59">
        <f t="shared" si="0"/>
        <v>830.64838662892112</v>
      </c>
      <c r="S38" s="59">
        <f ca="1">AVERAGE(OFFSET($R$3,0,0,'Données projet'!$E$9+1,1))-AVERAGE(OFFSET($H$3,0,0,'Données projet'!$E$9+1,1))</f>
        <v>414.37917672189968</v>
      </c>
      <c r="T38" s="59">
        <f t="shared" si="34"/>
        <v>546.83385887302961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15.339942247443185</v>
      </c>
      <c r="AA38" s="21">
        <f>EXP(-LN(2)/25)*AA37+(1-EXP(-LN(2)/25))/(LN(2)/25)*Calculateur!V38*Calculateur!X38*VLOOKUP('Données projet'!$B$9,Paramètres!$A$1:$I$89,3,0)*0.475*44/12</f>
        <v>28.981836700118066</v>
      </c>
      <c r="AB38" s="21">
        <f>EXP(-LN(2)/2)*AB37+(1-EXP(-LN(2)/2))/(LN(2)/2)*V38*Y38*VLOOKUP('Données projet'!$B$9,Paramètres!$A$1:$I$89,3,0)*0.475*44/12</f>
        <v>2.6654058073703464</v>
      </c>
      <c r="AC38" s="22">
        <f t="shared" si="3"/>
        <v>46.987184754931597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257</v>
      </c>
      <c r="AG38" s="12">
        <f>VLOOKUP(A38,'Données projet'!$A$61:$I$81,9,0)</f>
        <v>15.6</v>
      </c>
      <c r="AH38" s="12">
        <f t="array" ref="AH38">INDEX(AG:AG,MIN(IF(ISNUMBER(AG38:AG234),ROW(AG38:AG234),"")))</f>
        <v>15.6</v>
      </c>
      <c r="AI38" s="13">
        <f>IF('Données projet'!$A$62&gt;35,AI37+AH38-AQ37,IF(A38&lt;'Données projet'!$A$62,$AF$205^A38,IF(A38='Données projet'!$A$62,'Données projet'!$B$62,AI37+AH38-AQ37)))</f>
        <v>257</v>
      </c>
      <c r="AJ38" s="13">
        <f>AI38*VLOOKUP('Données projet'!$B$10,Paramètres!$A$1:$I$89,3,0)*VLOOKUP('Données projet'!$B$10,Paramètres!$A$1:$I$89,5,0)</f>
        <v>160.36799999999999</v>
      </c>
      <c r="AK38" s="13">
        <f t="shared" si="35"/>
        <v>40.925507732566075</v>
      </c>
      <c r="AL38" s="20">
        <f t="shared" si="4"/>
        <v>350.58619263421923</v>
      </c>
      <c r="AM38" s="59">
        <f t="shared" si="5"/>
        <v>611.12887756577175</v>
      </c>
      <c r="AN38" s="59">
        <f ca="1">AVERAGE(OFFSET($AM$3,0,0,'Données projet'!$E$10+1,1))-AVERAGE(OFFSET($H$3,0,0,'Données projet'!$E$10+1,1))</f>
        <v>296.20984079604017</v>
      </c>
      <c r="AO38" s="59">
        <f t="shared" si="36"/>
        <v>351.8406329895206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0.3</v>
      </c>
      <c r="AS38" s="16">
        <f>IF(ISNA(VLOOKUP(A38,'Données projet'!$A$61:$I$81,6,0)),0%,VLOOKUP(A38,'Données projet'!$A$61:$I$81,6,0)*VLOOKUP('Données projet'!$B$10,Paramètres!$A$1:$I$89,7,0))</f>
        <v>0.16800000000000001</v>
      </c>
      <c r="AT38" s="16">
        <f>IF(ISNA(VLOOKUP(A38,'Données projet'!$A$61:$I$81,7,0)),0%,VLOOKUP(A38,'Données projet'!$A$61:$I$81,7,0))</f>
        <v>0.22</v>
      </c>
      <c r="AU38" s="21">
        <f>EXP(-LN(2)/35)*AU37+(1-EXP(-LN(2)/35))/(LN(2)/35)*AQ38*AR38*VLOOKUP('Données projet'!$B$10,Paramètres!$A$1:$I$89,3,0)*0.475*44/12</f>
        <v>29.13520050230575</v>
      </c>
      <c r="AV38" s="21">
        <f>EXP(-LN(2)/25)*AV37+(1-EXP(-LN(2)/25))/(LN(2)/25)*Calculateur!AQ38*Calculateur!AS38*VLOOKUP('Données projet'!$B$10,Paramètres!$A$1:$I$89,3,0)*0.475*44/12</f>
        <v>27.862339492959357</v>
      </c>
      <c r="AW38" s="21">
        <f>EXP(-LN(2)/2)*AW37+(1-EXP(-LN(2)/2))/(LN(2)/2)*AQ38*AT38*VLOOKUP('Données projet'!$B$10,Paramètres!$A$1:$I$89,3,0)*0.475*44/12</f>
        <v>8.19485127438384</v>
      </c>
      <c r="AX38" s="21">
        <f t="shared" si="6"/>
        <v>65.192391269648951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12.666666666666666</v>
      </c>
      <c r="BD38" s="12">
        <f>IF('Données projet'!$A$88&gt;35,BD37+BC38-BL37,IF(A38&lt;'Données projet'!$A$88,$BA$205^A38,IF(A38='Données projet'!$A$88,'Données projet'!$B$88,BD37+BC38-BL37)))</f>
        <v>126.91666666666667</v>
      </c>
      <c r="BE38" s="13">
        <f>BD38*VLOOKUP('Données projet'!$B$11,Paramètres!$A$1:$I$89,3,0)*VLOOKUP('Données projet'!$B$11,Paramètres!$A$1:$I$89,5,0)</f>
        <v>110.87440000000001</v>
      </c>
      <c r="BF38" s="13">
        <f t="shared" si="37"/>
        <v>29.536905002993812</v>
      </c>
      <c r="BG38" s="20">
        <f t="shared" si="7"/>
        <v>244.5496895468809</v>
      </c>
      <c r="BH38" s="59">
        <f t="shared" si="8"/>
        <v>505.09237447843338</v>
      </c>
      <c r="BI38" s="59">
        <f ca="1">AVERAGE(OFFSET($BH$3,0,0,'Données projet'!$E$11+1,1))-AVERAGE(OFFSET($H$3,0,0,'Données projet'!$E$11+1,1))</f>
        <v>385.40047672167555</v>
      </c>
      <c r="BJ38" s="59">
        <f t="shared" si="38"/>
        <v>286.49293757741611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240</v>
      </c>
      <c r="BW38" s="12">
        <f>VLOOKUP(A38,'Données projet'!$A$113:$I$133,9,0)</f>
        <v>8.6</v>
      </c>
      <c r="BX38" s="12">
        <f t="array" ref="BX38">INDEX(BW:BW,MIN(IF(ISNUMBER(BW38:BW234),ROW(BW38:BW234),"")))</f>
        <v>8.6</v>
      </c>
      <c r="BY38" s="12">
        <f>IF('Données projet'!$A$114&gt;35,BY37+BX38-CG37,IF(A38&lt;'Données projet'!$A$114,$BV$205^A38,IF(A38='Données projet'!$A$114,'Données projet'!$B$114,BY37+BX38-CG37)))</f>
        <v>240.00000000000003</v>
      </c>
      <c r="BZ38" s="13">
        <f>BY38*VLOOKUP('Données projet'!$B$12,Paramètres!$A$1:$I$89,3,0)*VLOOKUP('Données projet'!$B$12,Paramètres!$A$1:$I$89,5,0)</f>
        <v>217.15200000000004</v>
      </c>
      <c r="CA38" s="13">
        <f t="shared" si="39"/>
        <v>53.495418360394275</v>
      </c>
      <c r="CB38" s="20">
        <f t="shared" si="10"/>
        <v>471.37758697768669</v>
      </c>
      <c r="CC38" s="59">
        <f t="shared" si="11"/>
        <v>731.9202719092392</v>
      </c>
      <c r="CD38" s="59">
        <f ca="1">AVERAGE(OFFSET($CC$3,0,0,'Données projet'!$E$12+1,1))-AVERAGE(OFFSET($H$3,0,0,'Données projet'!$E$12+1,1))</f>
        <v>397.12030701006762</v>
      </c>
      <c r="CE38" s="59">
        <f t="shared" si="40"/>
        <v>476.47513516380047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18</v>
      </c>
      <c r="CH38" s="16">
        <f>IF(ISNA(VLOOKUP(A38,'Données projet'!$A$113:$I$133,5,0)),0%,VLOOKUP(A38,'Données projet'!$A$113:$I$133,5,0)*VLOOKUP('Données projet'!$B$12,Paramètres!$A$1:$I$89,7,0))</f>
        <v>0.12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7.6037620215732389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7.6037620215732389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110.43805901666033</v>
      </c>
      <c r="CZ38" s="59">
        <f t="shared" si="42"/>
        <v>319.51880962151881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30.508814051078566</v>
      </c>
      <c r="DG38" s="21">
        <f>EXP(-LN(2)/25)*DG37+(1-EXP(-LN(2)/25))/(LN(2)/25)*Calculateur!DB38*Calculateur!DD38*VLOOKUP('Données projet'!$B$13,Paramètres!$A$1:$I$89,3,0)*0.475*44/12</f>
        <v>12.056694662145274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42.565508713223842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3.3000000000000003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12.100000000000001</v>
      </c>
      <c r="H39" s="67">
        <f t="shared" si="1"/>
        <v>208.26666666666665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501.41</v>
      </c>
      <c r="L39" s="12">
        <f>VLOOKUP(A39,'Données projet'!$A$35:$I$55,9,0)</f>
        <v>29.493333333333339</v>
      </c>
      <c r="M39" s="12">
        <f t="array" ref="M39">INDEX(L:L,MIN(IF(ISNUMBER(L39:L235),ROW(L39:L235),"")))</f>
        <v>29.493333333333339</v>
      </c>
      <c r="N39" s="13">
        <f>IF('Données projet'!$A$36&gt;35,N38+M39-V38,IF(A39&lt;'Données projet'!$A$36,$K$205^A39,IF(A39='Données projet'!$A$36,'Données projet'!$B$36,N38+M39-V38)))</f>
        <v>501.41000000000008</v>
      </c>
      <c r="O39" s="13">
        <f>N39*VLOOKUP('Données projet'!$B$9,Paramètres!$A$1:$I$89,3,0)*VLOOKUP('Données projet'!$B$9,Paramètres!$A$1:$I$89,5,0)</f>
        <v>280.28819000000004</v>
      </c>
      <c r="P39" s="13">
        <f t="shared" si="33"/>
        <v>67.027908065763796</v>
      </c>
      <c r="Q39" s="20">
        <f t="shared" si="53"/>
        <v>604.90887079787205</v>
      </c>
      <c r="R39" s="59">
        <f t="shared" si="0"/>
        <v>866.0204001702881</v>
      </c>
      <c r="S39" s="59">
        <f ca="1">AVERAGE(OFFSET($R$3,0,0,'Données projet'!$E$9+1,1))-AVERAGE(OFFSET($H$3,0,0,'Données projet'!$E$9+1,1))</f>
        <v>414.37917672189968</v>
      </c>
      <c r="T39" s="59">
        <f t="shared" si="34"/>
        <v>546.83385887302961</v>
      </c>
      <c r="U39" s="15">
        <f>IF(ISNA(VLOOKUP(A39,'Données projet'!$A$35:$I$55,3,0)),0,VLOOKUP(A39,'Données projet'!$A$35:$I$55,3,0))</f>
        <v>7</v>
      </c>
      <c r="V39" s="15">
        <f>IF(ISNA(VLOOKUP(A39,'Données projet'!$A$35:$I$55,4,0)),0,VLOOKUP(A39,'Données projet'!$A$35:$I$55,4,0))</f>
        <v>86</v>
      </c>
      <c r="W39" s="16">
        <f>IF(ISNA(VLOOKUP(A39,'Données projet'!$A$35:$I$55,5,0)),0%,VLOOKUP(A39,'Données projet'!$A$35:$I$55,5,0)*VLOOKUP('Données projet'!$B$9,Paramètres!$A$1:$I$89,7,0))</f>
        <v>0.27500000000000002</v>
      </c>
      <c r="X39" s="16">
        <f>IF(ISNA(VLOOKUP(A39,'Données projet'!$A$35:$I$55,6,0)),0%,VLOOKUP(A39,'Données projet'!$A$35:$I$55,6,0)*VLOOKUP('Données projet'!$B$9,Paramètres!$A$1:$I$89,7,0))</f>
        <v>0.15400000000000003</v>
      </c>
      <c r="Y39" s="16">
        <f>IF(ISNA(VLOOKUP(A39,'Données projet'!$A$35:$I$55,7,0)),0%,VLOOKUP(A39,'Données projet'!$A$35:$I$55,7,0))</f>
        <v>0.22</v>
      </c>
      <c r="Z39" s="21">
        <f>EXP(-LN(2)/35)*Z38+(1-EXP(-LN(2)/35))/(LN(2)/35)*V39*W39*VLOOKUP('Données projet'!$B$9,Paramètres!$A$1:$I$89,3,0)*0.475*44/12</f>
        <v>32.576781734881848</v>
      </c>
      <c r="AA39" s="21">
        <f>EXP(-LN(2)/25)*AA38+(1-EXP(-LN(2)/25))/(LN(2)/25)*Calculateur!V39*Calculateur!X39*VLOOKUP('Données projet'!$B$9,Paramètres!$A$1:$I$89,3,0)*0.475*44/12</f>
        <v>37.971739492714804</v>
      </c>
      <c r="AB39" s="21">
        <f>EXP(-LN(2)/2)*AB38+(1-EXP(-LN(2)/2))/(LN(2)/2)*V39*Y39*VLOOKUP('Données projet'!$B$9,Paramètres!$A$1:$I$89,3,0)*0.475*44/12</f>
        <v>13.859532324688788</v>
      </c>
      <c r="AC39" s="22">
        <f t="shared" si="3"/>
        <v>84.408053552285438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14.6</v>
      </c>
      <c r="AI39" s="13">
        <f>IF('Données projet'!$A$62&gt;35,AI38+AH39-AQ38,IF(A39&lt;'Données projet'!$A$62,$AF$205^A39,IF(A39='Données projet'!$A$62,'Données projet'!$B$62,AI38+AH39-AQ38)))</f>
        <v>229.60000000000002</v>
      </c>
      <c r="AJ39" s="13">
        <f>AI39*VLOOKUP('Données projet'!$B$10,Paramètres!$A$1:$I$89,3,0)*VLOOKUP('Données projet'!$B$10,Paramètres!$A$1:$I$89,5,0)</f>
        <v>143.27040000000002</v>
      </c>
      <c r="AK39" s="13">
        <f t="shared" si="35"/>
        <v>37.045198377171303</v>
      </c>
      <c r="AL39" s="20">
        <f t="shared" si="4"/>
        <v>314.04966717357337</v>
      </c>
      <c r="AM39" s="59">
        <f t="shared" si="5"/>
        <v>575.16119654598947</v>
      </c>
      <c r="AN39" s="59">
        <f ca="1">AVERAGE(OFFSET($AM$3,0,0,'Données projet'!$E$10+1,1))-AVERAGE(OFFSET($H$3,0,0,'Données projet'!$E$10+1,1))</f>
        <v>296.20984079604017</v>
      </c>
      <c r="AO39" s="59">
        <f t="shared" si="36"/>
        <v>351.8406329895206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28.563876991173128</v>
      </c>
      <c r="AV39" s="21">
        <f>EXP(-LN(2)/25)*AV38+(1-EXP(-LN(2)/25))/(LN(2)/25)*Calculateur!AQ39*Calculateur!AS39*VLOOKUP('Données projet'!$B$10,Paramètres!$A$1:$I$89,3,0)*0.475*44/12</f>
        <v>27.100442354307631</v>
      </c>
      <c r="AW39" s="21">
        <f>EXP(-LN(2)/2)*AW38+(1-EXP(-LN(2)/2))/(LN(2)/2)*AQ39*AT39*VLOOKUP('Données projet'!$B$10,Paramètres!$A$1:$I$89,3,0)*0.475*44/12</f>
        <v>5.7946349069320346</v>
      </c>
      <c r="AX39" s="21">
        <f t="shared" si="6"/>
        <v>61.458954252412795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12.666666666666666</v>
      </c>
      <c r="BD39" s="12">
        <f>IF('Données projet'!$A$88&gt;35,BD38+BC39-BL38,IF(A39&lt;'Données projet'!$A$88,$BA$205^A39,IF(A39='Données projet'!$A$88,'Données projet'!$B$88,BD38+BC39-BL38)))</f>
        <v>139.58333333333334</v>
      </c>
      <c r="BE39" s="13">
        <f>BD39*VLOOKUP('Données projet'!$B$11,Paramètres!$A$1:$I$89,3,0)*VLOOKUP('Données projet'!$B$11,Paramètres!$A$1:$I$89,5,0)</f>
        <v>121.94000000000004</v>
      </c>
      <c r="BF39" s="13">
        <f t="shared" si="37"/>
        <v>32.127049243307034</v>
      </c>
      <c r="BG39" s="20">
        <f t="shared" si="7"/>
        <v>268.3334440987598</v>
      </c>
      <c r="BH39" s="59">
        <f t="shared" si="8"/>
        <v>529.4449734711759</v>
      </c>
      <c r="BI39" s="59">
        <f ca="1">AVERAGE(OFFSET($BH$3,0,0,'Données projet'!$E$11+1,1))-AVERAGE(OFFSET($H$3,0,0,'Données projet'!$E$11+1,1))</f>
        <v>385.40047672167555</v>
      </c>
      <c r="BJ39" s="59">
        <f t="shared" si="38"/>
        <v>286.49293757741611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7.6</v>
      </c>
      <c r="BY39" s="12">
        <f>IF('Données projet'!$A$114&gt;35,BY38+BX39-CG38,IF(A39&lt;'Données projet'!$A$114,$BV$205^A39,IF(A39='Données projet'!$A$114,'Données projet'!$B$114,BY38+BX39-CG38)))</f>
        <v>229.60000000000002</v>
      </c>
      <c r="BZ39" s="13">
        <f>BY39*VLOOKUP('Données projet'!$B$12,Paramètres!$A$1:$I$89,3,0)*VLOOKUP('Données projet'!$B$12,Paramètres!$A$1:$I$89,5,0)</f>
        <v>207.74208000000002</v>
      </c>
      <c r="CA39" s="13">
        <f t="shared" si="39"/>
        <v>51.441863366522419</v>
      </c>
      <c r="CB39" s="20">
        <f t="shared" si="10"/>
        <v>451.41203469669318</v>
      </c>
      <c r="CC39" s="59">
        <f t="shared" si="11"/>
        <v>712.52356406910917</v>
      </c>
      <c r="CD39" s="59">
        <f ca="1">AVERAGE(OFFSET($CC$3,0,0,'Données projet'!$E$12+1,1))-AVERAGE(OFFSET($H$3,0,0,'Données projet'!$E$12+1,1))</f>
        <v>397.12030701006762</v>
      </c>
      <c r="CE39" s="59">
        <f t="shared" si="40"/>
        <v>476.47513516380047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7.4546568861670721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7.4546568861670721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110.43805901666033</v>
      </c>
      <c r="CZ39" s="59">
        <f t="shared" si="42"/>
        <v>319.51880962151881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29.910554816076047</v>
      </c>
      <c r="DG39" s="21">
        <f>EXP(-LN(2)/25)*DG38+(1-EXP(-LN(2)/25))/(LN(2)/25)*Calculateur!DB39*Calculateur!DD39*VLOOKUP('Données projet'!$B$13,Paramètres!$A$1:$I$89,3,0)*0.475*44/12</f>
        <v>11.727003712574895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41.637558528650942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3.3000000000000003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12.100000000000001</v>
      </c>
      <c r="H40" s="67">
        <f t="shared" si="1"/>
        <v>208.26666666666665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27.506666666666661</v>
      </c>
      <c r="N40" s="13">
        <f>IF('Données projet'!$A$36&gt;35,N39+M40-V39,IF(A40&lt;'Données projet'!$A$36,$K$205^A40,IF(A40='Données projet'!$A$36,'Données projet'!$B$36,N39+M40-V39)))</f>
        <v>442.91666666666674</v>
      </c>
      <c r="O40" s="13">
        <f>N40*VLOOKUP('Données projet'!$B$9,Paramètres!$A$1:$I$89,3,0)*VLOOKUP('Données projet'!$B$9,Paramètres!$A$1:$I$89,5,0)</f>
        <v>247.59041666666673</v>
      </c>
      <c r="P40" s="13">
        <f t="shared" si="33"/>
        <v>60.06967436659059</v>
      </c>
      <c r="Q40" s="20">
        <f t="shared" si="53"/>
        <v>535.84132521625645</v>
      </c>
      <c r="R40" s="59">
        <f t="shared" si="0"/>
        <v>797.51183085023263</v>
      </c>
      <c r="S40" s="59">
        <f ca="1">AVERAGE(OFFSET($R$3,0,0,'Données projet'!$E$9+1,1))-AVERAGE(OFFSET($H$3,0,0,'Données projet'!$E$9+1,1))</f>
        <v>414.37917672189968</v>
      </c>
      <c r="T40" s="59">
        <f t="shared" si="34"/>
        <v>546.83385887302961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31.937970914935686</v>
      </c>
      <c r="AA40" s="21">
        <f>EXP(-LN(2)/25)*AA39+(1-EXP(-LN(2)/25))/(LN(2)/25)*Calculateur!V40*Calculateur!X40*VLOOKUP('Données projet'!$B$9,Paramètres!$A$1:$I$89,3,0)*0.475*44/12</f>
        <v>36.933400279439525</v>
      </c>
      <c r="AB40" s="21">
        <f>EXP(-LN(2)/2)*AB39+(1-EXP(-LN(2)/2))/(LN(2)/2)*V40*Y40*VLOOKUP('Données projet'!$B$9,Paramètres!$A$1:$I$89,3,0)*0.475*44/12</f>
        <v>9.8001692908615983</v>
      </c>
      <c r="AC40" s="22">
        <f t="shared" si="3"/>
        <v>78.671540485236818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14.6</v>
      </c>
      <c r="AI40" s="13">
        <f>IF('Données projet'!$A$62&gt;35,AI39+AH40-AQ39,IF(A40&lt;'Données projet'!$A$62,$AF$205^A40,IF(A40='Données projet'!$A$62,'Données projet'!$B$62,AI39+AH40-AQ39)))</f>
        <v>244.20000000000002</v>
      </c>
      <c r="AJ40" s="13">
        <f>AI40*VLOOKUP('Données projet'!$B$10,Paramètres!$A$1:$I$89,3,0)*VLOOKUP('Données projet'!$B$10,Paramètres!$A$1:$I$89,5,0)</f>
        <v>152.38080000000002</v>
      </c>
      <c r="AK40" s="13">
        <f t="shared" si="35"/>
        <v>39.119134100645049</v>
      </c>
      <c r="AL40" s="20">
        <f t="shared" si="4"/>
        <v>333.52905189195684</v>
      </c>
      <c r="AM40" s="59">
        <f t="shared" si="5"/>
        <v>595.19955752593307</v>
      </c>
      <c r="AN40" s="59">
        <f ca="1">AVERAGE(OFFSET($AM$3,0,0,'Données projet'!$E$10+1,1))-AVERAGE(OFFSET($H$3,0,0,'Données projet'!$E$10+1,1))</f>
        <v>296.20984079604017</v>
      </c>
      <c r="AO40" s="59">
        <f t="shared" si="36"/>
        <v>351.8406329895206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28.003756785620883</v>
      </c>
      <c r="AV40" s="21">
        <f>EXP(-LN(2)/25)*AV39+(1-EXP(-LN(2)/25))/(LN(2)/25)*Calculateur!AQ40*Calculateur!AS40*VLOOKUP('Données projet'!$B$10,Paramètres!$A$1:$I$89,3,0)*0.475*44/12</f>
        <v>26.359379332978765</v>
      </c>
      <c r="AW40" s="21">
        <f>EXP(-LN(2)/2)*AW39+(1-EXP(-LN(2)/2))/(LN(2)/2)*AQ40*AT40*VLOOKUP('Données projet'!$B$10,Paramètres!$A$1:$I$89,3,0)*0.475*44/12</f>
        <v>4.0974256371919209</v>
      </c>
      <c r="AX40" s="21">
        <f t="shared" si="6"/>
        <v>58.460561755791566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152.25</v>
      </c>
      <c r="BB40" s="12">
        <f>VLOOKUP(A40,'Données projet'!$A$87:$I$107,9,0)</f>
        <v>12.666666666666666</v>
      </c>
      <c r="BC40" s="12">
        <f t="array" ref="BC40">INDEX(BB:BB,MIN(IF(ISNUMBER(BB40:BB236),ROW(BB40:BB236),"")))</f>
        <v>12.666666666666666</v>
      </c>
      <c r="BD40" s="12">
        <f>IF('Données projet'!$A$88&gt;35,BD39+BC40-BL39,IF(A40&lt;'Données projet'!$A$88,$BA$205^A40,IF(A40='Données projet'!$A$88,'Données projet'!$B$88,BD39+BC40-BL39)))</f>
        <v>152.25</v>
      </c>
      <c r="BE40" s="13">
        <f>BD40*VLOOKUP('Données projet'!$B$11,Paramètres!$A$1:$I$89,3,0)*VLOOKUP('Données projet'!$B$11,Paramètres!$A$1:$I$89,5,0)</f>
        <v>133.00560000000002</v>
      </c>
      <c r="BF40" s="13">
        <f t="shared" si="37"/>
        <v>34.689938673073549</v>
      </c>
      <c r="BG40" s="20">
        <f t="shared" si="7"/>
        <v>292.06972985560316</v>
      </c>
      <c r="BH40" s="59">
        <f t="shared" si="8"/>
        <v>553.74023548957939</v>
      </c>
      <c r="BI40" s="59">
        <f ca="1">AVERAGE(OFFSET($BH$3,0,0,'Données projet'!$E$11+1,1))-AVERAGE(OFFSET($H$3,0,0,'Données projet'!$E$11+1,1))</f>
        <v>385.40047672167555</v>
      </c>
      <c r="BJ40" s="59">
        <f t="shared" si="38"/>
        <v>286.49293757741611</v>
      </c>
      <c r="BK40" s="15">
        <f>IF(ISNA(VLOOKUP(A40,'Données projet'!$A$87:$I$107,3,0)),0,VLOOKUP(A40,'Données projet'!$A$87:$I$107,3,0))</f>
        <v>3</v>
      </c>
      <c r="BL40" s="15">
        <f>IF(ISNA(VLOOKUP(A40,'Données projet'!$A$87:$I$107,4,0)),0,VLOOKUP(A40,'Données projet'!$A$87:$I$107,4,0))</f>
        <v>41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7.6</v>
      </c>
      <c r="BY40" s="12">
        <f>IF('Données projet'!$A$114&gt;35,BY39+BX40-CG39,IF(A40&lt;'Données projet'!$A$114,$BV$205^A40,IF(A40='Données projet'!$A$114,'Données projet'!$B$114,BY39+BX40-CG39)))</f>
        <v>237.20000000000002</v>
      </c>
      <c r="BZ40" s="13">
        <f>BY40*VLOOKUP('Données projet'!$B$12,Paramètres!$A$1:$I$89,3,0)*VLOOKUP('Données projet'!$B$12,Paramètres!$A$1:$I$89,5,0)</f>
        <v>214.61856</v>
      </c>
      <c r="CA40" s="13">
        <f t="shared" si="39"/>
        <v>52.943575842827563</v>
      </c>
      <c r="CB40" s="20">
        <f t="shared" si="10"/>
        <v>466.00405325959133</v>
      </c>
      <c r="CC40" s="59">
        <f t="shared" si="11"/>
        <v>727.67455889356756</v>
      </c>
      <c r="CD40" s="59">
        <f ca="1">AVERAGE(OFFSET($CC$3,0,0,'Données projet'!$E$12+1,1))-AVERAGE(OFFSET($H$3,0,0,'Données projet'!$E$12+1,1))</f>
        <v>397.12030701006762</v>
      </c>
      <c r="CE40" s="59">
        <f t="shared" si="40"/>
        <v>476.47513516380047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7.3084756115210681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7.3084756115210681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110.43805901666033</v>
      </c>
      <c r="CZ40" s="59">
        <f t="shared" si="42"/>
        <v>319.51880962151881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29.324027079769824</v>
      </c>
      <c r="DG40" s="21">
        <f>EXP(-LN(2)/25)*DG39+(1-EXP(-LN(2)/25))/(LN(2)/25)*Calculateur!DB40*Calculateur!DD40*VLOOKUP('Données projet'!$B$13,Paramètres!$A$1:$I$89,3,0)*0.475*44/12</f>
        <v>11.406328179358212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40.730355259128032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3.3000000000000003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12.100000000000001</v>
      </c>
      <c r="H41" s="67">
        <f t="shared" si="1"/>
        <v>208.26666666666665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27.506666666666661</v>
      </c>
      <c r="N41" s="13">
        <f>IF('Données projet'!$A$36&gt;35,N40+M41-V40,IF(A41&lt;'Données projet'!$A$36,$K$205^A41,IF(A41='Données projet'!$A$36,'Données projet'!$B$36,N40+M41-V40)))</f>
        <v>470.4233333333334</v>
      </c>
      <c r="O41" s="13">
        <f>N41*VLOOKUP('Données projet'!$B$9,Paramètres!$A$1:$I$89,3,0)*VLOOKUP('Données projet'!$B$9,Paramètres!$A$1:$I$89,5,0)</f>
        <v>262.96664333333342</v>
      </c>
      <c r="P41" s="13">
        <f t="shared" si="33"/>
        <v>63.354328264461273</v>
      </c>
      <c r="Q41" s="20">
        <f t="shared" si="53"/>
        <v>568.34235886615909</v>
      </c>
      <c r="R41" s="59">
        <f t="shared" si="0"/>
        <v>830.56214377324113</v>
      </c>
      <c r="S41" s="59">
        <f ca="1">AVERAGE(OFFSET($R$3,0,0,'Données projet'!$E$9+1,1))-AVERAGE(OFFSET($H$3,0,0,'Données projet'!$E$9+1,1))</f>
        <v>414.37917672189968</v>
      </c>
      <c r="T41" s="59">
        <f t="shared" si="34"/>
        <v>546.83385887302961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31.31168678553254</v>
      </c>
      <c r="AA41" s="21">
        <f>EXP(-LN(2)/25)*AA40+(1-EXP(-LN(2)/25))/(LN(2)/25)*Calculateur!V41*Calculateur!X41*VLOOKUP('Données projet'!$B$9,Paramètres!$A$1:$I$89,3,0)*0.475*44/12</f>
        <v>35.923454506555146</v>
      </c>
      <c r="AB41" s="21">
        <f>EXP(-LN(2)/2)*AB40+(1-EXP(-LN(2)/2))/(LN(2)/2)*V41*Y41*VLOOKUP('Données projet'!$B$9,Paramètres!$A$1:$I$89,3,0)*0.475*44/12</f>
        <v>6.9297661623443956</v>
      </c>
      <c r="AC41" s="22">
        <f t="shared" si="3"/>
        <v>74.164907454432083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14.6</v>
      </c>
      <c r="AI41" s="13">
        <f>IF('Données projet'!$A$62&gt;35,AI40+AH41-AQ40,IF(A41&lt;'Données projet'!$A$62,$AF$205^A41,IF(A41='Données projet'!$A$62,'Données projet'!$B$62,AI40+AH41-AQ40)))</f>
        <v>258.8</v>
      </c>
      <c r="AJ41" s="13">
        <f>AI41*VLOOKUP('Données projet'!$B$10,Paramètres!$A$1:$I$89,3,0)*VLOOKUP('Données projet'!$B$10,Paramètres!$A$1:$I$89,5,0)</f>
        <v>161.49120000000002</v>
      </c>
      <c r="AK41" s="13">
        <f t="shared" si="35"/>
        <v>41.178677917555056</v>
      </c>
      <c r="AL41" s="20">
        <f t="shared" si="4"/>
        <v>352.98337070640838</v>
      </c>
      <c r="AM41" s="59">
        <f t="shared" si="5"/>
        <v>615.20315561349048</v>
      </c>
      <c r="AN41" s="59">
        <f ca="1">AVERAGE(OFFSET($AM$3,0,0,'Données projet'!$E$10+1,1))-AVERAGE(OFFSET($H$3,0,0,'Données projet'!$E$10+1,1))</f>
        <v>296.20984079604017</v>
      </c>
      <c r="AO41" s="59">
        <f t="shared" si="36"/>
        <v>351.8406329895206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27.454620195659928</v>
      </c>
      <c r="AV41" s="21">
        <f>EXP(-LN(2)/25)*AV40+(1-EXP(-LN(2)/25))/(LN(2)/25)*Calculateur!AQ41*Calculateur!AS41*VLOOKUP('Données projet'!$B$10,Paramètres!$A$1:$I$89,3,0)*0.475*44/12</f>
        <v>25.638580718938947</v>
      </c>
      <c r="AW41" s="21">
        <f>EXP(-LN(2)/2)*AW40+(1-EXP(-LN(2)/2))/(LN(2)/2)*AQ41*AT41*VLOOKUP('Données projet'!$B$10,Paramètres!$A$1:$I$89,3,0)*0.475*44/12</f>
        <v>2.8973174534660178</v>
      </c>
      <c r="AX41" s="21">
        <f t="shared" si="6"/>
        <v>55.99051836806489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11.886666666666665</v>
      </c>
      <c r="BD41" s="12">
        <f>IF('Données projet'!$A$88&gt;35,BD40+BC41-BL40,IF(A41&lt;'Données projet'!$A$88,$BA$205^A41,IF(A41='Données projet'!$A$88,'Données projet'!$B$88,BD40+BC41-BL40)))</f>
        <v>123.13666666666666</v>
      </c>
      <c r="BE41" s="13">
        <f>BD41*VLOOKUP('Données projet'!$B$11,Paramètres!$A$1:$I$89,3,0)*VLOOKUP('Données projet'!$B$11,Paramètres!$A$1:$I$89,5,0)</f>
        <v>107.57219200000002</v>
      </c>
      <c r="BF41" s="13">
        <f t="shared" si="37"/>
        <v>28.758233199912592</v>
      </c>
      <c r="BG41" s="20">
        <f t="shared" si="7"/>
        <v>237.44215722318117</v>
      </c>
      <c r="BH41" s="59">
        <f t="shared" si="8"/>
        <v>499.66194213026324</v>
      </c>
      <c r="BI41" s="59">
        <f ca="1">AVERAGE(OFFSET($BH$3,0,0,'Données projet'!$E$11+1,1))-AVERAGE(OFFSET($H$3,0,0,'Données projet'!$E$11+1,1))</f>
        <v>385.40047672167555</v>
      </c>
      <c r="BJ41" s="59">
        <f t="shared" si="38"/>
        <v>286.49293757741611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7.6</v>
      </c>
      <c r="BY41" s="12">
        <f>IF('Données projet'!$A$114&gt;35,BY40+BX41-CG40,IF(A41&lt;'Données projet'!$A$114,$BV$205^A41,IF(A41='Données projet'!$A$114,'Données projet'!$B$114,BY40+BX41-CG40)))</f>
        <v>244.8</v>
      </c>
      <c r="BZ41" s="13">
        <f>BY41*VLOOKUP('Données projet'!$B$12,Paramètres!$A$1:$I$89,3,0)*VLOOKUP('Données projet'!$B$12,Paramètres!$A$1:$I$89,5,0)</f>
        <v>221.49504000000002</v>
      </c>
      <c r="CA41" s="13">
        <f t="shared" si="39"/>
        <v>54.439697086174412</v>
      </c>
      <c r="CB41" s="20">
        <f t="shared" si="10"/>
        <v>480.58633375842049</v>
      </c>
      <c r="CC41" s="59">
        <f t="shared" si="11"/>
        <v>742.80611866550259</v>
      </c>
      <c r="CD41" s="59">
        <f ca="1">AVERAGE(OFFSET($CC$3,0,0,'Données projet'!$E$12+1,1))-AVERAGE(OFFSET($H$3,0,0,'Données projet'!$E$12+1,1))</f>
        <v>397.12030701006762</v>
      </c>
      <c r="CE41" s="59">
        <f t="shared" si="40"/>
        <v>476.47513516380047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7.165160862509099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7.165160862509099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110.43805901666033</v>
      </c>
      <c r="CZ41" s="59">
        <f t="shared" si="42"/>
        <v>319.51880962151881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28.749000794625971</v>
      </c>
      <c r="DG41" s="21">
        <f>EXP(-LN(2)/25)*DG40+(1-EXP(-LN(2)/25))/(LN(2)/25)*Calculateur!DB41*Calculateur!DD41*VLOOKUP('Données projet'!$B$13,Paramètres!$A$1:$I$89,3,0)*0.475*44/12</f>
        <v>11.094421535460933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39.843422330086902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3.3000000000000003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12.100000000000001</v>
      </c>
      <c r="H42" s="67">
        <f t="shared" si="1"/>
        <v>208.26666666666665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>
        <f>VLOOKUP(A42,'Données projet'!$A$35:$I$55,2,0)</f>
        <v>497.93</v>
      </c>
      <c r="L42" s="12">
        <f>VLOOKUP(A42,'Données projet'!$A$35:$I$55,9,0)</f>
        <v>27.506666666666661</v>
      </c>
      <c r="M42" s="12">
        <f t="array" ref="M42">INDEX(L:L,MIN(IF(ISNUMBER(L42:L238),ROW(L42:L238),"")))</f>
        <v>27.506666666666661</v>
      </c>
      <c r="N42" s="13">
        <f>IF('Données projet'!$A$36&gt;35,N41+M42-V41,IF(A42&lt;'Données projet'!$A$36,$K$205^A42,IF(A42='Données projet'!$A$36,'Données projet'!$B$36,N41+M42-V41)))</f>
        <v>497.93000000000006</v>
      </c>
      <c r="O42" s="13">
        <f>N42*VLOOKUP('Données projet'!$B$9,Paramètres!$A$1:$I$89,3,0)*VLOOKUP('Données projet'!$B$9,Paramètres!$A$1:$I$89,5,0)</f>
        <v>278.34287</v>
      </c>
      <c r="P42" s="13">
        <f t="shared" si="33"/>
        <v>66.616688783935686</v>
      </c>
      <c r="Q42" s="20">
        <f t="shared" si="53"/>
        <v>600.80456488202128</v>
      </c>
      <c r="R42" s="59">
        <f t="shared" si="0"/>
        <v>863.56410029482527</v>
      </c>
      <c r="S42" s="59">
        <f ca="1">AVERAGE(OFFSET($R$3,0,0,'Données projet'!$E$9+1,1))-AVERAGE(OFFSET($H$3,0,0,'Données projet'!$E$9+1,1))</f>
        <v>414.37917672189968</v>
      </c>
      <c r="T42" s="59">
        <f t="shared" si="34"/>
        <v>546.83385887302961</v>
      </c>
      <c r="U42" s="15">
        <f>IF(ISNA(VLOOKUP(A42,'Données projet'!$A$35:$I$55,3,0)),0,VLOOKUP(A42,'Données projet'!$A$35:$I$55,3,0))</f>
        <v>8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0.27500000000000002</v>
      </c>
      <c r="X42" s="16">
        <f>IF(ISNA(VLOOKUP(A42,'Données projet'!$A$35:$I$55,6,0)),0%,VLOOKUP(A42,'Données projet'!$A$35:$I$55,6,0)*VLOOKUP('Données projet'!$B$9,Paramètres!$A$1:$I$89,7,0))</f>
        <v>0.15400000000000003</v>
      </c>
      <c r="Y42" s="16">
        <f>IF(ISNA(VLOOKUP(A42,'Données projet'!$A$35:$I$55,7,0)),0%,VLOOKUP(A42,'Données projet'!$A$35:$I$55,7,0))</f>
        <v>0.22</v>
      </c>
      <c r="Z42" s="21">
        <f>EXP(-LN(2)/35)*Z41+(1-EXP(-LN(2)/35))/(LN(2)/35)*V42*W42*VLOOKUP('Données projet'!$B$9,Paramètres!$A$1:$I$89,3,0)*0.475*44/12</f>
        <v>30.697683705911391</v>
      </c>
      <c r="AA42" s="21">
        <f>EXP(-LN(2)/25)*AA41+(1-EXP(-LN(2)/25))/(LN(2)/25)*Calculateur!V42*Calculateur!X42*VLOOKUP('Données projet'!$B$9,Paramètres!$A$1:$I$89,3,0)*0.475*44/12</f>
        <v>34.94112575394103</v>
      </c>
      <c r="AB42" s="21">
        <f>EXP(-LN(2)/2)*AB41+(1-EXP(-LN(2)/2))/(LN(2)/2)*V42*Y42*VLOOKUP('Données projet'!$B$9,Paramètres!$A$1:$I$89,3,0)*0.475*44/12</f>
        <v>4.9000846454308</v>
      </c>
      <c r="AC42" s="22">
        <f t="shared" si="3"/>
        <v>70.538894105283219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14.6</v>
      </c>
      <c r="AI42" s="13">
        <f>IF('Données projet'!$A$62&gt;35,AI41+AH42-AQ41,IF(A42&lt;'Données projet'!$A$62,$AF$205^A42,IF(A42='Données projet'!$A$62,'Données projet'!$B$62,AI41+AH42-AQ41)))</f>
        <v>273.40000000000003</v>
      </c>
      <c r="AJ42" s="13">
        <f>AI42*VLOOKUP('Données projet'!$B$10,Paramètres!$A$1:$I$89,3,0)*VLOOKUP('Données projet'!$B$10,Paramètres!$A$1:$I$89,5,0)</f>
        <v>170.60160000000002</v>
      </c>
      <c r="AK42" s="13">
        <f t="shared" si="35"/>
        <v>43.224734258520876</v>
      </c>
      <c r="AL42" s="20">
        <f t="shared" si="4"/>
        <v>372.41419883359049</v>
      </c>
      <c r="AM42" s="59">
        <f t="shared" si="5"/>
        <v>635.17373424639459</v>
      </c>
      <c r="AN42" s="59">
        <f ca="1">AVERAGE(OFFSET($AM$3,0,0,'Données projet'!$E$10+1,1))-AVERAGE(OFFSET($H$3,0,0,'Données projet'!$E$10+1,1))</f>
        <v>296.20984079604017</v>
      </c>
      <c r="AO42" s="59">
        <f t="shared" si="36"/>
        <v>351.8406329895206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26.91625183928786</v>
      </c>
      <c r="AV42" s="21">
        <f>EXP(-LN(2)/25)*AV41+(1-EXP(-LN(2)/25))/(LN(2)/25)*Calculateur!AQ42*Calculateur!AS42*VLOOKUP('Données projet'!$B$10,Paramètres!$A$1:$I$89,3,0)*0.475*44/12</f>
        <v>24.937492380905198</v>
      </c>
      <c r="AW42" s="21">
        <f>EXP(-LN(2)/2)*AW41+(1-EXP(-LN(2)/2))/(LN(2)/2)*AQ42*AT42*VLOOKUP('Données projet'!$B$10,Paramètres!$A$1:$I$89,3,0)*0.475*44/12</f>
        <v>2.0487128185959604</v>
      </c>
      <c r="AX42" s="21">
        <f t="shared" si="6"/>
        <v>53.902457038789017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11.886666666666665</v>
      </c>
      <c r="BD42" s="12">
        <f>IF('Données projet'!$A$88&gt;35,BD41+BC42-BL41,IF(A42&lt;'Données projet'!$A$88,$BA$205^A42,IF(A42='Données projet'!$A$88,'Données projet'!$B$88,BD41+BC42-BL41)))</f>
        <v>135.02333333333331</v>
      </c>
      <c r="BE42" s="13">
        <f>BD42*VLOOKUP('Données projet'!$B$11,Paramètres!$A$1:$I$89,3,0)*VLOOKUP('Données projet'!$B$11,Paramètres!$A$1:$I$89,5,0)</f>
        <v>117.956384</v>
      </c>
      <c r="BF42" s="13">
        <f t="shared" si="37"/>
        <v>31.19788397746494</v>
      </c>
      <c r="BG42" s="20">
        <f t="shared" si="7"/>
        <v>259.77701672741807</v>
      </c>
      <c r="BH42" s="59">
        <f t="shared" si="8"/>
        <v>522.53655214022206</v>
      </c>
      <c r="BI42" s="59">
        <f ca="1">AVERAGE(OFFSET($BH$3,0,0,'Données projet'!$E$11+1,1))-AVERAGE(OFFSET($H$3,0,0,'Données projet'!$E$11+1,1))</f>
        <v>385.40047672167555</v>
      </c>
      <c r="BJ42" s="59">
        <f t="shared" si="38"/>
        <v>286.49293757741611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7.6</v>
      </c>
      <c r="BY42" s="12">
        <f>IF('Données projet'!$A$114&gt;35,BY41+BX42-CG41,IF(A42&lt;'Données projet'!$A$114,$BV$205^A42,IF(A42='Données projet'!$A$114,'Données projet'!$B$114,BY41+BX42-CG41)))</f>
        <v>252.4</v>
      </c>
      <c r="BZ42" s="13">
        <f>BY42*VLOOKUP('Données projet'!$B$12,Paramètres!$A$1:$I$89,3,0)*VLOOKUP('Données projet'!$B$12,Paramètres!$A$1:$I$89,5,0)</f>
        <v>228.37152</v>
      </c>
      <c r="CA42" s="13">
        <f t="shared" si="39"/>
        <v>55.930420599111578</v>
      </c>
      <c r="CB42" s="20">
        <f t="shared" si="10"/>
        <v>495.15921321011928</v>
      </c>
      <c r="CC42" s="59">
        <f t="shared" si="11"/>
        <v>757.91874862292332</v>
      </c>
      <c r="CD42" s="59">
        <f ca="1">AVERAGE(OFFSET($CC$3,0,0,'Données projet'!$E$12+1,1))-AVERAGE(OFFSET($H$3,0,0,'Données projet'!$E$12+1,1))</f>
        <v>397.12030701006762</v>
      </c>
      <c r="CE42" s="59">
        <f t="shared" si="40"/>
        <v>476.47513516380047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7.0246564283118884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7.0246564283118884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110.43805901666033</v>
      </c>
      <c r="CZ42" s="59">
        <f t="shared" si="42"/>
        <v>319.51880962151881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28.185250424202387</v>
      </c>
      <c r="DG42" s="21">
        <f>EXP(-LN(2)/25)*DG41+(1-EXP(-LN(2)/25))/(LN(2)/25)*Calculateur!DB42*Calculateur!DD42*VLOOKUP('Données projet'!$B$13,Paramètres!$A$1:$I$89,3,0)*0.475*44/12</f>
        <v>10.791043995143482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38.976294419345869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3.3000000000000003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12.100000000000001</v>
      </c>
      <c r="H43" s="67">
        <f t="shared" si="1"/>
        <v>208.26666666666665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28.653333333333325</v>
      </c>
      <c r="N43" s="13">
        <f>IF('Données projet'!$A$36&gt;35,N42+M43-V42,IF(A43&lt;'Données projet'!$A$36,$K$205^A43,IF(A43='Données projet'!$A$36,'Données projet'!$B$36,N42+M43-V42)))</f>
        <v>526.58333333333337</v>
      </c>
      <c r="O43" s="13">
        <f>N43*VLOOKUP('Données projet'!$B$9,Paramètres!$A$1:$I$89,3,0)*VLOOKUP('Données projet'!$B$9,Paramètres!$A$1:$I$89,5,0)</f>
        <v>294.36008333333336</v>
      </c>
      <c r="P43" s="13">
        <f t="shared" si="33"/>
        <v>69.992817515786797</v>
      </c>
      <c r="Q43" s="20">
        <f t="shared" si="53"/>
        <v>634.58130231221764</v>
      </c>
      <c r="R43" s="59">
        <f t="shared" si="0"/>
        <v>897.87122476617083</v>
      </c>
      <c r="S43" s="59">
        <f ca="1">AVERAGE(OFFSET($R$3,0,0,'Données projet'!$E$9+1,1))-AVERAGE(OFFSET($H$3,0,0,'Données projet'!$E$9+1,1))</f>
        <v>414.37917672189968</v>
      </c>
      <c r="T43" s="59">
        <f t="shared" si="34"/>
        <v>546.83385887302961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30.095720852176715</v>
      </c>
      <c r="AA43" s="21">
        <f>EXP(-LN(2)/25)*AA42+(1-EXP(-LN(2)/25))/(LN(2)/25)*Calculateur!V43*Calculateur!X43*VLOOKUP('Données projet'!$B$9,Paramètres!$A$1:$I$89,3,0)*0.475*44/12</f>
        <v>33.985658832725569</v>
      </c>
      <c r="AB43" s="21">
        <f>EXP(-LN(2)/2)*AB42+(1-EXP(-LN(2)/2))/(LN(2)/2)*V43*Y43*VLOOKUP('Données projet'!$B$9,Paramètres!$A$1:$I$89,3,0)*0.475*44/12</f>
        <v>3.4648830811721982</v>
      </c>
      <c r="AC43" s="22">
        <f t="shared" si="3"/>
        <v>67.546262766074491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288</v>
      </c>
      <c r="AG43" s="12">
        <f>VLOOKUP(A43,'Données projet'!$A$61:$I$81,9,0)</f>
        <v>14.6</v>
      </c>
      <c r="AH43" s="12">
        <f t="array" ref="AH43">INDEX(AG:AG,MIN(IF(ISNUMBER(AG43:AG239),ROW(AG43:AG239),"")))</f>
        <v>14.6</v>
      </c>
      <c r="AI43" s="13">
        <f>IF('Données projet'!$A$62&gt;35,AI42+AH43-AQ42,IF(A43&lt;'Données projet'!$A$62,$AF$205^A43,IF(A43='Données projet'!$A$62,'Données projet'!$B$62,AI42+AH43-AQ42)))</f>
        <v>288.00000000000006</v>
      </c>
      <c r="AJ43" s="13">
        <f>AI43*VLOOKUP('Données projet'!$B$10,Paramètres!$A$1:$I$89,3,0)*VLOOKUP('Données projet'!$B$10,Paramètres!$A$1:$I$89,5,0)</f>
        <v>179.71200000000002</v>
      </c>
      <c r="AK43" s="13">
        <f t="shared" si="35"/>
        <v>45.258105502458051</v>
      </c>
      <c r="AL43" s="20">
        <f t="shared" si="4"/>
        <v>391.82293375011449</v>
      </c>
      <c r="AM43" s="59">
        <f t="shared" si="5"/>
        <v>655.11285620406761</v>
      </c>
      <c r="AN43" s="59">
        <f ca="1">AVERAGE(OFFSET($AM$3,0,0,'Données projet'!$E$10+1,1))-AVERAGE(OFFSET($H$3,0,0,'Données projet'!$E$10+1,1))</f>
        <v>296.20984079604017</v>
      </c>
      <c r="AO43" s="59">
        <f t="shared" si="36"/>
        <v>351.8406329895206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0.3</v>
      </c>
      <c r="AS43" s="16">
        <f>IF(ISNA(VLOOKUP(A43,'Données projet'!$A$61:$I$81,6,0)),0%,VLOOKUP(A43,'Données projet'!$A$61:$I$81,6,0)*VLOOKUP('Données projet'!$B$10,Paramètres!$A$1:$I$89,7,0))</f>
        <v>0.16800000000000001</v>
      </c>
      <c r="AT43" s="16">
        <f>IF(ISNA(VLOOKUP(A43,'Données projet'!$A$61:$I$81,7,0)),0%,VLOOKUP(A43,'Données projet'!$A$61:$I$81,7,0))</f>
        <v>0.22</v>
      </c>
      <c r="AU43" s="21">
        <f>EXP(-LN(2)/35)*AU42+(1-EXP(-LN(2)/35))/(LN(2)/35)*AQ43*AR43*VLOOKUP('Données projet'!$B$10,Paramètres!$A$1:$I$89,3,0)*0.475*44/12</f>
        <v>36.321755200343247</v>
      </c>
      <c r="AV43" s="21">
        <f>EXP(-LN(2)/25)*AV42+(1-EXP(-LN(2)/25))/(LN(2)/25)*Calculateur!AQ43*Calculateur!AS43*VLOOKUP('Données projet'!$B$10,Paramètres!$A$1:$I$89,3,0)*0.475*44/12</f>
        <v>29.796329243052707</v>
      </c>
      <c r="AW43" s="21">
        <f>EXP(-LN(2)/2)*AW42+(1-EXP(-LN(2)/2))/(LN(2)/2)*AQ43*AT43*VLOOKUP('Données projet'!$B$10,Paramètres!$A$1:$I$89,3,0)*0.475*44/12</f>
        <v>7.6659727189103375</v>
      </c>
      <c r="AX43" s="21">
        <f t="shared" si="6"/>
        <v>73.784057162306297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146.91</v>
      </c>
      <c r="BB43" s="12">
        <f>VLOOKUP(A43,'Données projet'!$A$87:$I$107,9,0)</f>
        <v>11.886666666666665</v>
      </c>
      <c r="BC43" s="12">
        <f t="array" ref="BC43">INDEX(BB:BB,MIN(IF(ISNUMBER(BB43:BB239),ROW(BB43:BB239),"")))</f>
        <v>11.886666666666665</v>
      </c>
      <c r="BD43" s="12">
        <f>IF('Données projet'!$A$88&gt;35,BD42+BC43-BL42,IF(A43&lt;'Données projet'!$A$88,$BA$205^A43,IF(A43='Données projet'!$A$88,'Données projet'!$B$88,BD42+BC43-BL42)))</f>
        <v>146.90999999999997</v>
      </c>
      <c r="BE43" s="13">
        <f>BD43*VLOOKUP('Données projet'!$B$11,Paramètres!$A$1:$I$89,3,0)*VLOOKUP('Données projet'!$B$11,Paramètres!$A$1:$I$89,5,0)</f>
        <v>128.340576</v>
      </c>
      <c r="BF43" s="13">
        <f t="shared" si="37"/>
        <v>33.612628940431279</v>
      </c>
      <c r="BG43" s="20">
        <f t="shared" si="7"/>
        <v>282.06849860458448</v>
      </c>
      <c r="BH43" s="59">
        <f t="shared" si="8"/>
        <v>545.3584210585376</v>
      </c>
      <c r="BI43" s="59">
        <f ca="1">AVERAGE(OFFSET($BH$3,0,0,'Données projet'!$E$11+1,1))-AVERAGE(OFFSET($H$3,0,0,'Données projet'!$E$11+1,1))</f>
        <v>385.40047672167555</v>
      </c>
      <c r="BJ43" s="59">
        <f t="shared" si="38"/>
        <v>286.49293757741611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260</v>
      </c>
      <c r="BW43" s="12">
        <f>VLOOKUP(A43,'Données projet'!$A$113:$I$133,9,0)</f>
        <v>7.6</v>
      </c>
      <c r="BX43" s="12">
        <f t="array" ref="BX43">INDEX(BW:BW,MIN(IF(ISNUMBER(BW43:BW239),ROW(BW43:BW239),"")))</f>
        <v>7.6</v>
      </c>
      <c r="BY43" s="12">
        <f>IF('Données projet'!$A$114&gt;35,BY42+BX43-CG42,IF(A43&lt;'Données projet'!$A$114,$BV$205^A43,IF(A43='Données projet'!$A$114,'Données projet'!$B$114,BY42+BX43-CG42)))</f>
        <v>260</v>
      </c>
      <c r="BZ43" s="13">
        <f>BY43*VLOOKUP('Données projet'!$B$12,Paramètres!$A$1:$I$89,3,0)*VLOOKUP('Données projet'!$B$12,Paramètres!$A$1:$I$89,5,0)</f>
        <v>235.24799999999999</v>
      </c>
      <c r="CA43" s="13">
        <f t="shared" si="39"/>
        <v>57.41592756883739</v>
      </c>
      <c r="CB43" s="20">
        <f t="shared" si="10"/>
        <v>509.72300718239177</v>
      </c>
      <c r="CC43" s="59">
        <f t="shared" si="11"/>
        <v>773.01292963634489</v>
      </c>
      <c r="CD43" s="59">
        <f ca="1">AVERAGE(OFFSET($CC$3,0,0,'Données projet'!$E$12+1,1))-AVERAGE(OFFSET($H$3,0,0,'Données projet'!$E$12+1,1))</f>
        <v>397.12030701006762</v>
      </c>
      <c r="CE43" s="59">
        <f t="shared" si="40"/>
        <v>476.47513516380047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16</v>
      </c>
      <c r="CH43" s="16">
        <f>IF(ISNA(VLOOKUP(A43,'Données projet'!$A$113:$I$133,5,0)),0%,VLOOKUP(A43,'Données projet'!$A$113:$I$133,5,0)*VLOOKUP('Données projet'!$B$12,Paramètres!$A$1:$I$89,7,0))</f>
        <v>0.12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8.8073480312207568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8.8073480312207568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110.43805901666033</v>
      </c>
      <c r="CZ43" s="59">
        <f t="shared" si="42"/>
        <v>319.51880962151881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27.632554854689037</v>
      </c>
      <c r="DG43" s="21">
        <f>EXP(-LN(2)/25)*DG42+(1-EXP(-LN(2)/25))/(LN(2)/25)*Calculateur!DB43*Calculateur!DD43*VLOOKUP('Données projet'!$B$13,Paramètres!$A$1:$I$89,3,0)*0.475*44/12</f>
        <v>10.495962329619944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38.128517184308983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3.3000000000000003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12.100000000000001</v>
      </c>
      <c r="H44" s="67">
        <f t="shared" si="1"/>
        <v>208.26666666666665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28.653333333333325</v>
      </c>
      <c r="N44" s="13">
        <f>IF('Données projet'!$A$36&gt;35,N43+M44-V43,IF(A44&lt;'Données projet'!$A$36,$K$205^A44,IF(A44='Données projet'!$A$36,'Données projet'!$B$36,N43+M44-V43)))</f>
        <v>555.23666666666668</v>
      </c>
      <c r="O44" s="13">
        <f>N44*VLOOKUP('Données projet'!$B$9,Paramètres!$A$1:$I$89,3,0)*VLOOKUP('Données projet'!$B$9,Paramètres!$A$1:$I$89,5,0)</f>
        <v>310.37729666666667</v>
      </c>
      <c r="P44" s="13">
        <f t="shared" si="33"/>
        <v>73.347619153761983</v>
      </c>
      <c r="Q44" s="20">
        <f t="shared" si="53"/>
        <v>668.3208950539132</v>
      </c>
      <c r="R44" s="59">
        <f t="shared" si="0"/>
        <v>932.13200351961916</v>
      </c>
      <c r="S44" s="59">
        <f ca="1">AVERAGE(OFFSET($R$3,0,0,'Données projet'!$E$9+1,1))-AVERAGE(OFFSET($H$3,0,0,'Données projet'!$E$9+1,1))</f>
        <v>414.37917672189968</v>
      </c>
      <c r="T44" s="59">
        <f t="shared" si="34"/>
        <v>546.83385887302961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29.505562122842687</v>
      </c>
      <c r="AA44" s="21">
        <f>EXP(-LN(2)/25)*AA43+(1-EXP(-LN(2)/25))/(LN(2)/25)*Calculateur!V44*Calculateur!X44*VLOOKUP('Données projet'!$B$9,Paramètres!$A$1:$I$89,3,0)*0.475*44/12</f>
        <v>33.056319204716566</v>
      </c>
      <c r="AB44" s="21">
        <f>EXP(-LN(2)/2)*AB43+(1-EXP(-LN(2)/2))/(LN(2)/2)*V44*Y44*VLOOKUP('Données projet'!$B$9,Paramètres!$A$1:$I$89,3,0)*0.475*44/12</f>
        <v>2.4500423227154005</v>
      </c>
      <c r="AC44" s="22">
        <f t="shared" si="3"/>
        <v>65.011923650274653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13.2</v>
      </c>
      <c r="AI44" s="13">
        <f>IF('Données projet'!$A$62&gt;35,AI43+AH44-AQ43,IF(A44&lt;'Données projet'!$A$62,$AF$205^A44,IF(A44='Données projet'!$A$62,'Données projet'!$B$62,AI43+AH44-AQ43)))</f>
        <v>261.20000000000005</v>
      </c>
      <c r="AJ44" s="13">
        <f>AI44*VLOOKUP('Données projet'!$B$10,Paramètres!$A$1:$I$89,3,0)*VLOOKUP('Données projet'!$B$10,Paramètres!$A$1:$I$89,5,0)</f>
        <v>162.98880000000003</v>
      </c>
      <c r="AK44" s="13">
        <f t="shared" si="35"/>
        <v>41.515919734048659</v>
      </c>
      <c r="AL44" s="20">
        <f t="shared" si="4"/>
        <v>356.1790535368014</v>
      </c>
      <c r="AM44" s="59">
        <f t="shared" si="5"/>
        <v>619.9901620025073</v>
      </c>
      <c r="AN44" s="59">
        <f ca="1">AVERAGE(OFFSET($AM$3,0,0,'Données projet'!$E$10+1,1))-AVERAGE(OFFSET($H$3,0,0,'Données projet'!$E$10+1,1))</f>
        <v>296.20984079604017</v>
      </c>
      <c r="AO44" s="59">
        <f t="shared" si="36"/>
        <v>351.8406329895206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35.609507734947655</v>
      </c>
      <c r="AV44" s="21">
        <f>EXP(-LN(2)/25)*AV43+(1-EXP(-LN(2)/25))/(LN(2)/25)*Calculateur!AQ44*Calculateur!AS44*VLOOKUP('Données projet'!$B$10,Paramètres!$A$1:$I$89,3,0)*0.475*44/12</f>
        <v>28.981547052980577</v>
      </c>
      <c r="AW44" s="21">
        <f>EXP(-LN(2)/2)*AW43+(1-EXP(-LN(2)/2))/(LN(2)/2)*AQ44*AT44*VLOOKUP('Données projet'!$B$10,Paramètres!$A$1:$I$89,3,0)*0.475*44/12</f>
        <v>5.4206612939325751</v>
      </c>
      <c r="AX44" s="21">
        <f t="shared" si="6"/>
        <v>70.011716081860811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13.149999999999999</v>
      </c>
      <c r="BD44" s="12">
        <f>IF('Données projet'!$A$88&gt;35,BD43+BC44-BL43,IF(A44&lt;'Données projet'!$A$88,$BA$205^A44,IF(A44='Données projet'!$A$88,'Données projet'!$B$88,BD43+BC44-BL43)))</f>
        <v>160.05999999999997</v>
      </c>
      <c r="BE44" s="13">
        <f>BD44*VLOOKUP('Données projet'!$B$11,Paramètres!$A$1:$I$89,3,0)*VLOOKUP('Données projet'!$B$11,Paramètres!$A$1:$I$89,5,0)</f>
        <v>139.82841599999998</v>
      </c>
      <c r="BF44" s="13">
        <f t="shared" si="37"/>
        <v>36.257695204990348</v>
      </c>
      <c r="BG44" s="20">
        <f t="shared" si="7"/>
        <v>306.68331034869146</v>
      </c>
      <c r="BH44" s="59">
        <f t="shared" si="8"/>
        <v>570.49441881439748</v>
      </c>
      <c r="BI44" s="59">
        <f ca="1">AVERAGE(OFFSET($BH$3,0,0,'Données projet'!$E$11+1,1))-AVERAGE(OFFSET($H$3,0,0,'Données projet'!$E$11+1,1))</f>
        <v>385.40047672167555</v>
      </c>
      <c r="BJ44" s="59">
        <f t="shared" si="38"/>
        <v>286.49293757741611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6.8</v>
      </c>
      <c r="BY44" s="12">
        <f>IF('Données projet'!$A$114&gt;35,BY43+BX44-CG43,IF(A44&lt;'Données projet'!$A$114,$BV$205^A44,IF(A44='Données projet'!$A$114,'Données projet'!$B$114,BY43+BX44-CG43)))</f>
        <v>250.8</v>
      </c>
      <c r="BZ44" s="13">
        <f>BY44*VLOOKUP('Données projet'!$B$12,Paramètres!$A$1:$I$89,3,0)*VLOOKUP('Données projet'!$B$12,Paramètres!$A$1:$I$89,5,0)</f>
        <v>226.92384000000001</v>
      </c>
      <c r="CA44" s="13">
        <f t="shared" si="39"/>
        <v>55.617023478556483</v>
      </c>
      <c r="CB44" s="20">
        <f t="shared" si="10"/>
        <v>492.09200389181916</v>
      </c>
      <c r="CC44" s="59">
        <f t="shared" si="11"/>
        <v>755.90311235752506</v>
      </c>
      <c r="CD44" s="59">
        <f ca="1">AVERAGE(OFFSET($CC$3,0,0,'Données projet'!$E$12+1,1))-AVERAGE(OFFSET($H$3,0,0,'Données projet'!$E$12+1,1))</f>
        <v>397.12030701006762</v>
      </c>
      <c r="CE44" s="59">
        <f t="shared" si="40"/>
        <v>476.47513516380047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8.634641308280381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8.634641308280381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110.43805901666033</v>
      </c>
      <c r="CZ44" s="59">
        <f t="shared" si="42"/>
        <v>319.51880962151881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27.090697308182833</v>
      </c>
      <c r="DG44" s="21">
        <f>EXP(-LN(2)/25)*DG43+(1-EXP(-LN(2)/25))/(LN(2)/25)*Calculateur!DB44*Calculateur!DD44*VLOOKUP('Données projet'!$B$13,Paramètres!$A$1:$I$89,3,0)*0.475*44/12</f>
        <v>10.208949687757817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37.299646995940648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3.3000000000000003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12.100000000000001</v>
      </c>
      <c r="H45" s="67">
        <f t="shared" si="1"/>
        <v>208.26666666666665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583.89</v>
      </c>
      <c r="L45" s="12">
        <f>VLOOKUP(A45,'Données projet'!$A$35:$I$55,9,0)</f>
        <v>28.653333333333325</v>
      </c>
      <c r="M45" s="12">
        <f t="array" ref="M45">INDEX(L:L,MIN(IF(ISNUMBER(L45:L241),ROW(L45:L241),"")))</f>
        <v>28.653333333333325</v>
      </c>
      <c r="N45" s="13">
        <f>IF('Données projet'!$A$36&gt;35,N44+M45-V44,IF(A45&lt;'Données projet'!$A$36,$K$205^A45,IF(A45='Données projet'!$A$36,'Données projet'!$B$36,N44+M45-V44)))</f>
        <v>583.89</v>
      </c>
      <c r="O45" s="13">
        <f>N45*VLOOKUP('Données projet'!$B$9,Paramètres!$A$1:$I$89,3,0)*VLOOKUP('Données projet'!$B$9,Paramètres!$A$1:$I$89,5,0)</f>
        <v>326.39451000000003</v>
      </c>
      <c r="P45" s="13">
        <f t="shared" si="33"/>
        <v>76.68231983802859</v>
      </c>
      <c r="Q45" s="20">
        <f t="shared" si="53"/>
        <v>702.02547863456641</v>
      </c>
      <c r="R45" s="59">
        <f t="shared" si="0"/>
        <v>966.34873169991863</v>
      </c>
      <c r="S45" s="59">
        <f ca="1">AVERAGE(OFFSET($R$3,0,0,'Données projet'!$E$9+1,1))-AVERAGE(OFFSET($H$3,0,0,'Données projet'!$E$9+1,1))</f>
        <v>414.37917672189968</v>
      </c>
      <c r="T45" s="59">
        <f t="shared" si="34"/>
        <v>546.83385887302961</v>
      </c>
      <c r="U45" s="15">
        <f>IF(ISNA(VLOOKUP(A45,'Données projet'!$A$35:$I$55,3,0)),0,VLOOKUP(A45,'Données projet'!$A$35:$I$55,3,0))</f>
        <v>9</v>
      </c>
      <c r="V45" s="15">
        <f>IF(ISNA(VLOOKUP(A45,'Données projet'!$A$35:$I$55,4,0)),0,VLOOKUP(A45,'Données projet'!$A$35:$I$55,4,0))</f>
        <v>91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0.12100000000000001</v>
      </c>
      <c r="Y45" s="16">
        <f>IF(ISNA(VLOOKUP(A45,'Données projet'!$A$35:$I$55,7,0)),0%,VLOOKUP(A45,'Données projet'!$A$35:$I$55,7,0))</f>
        <v>0.18</v>
      </c>
      <c r="Z45" s="21">
        <f>EXP(-LN(2)/35)*Z44+(1-EXP(-LN(2)/35))/(LN(2)/35)*V45*W45*VLOOKUP('Données projet'!$B$9,Paramètres!$A$1:$I$89,3,0)*0.475*44/12</f>
        <v>51.195708449868434</v>
      </c>
      <c r="AA45" s="21">
        <f>EXP(-LN(2)/25)*AA44+(1-EXP(-LN(2)/25))/(LN(2)/25)*Calculateur!V45*Calculateur!X45*VLOOKUP('Données projet'!$B$9,Paramètres!$A$1:$I$89,3,0)*0.475*44/12</f>
        <v>40.285444788048906</v>
      </c>
      <c r="AB45" s="21">
        <f>EXP(-LN(2)/2)*AB44+(1-EXP(-LN(2)/2))/(LN(2)/2)*V45*Y45*VLOOKUP('Données projet'!$B$9,Paramètres!$A$1:$I$89,3,0)*0.475*44/12</f>
        <v>12.099635994303384</v>
      </c>
      <c r="AC45" s="22">
        <f t="shared" si="3"/>
        <v>103.58078923222072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13.2</v>
      </c>
      <c r="AI45" s="13">
        <f>IF('Données projet'!$A$62&gt;35,AI44+AH45-AQ44,IF(A45&lt;'Données projet'!$A$62,$AF$205^A45,IF(A45='Données projet'!$A$62,'Données projet'!$B$62,AI44+AH45-AQ44)))</f>
        <v>274.40000000000003</v>
      </c>
      <c r="AJ45" s="13">
        <f>AI45*VLOOKUP('Données projet'!$B$10,Paramètres!$A$1:$I$89,3,0)*VLOOKUP('Données projet'!$B$10,Paramètres!$A$1:$I$89,5,0)</f>
        <v>171.22560000000004</v>
      </c>
      <c r="AK45" s="13">
        <f t="shared" si="35"/>
        <v>43.364402348589557</v>
      </c>
      <c r="AL45" s="20">
        <f t="shared" si="4"/>
        <v>373.74425409046017</v>
      </c>
      <c r="AM45" s="59">
        <f t="shared" si="5"/>
        <v>638.06750715581234</v>
      </c>
      <c r="AN45" s="59">
        <f ca="1">AVERAGE(OFFSET($AM$3,0,0,'Données projet'!$E$10+1,1))-AVERAGE(OFFSET($H$3,0,0,'Données projet'!$E$10+1,1))</f>
        <v>296.20984079604017</v>
      </c>
      <c r="AO45" s="59">
        <f t="shared" si="36"/>
        <v>351.8406329895206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34.911227007920409</v>
      </c>
      <c r="AV45" s="21">
        <f>EXP(-LN(2)/25)*AV44+(1-EXP(-LN(2)/25))/(LN(2)/25)*Calculateur!AQ45*Calculateur!AS45*VLOOKUP('Données projet'!$B$10,Paramètres!$A$1:$I$89,3,0)*0.475*44/12</f>
        <v>28.189045124743501</v>
      </c>
      <c r="AW45" s="21">
        <f>EXP(-LN(2)/2)*AW44+(1-EXP(-LN(2)/2))/(LN(2)/2)*AQ45*AT45*VLOOKUP('Données projet'!$B$10,Paramètres!$A$1:$I$89,3,0)*0.475*44/12</f>
        <v>3.8329863594551692</v>
      </c>
      <c r="AX45" s="21">
        <f t="shared" si="6"/>
        <v>66.93325849211908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13.149999999999999</v>
      </c>
      <c r="BD45" s="12">
        <f>IF('Données projet'!$A$88&gt;35,BD44+BC45-BL44,IF(A45&lt;'Données projet'!$A$88,$BA$205^A45,IF(A45='Données projet'!$A$88,'Données projet'!$B$88,BD44+BC45-BL44)))</f>
        <v>173.20999999999998</v>
      </c>
      <c r="BE45" s="13">
        <f>BD45*VLOOKUP('Données projet'!$B$11,Paramètres!$A$1:$I$89,3,0)*VLOOKUP('Données projet'!$B$11,Paramètres!$A$1:$I$89,5,0)</f>
        <v>151.31625599999998</v>
      </c>
      <c r="BF45" s="13">
        <f t="shared" si="37"/>
        <v>38.87755725183942</v>
      </c>
      <c r="BG45" s="20">
        <f t="shared" si="7"/>
        <v>331.25422474695364</v>
      </c>
      <c r="BH45" s="59">
        <f t="shared" si="8"/>
        <v>595.57747781230591</v>
      </c>
      <c r="BI45" s="59">
        <f ca="1">AVERAGE(OFFSET($BH$3,0,0,'Données projet'!$E$11+1,1))-AVERAGE(OFFSET($H$3,0,0,'Données projet'!$E$11+1,1))</f>
        <v>385.40047672167555</v>
      </c>
      <c r="BJ45" s="59">
        <f t="shared" si="38"/>
        <v>286.49293757741611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6.8</v>
      </c>
      <c r="BY45" s="12">
        <f>IF('Données projet'!$A$114&gt;35,BY44+BX45-CG44,IF(A45&lt;'Données projet'!$A$114,$BV$205^A45,IF(A45='Données projet'!$A$114,'Données projet'!$B$114,BY44+BX45-CG44)))</f>
        <v>257.60000000000002</v>
      </c>
      <c r="BZ45" s="13">
        <f>BY45*VLOOKUP('Données projet'!$B$12,Paramètres!$A$1:$I$89,3,0)*VLOOKUP('Données projet'!$B$12,Paramètres!$A$1:$I$89,5,0)</f>
        <v>233.07648000000003</v>
      </c>
      <c r="CA45" s="13">
        <f t="shared" si="39"/>
        <v>56.947373142454879</v>
      </c>
      <c r="CB45" s="20">
        <f t="shared" si="10"/>
        <v>505.12487755644224</v>
      </c>
      <c r="CC45" s="59">
        <f t="shared" si="11"/>
        <v>769.44813062179446</v>
      </c>
      <c r="CD45" s="59">
        <f ca="1">AVERAGE(OFFSET($CC$3,0,0,'Données projet'!$E$12+1,1))-AVERAGE(OFFSET($H$3,0,0,'Données projet'!$E$12+1,1))</f>
        <v>397.12030701006762</v>
      </c>
      <c r="CE45" s="59">
        <f t="shared" si="40"/>
        <v>476.47513516380047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8.4653212588361662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8.4653212588361662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110.43805901666033</v>
      </c>
      <c r="CZ45" s="59">
        <f t="shared" si="42"/>
        <v>319.51880962151881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26.559465257663145</v>
      </c>
      <c r="DG45" s="21">
        <f>EXP(-LN(2)/25)*DG44+(1-EXP(-LN(2)/25))/(LN(2)/25)*Calculateur!DB45*Calculateur!DD45*VLOOKUP('Données projet'!$B$13,Paramètres!$A$1:$I$89,3,0)*0.475*44/12</f>
        <v>9.929785421680748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36.489250679343897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3.3000000000000003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12.100000000000001</v>
      </c>
      <c r="H46" s="67">
        <f t="shared" si="1"/>
        <v>208.26666666666665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26.540000000000003</v>
      </c>
      <c r="N46" s="13">
        <f>IF('Données projet'!$A$36&gt;35,N45+M46-V45,IF(A46&lt;'Données projet'!$A$36,$K$205^A46,IF(A46='Données projet'!$A$36,'Données projet'!$B$36,N45+M46-V45)))</f>
        <v>519.42999999999995</v>
      </c>
      <c r="O46" s="13">
        <f>N46*VLOOKUP('Données projet'!$B$9,Paramètres!$A$1:$I$89,3,0)*VLOOKUP('Données projet'!$B$9,Paramètres!$A$1:$I$89,5,0)</f>
        <v>290.36136999999997</v>
      </c>
      <c r="P46" s="13">
        <f t="shared" si="33"/>
        <v>69.15201208651952</v>
      </c>
      <c r="Q46" s="20">
        <f t="shared" si="53"/>
        <v>626.15247380068797</v>
      </c>
      <c r="R46" s="59">
        <f t="shared" si="0"/>
        <v>890.97898690186639</v>
      </c>
      <c r="S46" s="59">
        <f ca="1">AVERAGE(OFFSET($R$3,0,0,'Données projet'!$E$9+1,1))-AVERAGE(OFFSET($H$3,0,0,'Données projet'!$E$9+1,1))</f>
        <v>414.37917672189968</v>
      </c>
      <c r="T46" s="59">
        <f t="shared" si="34"/>
        <v>546.83385887302961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50.191791833465331</v>
      </c>
      <c r="AA46" s="21">
        <f>EXP(-LN(2)/25)*AA45+(1-EXP(-LN(2)/25))/(LN(2)/25)*Calculateur!V46*Calculateur!X46*VLOOKUP('Données projet'!$B$9,Paramètres!$A$1:$I$89,3,0)*0.475*44/12</f>
        <v>39.183837181800243</v>
      </c>
      <c r="AB46" s="21">
        <f>EXP(-LN(2)/2)*AB45+(1-EXP(-LN(2)/2))/(LN(2)/2)*V46*Y46*VLOOKUP('Données projet'!$B$9,Paramètres!$A$1:$I$89,3,0)*0.475*44/12</f>
        <v>8.5557346614607575</v>
      </c>
      <c r="AC46" s="22">
        <f t="shared" si="3"/>
        <v>97.931363676726335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13.2</v>
      </c>
      <c r="AI46" s="13">
        <f>IF('Données projet'!$A$62&gt;35,AI45+AH46-AQ45,IF(A46&lt;'Données projet'!$A$62,$AF$205^A46,IF(A46='Données projet'!$A$62,'Données projet'!$B$62,AI45+AH46-AQ45)))</f>
        <v>287.60000000000002</v>
      </c>
      <c r="AJ46" s="13">
        <f>AI46*VLOOKUP('Données projet'!$B$10,Paramètres!$A$1:$I$89,3,0)*VLOOKUP('Données projet'!$B$10,Paramètres!$A$1:$I$89,5,0)</f>
        <v>179.4624</v>
      </c>
      <c r="AK46" s="13">
        <f t="shared" si="35"/>
        <v>45.202559257702561</v>
      </c>
      <c r="AL46" s="20">
        <f t="shared" si="4"/>
        <v>391.29147070716522</v>
      </c>
      <c r="AM46" s="59">
        <f t="shared" si="5"/>
        <v>656.11798380834375</v>
      </c>
      <c r="AN46" s="59">
        <f ca="1">AVERAGE(OFFSET($AM$3,0,0,'Données projet'!$E$10+1,1))-AVERAGE(OFFSET($H$3,0,0,'Données projet'!$E$10+1,1))</f>
        <v>296.20984079604017</v>
      </c>
      <c r="AO46" s="59">
        <f t="shared" si="36"/>
        <v>351.8406329895206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34.22663914004098</v>
      </c>
      <c r="AV46" s="21">
        <f>EXP(-LN(2)/25)*AV45+(1-EXP(-LN(2)/25))/(LN(2)/25)*Calculateur!AQ46*Calculateur!AS46*VLOOKUP('Données projet'!$B$10,Paramètres!$A$1:$I$89,3,0)*0.475*44/12</f>
        <v>27.418214203409935</v>
      </c>
      <c r="AW46" s="21">
        <f>EXP(-LN(2)/2)*AW45+(1-EXP(-LN(2)/2))/(LN(2)/2)*AQ46*AT46*VLOOKUP('Données projet'!$B$10,Paramètres!$A$1:$I$89,3,0)*0.475*44/12</f>
        <v>2.710330646966288</v>
      </c>
      <c r="AX46" s="21">
        <f t="shared" si="6"/>
        <v>64.355183990417203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13.149999999999999</v>
      </c>
      <c r="BD46" s="12">
        <f>IF('Données projet'!$A$88&gt;35,BD45+BC46-BL45,IF(A46&lt;'Données projet'!$A$88,$BA$205^A46,IF(A46='Données projet'!$A$88,'Données projet'!$B$88,BD45+BC46-BL45)))</f>
        <v>186.35999999999999</v>
      </c>
      <c r="BE46" s="13">
        <f>BD46*VLOOKUP('Données projet'!$B$11,Paramètres!$A$1:$I$89,3,0)*VLOOKUP('Données projet'!$B$11,Paramètres!$A$1:$I$89,5,0)</f>
        <v>162.80409599999999</v>
      </c>
      <c r="BF46" s="13">
        <f t="shared" si="37"/>
        <v>41.47434614067982</v>
      </c>
      <c r="BG46" s="20">
        <f t="shared" si="7"/>
        <v>355.78495339501728</v>
      </c>
      <c r="BH46" s="59">
        <f t="shared" si="8"/>
        <v>620.61146649619582</v>
      </c>
      <c r="BI46" s="59">
        <f ca="1">AVERAGE(OFFSET($BH$3,0,0,'Données projet'!$E$11+1,1))-AVERAGE(OFFSET($H$3,0,0,'Données projet'!$E$11+1,1))</f>
        <v>385.40047672167555</v>
      </c>
      <c r="BJ46" s="59">
        <f t="shared" si="38"/>
        <v>286.49293757741611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6.8</v>
      </c>
      <c r="BY46" s="12">
        <f>IF('Données projet'!$A$114&gt;35,BY45+BX46-CG45,IF(A46&lt;'Données projet'!$A$114,$BV$205^A46,IF(A46='Données projet'!$A$114,'Données projet'!$B$114,BY45+BX46-CG45)))</f>
        <v>264.40000000000003</v>
      </c>
      <c r="BZ46" s="13">
        <f>BY46*VLOOKUP('Données projet'!$B$12,Paramètres!$A$1:$I$89,3,0)*VLOOKUP('Données projet'!$B$12,Paramètres!$A$1:$I$89,5,0)</f>
        <v>239.22912000000002</v>
      </c>
      <c r="CA46" s="13">
        <f t="shared" si="39"/>
        <v>58.273640852493379</v>
      </c>
      <c r="CB46" s="20">
        <f t="shared" si="10"/>
        <v>518.15064181809271</v>
      </c>
      <c r="CC46" s="59">
        <f t="shared" si="11"/>
        <v>782.97715491927124</v>
      </c>
      <c r="CD46" s="59">
        <f ca="1">AVERAGE(OFFSET($CC$3,0,0,'Données projet'!$E$12+1,1))-AVERAGE(OFFSET($H$3,0,0,'Données projet'!$E$12+1,1))</f>
        <v>397.12030701006762</v>
      </c>
      <c r="CE46" s="59">
        <f t="shared" si="40"/>
        <v>476.47513516380047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8.2993214722865201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8.2993214722865201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110.43805901666033</v>
      </c>
      <c r="CZ46" s="59">
        <f t="shared" si="42"/>
        <v>319.51880962151881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26.038650343634593</v>
      </c>
      <c r="DG46" s="21">
        <f>EXP(-LN(2)/25)*DG45+(1-EXP(-LN(2)/25))/(LN(2)/25)*Calculateur!DB46*Calculateur!DD46*VLOOKUP('Données projet'!$B$13,Paramètres!$A$1:$I$89,3,0)*0.475*44/12</f>
        <v>9.6582549171401677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35.696905260774763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3.3000000000000003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12.100000000000001</v>
      </c>
      <c r="H47" s="67">
        <f t="shared" si="1"/>
        <v>208.26666666666665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26.540000000000003</v>
      </c>
      <c r="N47" s="13">
        <f>IF('Données projet'!$A$36&gt;35,N46+M47-V46,IF(A47&lt;'Données projet'!$A$36,$K$205^A47,IF(A47='Données projet'!$A$36,'Données projet'!$B$36,N46+M47-V46)))</f>
        <v>545.96999999999991</v>
      </c>
      <c r="O47" s="13">
        <f>N47*VLOOKUP('Données projet'!$B$9,Paramètres!$A$1:$I$89,3,0)*VLOOKUP('Données projet'!$B$9,Paramètres!$A$1:$I$89,5,0)</f>
        <v>305.19722999999999</v>
      </c>
      <c r="P47" s="13">
        <f t="shared" si="33"/>
        <v>72.264910987948042</v>
      </c>
      <c r="Q47" s="20">
        <f t="shared" si="53"/>
        <v>657.41322888734283</v>
      </c>
      <c r="R47" s="59">
        <f t="shared" si="0"/>
        <v>922.73427158784693</v>
      </c>
      <c r="S47" s="59">
        <f ca="1">AVERAGE(OFFSET($R$3,0,0,'Données projet'!$E$9+1,1))-AVERAGE(OFFSET($H$3,0,0,'Données projet'!$E$9+1,1))</f>
        <v>414.37917672189968</v>
      </c>
      <c r="T47" s="59">
        <f t="shared" si="34"/>
        <v>546.83385887302961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49.207561409581217</v>
      </c>
      <c r="AA47" s="21">
        <f>EXP(-LN(2)/25)*AA46+(1-EXP(-LN(2)/25))/(LN(2)/25)*Calculateur!V47*Calculateur!X47*VLOOKUP('Données projet'!$B$9,Paramètres!$A$1:$I$89,3,0)*0.475*44/12</f>
        <v>38.112353093475477</v>
      </c>
      <c r="AB47" s="21">
        <f>EXP(-LN(2)/2)*AB46+(1-EXP(-LN(2)/2))/(LN(2)/2)*V47*Y47*VLOOKUP('Données projet'!$B$9,Paramètres!$A$1:$I$89,3,0)*0.475*44/12</f>
        <v>6.0498179971516928</v>
      </c>
      <c r="AC47" s="22">
        <f t="shared" si="3"/>
        <v>93.369732500208386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13.2</v>
      </c>
      <c r="AI47" s="13">
        <f>IF('Données projet'!$A$62&gt;35,AI46+AH47-AQ46,IF(A47&lt;'Données projet'!$A$62,$AF$205^A47,IF(A47='Données projet'!$A$62,'Données projet'!$B$62,AI46+AH47-AQ46)))</f>
        <v>300.8</v>
      </c>
      <c r="AJ47" s="13">
        <f>AI47*VLOOKUP('Données projet'!$B$10,Paramètres!$A$1:$I$89,3,0)*VLOOKUP('Données projet'!$B$10,Paramètres!$A$1:$I$89,5,0)</f>
        <v>187.69919999999999</v>
      </c>
      <c r="AK47" s="13">
        <f t="shared" si="35"/>
        <v>47.030918513510088</v>
      </c>
      <c r="AL47" s="20">
        <f t="shared" si="4"/>
        <v>408.82162307769676</v>
      </c>
      <c r="AM47" s="59">
        <f t="shared" si="5"/>
        <v>674.14266577820081</v>
      </c>
      <c r="AN47" s="59">
        <f ca="1">AVERAGE(OFFSET($AM$3,0,0,'Données projet'!$E$10+1,1))-AVERAGE(OFFSET($H$3,0,0,'Données projet'!$E$10+1,1))</f>
        <v>296.20984079604017</v>
      </c>
      <c r="AO47" s="59">
        <f t="shared" si="36"/>
        <v>351.8406329895206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33.555475622693301</v>
      </c>
      <c r="AV47" s="21">
        <f>EXP(-LN(2)/25)*AV46+(1-EXP(-LN(2)/25))/(LN(2)/25)*Calculateur!AQ47*Calculateur!AS47*VLOOKUP('Données projet'!$B$10,Paramètres!$A$1:$I$89,3,0)*0.475*44/12</f>
        <v>26.66846169415647</v>
      </c>
      <c r="AW47" s="21">
        <f>EXP(-LN(2)/2)*AW46+(1-EXP(-LN(2)/2))/(LN(2)/2)*AQ47*AT47*VLOOKUP('Données projet'!$B$10,Paramètres!$A$1:$I$89,3,0)*0.475*44/12</f>
        <v>1.916493179727585</v>
      </c>
      <c r="AX47" s="21">
        <f t="shared" si="6"/>
        <v>62.140430496577359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199.51</v>
      </c>
      <c r="BB47" s="12">
        <f>VLOOKUP(A47,'Données projet'!$A$87:$I$107,9,0)</f>
        <v>13.149999999999999</v>
      </c>
      <c r="BC47" s="12">
        <f t="array" ref="BC47">INDEX(BB:BB,MIN(IF(ISNUMBER(BB47:BB243),ROW(BB47:BB243),"")))</f>
        <v>13.149999999999999</v>
      </c>
      <c r="BD47" s="12">
        <f>IF('Données projet'!$A$88&gt;35,BD46+BC47-BL46,IF(A47&lt;'Données projet'!$A$88,$BA$205^A47,IF(A47='Données projet'!$A$88,'Données projet'!$B$88,BD46+BC47-BL46)))</f>
        <v>199.51</v>
      </c>
      <c r="BE47" s="13">
        <f>BD47*VLOOKUP('Données projet'!$B$11,Paramètres!$A$1:$I$89,3,0)*VLOOKUP('Données projet'!$B$11,Paramètres!$A$1:$I$89,5,0)</f>
        <v>174.29193599999999</v>
      </c>
      <c r="BF47" s="13">
        <f t="shared" si="37"/>
        <v>44.04987515000424</v>
      </c>
      <c r="BG47" s="20">
        <f t="shared" si="7"/>
        <v>380.27865441959062</v>
      </c>
      <c r="BH47" s="59">
        <f t="shared" si="8"/>
        <v>645.59969712009467</v>
      </c>
      <c r="BI47" s="59">
        <f ca="1">AVERAGE(OFFSET($BH$3,0,0,'Données projet'!$E$11+1,1))-AVERAGE(OFFSET($H$3,0,0,'Données projet'!$E$11+1,1))</f>
        <v>385.40047672167555</v>
      </c>
      <c r="BJ47" s="59">
        <f t="shared" si="38"/>
        <v>286.49293757741611</v>
      </c>
      <c r="BK47" s="15">
        <f>IF(ISNA(VLOOKUP(A47,'Données projet'!$A$87:$I$107,3,0)),0,VLOOKUP(A47,'Données projet'!$A$87:$I$107,3,0))</f>
        <v>5</v>
      </c>
      <c r="BL47" s="15">
        <f>IF(ISNA(VLOOKUP(A47,'Données projet'!$A$87:$I$107,4,0)),0,VLOOKUP(A47,'Données projet'!$A$87:$I$107,4,0))</f>
        <v>52.8</v>
      </c>
      <c r="BM47" s="16">
        <f>IF(ISNA(VLOOKUP(A47,'Données projet'!$A$87:$I$107,5,0)),0%,VLOOKUP(A47,'Données projet'!$A$87:$I$107,5,0)*VLOOKUP('Données projet'!$B$11,Paramètres!$A$1:$I$89,7,0))</f>
        <v>8.6000000000000007E-2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4.3852273041011811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4.3852273041011811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6.8</v>
      </c>
      <c r="BY47" s="12">
        <f>IF('Données projet'!$A$114&gt;35,BY46+BX47-CG46,IF(A47&lt;'Données projet'!$A$114,$BV$205^A47,IF(A47='Données projet'!$A$114,'Données projet'!$B$114,BY46+BX47-CG46)))</f>
        <v>271.20000000000005</v>
      </c>
      <c r="BZ47" s="13">
        <f>BY47*VLOOKUP('Données projet'!$B$12,Paramètres!$A$1:$I$89,3,0)*VLOOKUP('Données projet'!$B$12,Paramètres!$A$1:$I$89,5,0)</f>
        <v>245.38176000000004</v>
      </c>
      <c r="CA47" s="13">
        <f t="shared" si="39"/>
        <v>59.595943661626819</v>
      </c>
      <c r="CB47" s="20">
        <f t="shared" si="10"/>
        <v>531.16950054400002</v>
      </c>
      <c r="CC47" s="59">
        <f t="shared" si="11"/>
        <v>796.49054324450412</v>
      </c>
      <c r="CD47" s="59">
        <f ca="1">AVERAGE(OFFSET($CC$3,0,0,'Données projet'!$E$12+1,1))-AVERAGE(OFFSET($H$3,0,0,'Données projet'!$E$12+1,1))</f>
        <v>397.12030701006762</v>
      </c>
      <c r="CE47" s="59">
        <f t="shared" si="40"/>
        <v>476.47513516380047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8.13657684030124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8.13657684030124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110.43805901666033</v>
      </c>
      <c r="CZ47" s="59">
        <f t="shared" si="42"/>
        <v>319.51880962151881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25.52804829240441</v>
      </c>
      <c r="DG47" s="21">
        <f>EXP(-LN(2)/25)*DG46+(1-EXP(-LN(2)/25))/(LN(2)/25)*Calculateur!DB47*Calculateur!DD47*VLOOKUP('Données projet'!$B$13,Paramètres!$A$1:$I$89,3,0)*0.475*44/12</f>
        <v>9.3941494285254183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34.92219772092983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3.3000000000000003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12.100000000000001</v>
      </c>
      <c r="H48" s="67">
        <f t="shared" si="1"/>
        <v>208.26666666666665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572.51</v>
      </c>
      <c r="L48" s="12">
        <f>VLOOKUP(A48,'Données projet'!$A$35:$I$55,9,0)</f>
        <v>26.540000000000003</v>
      </c>
      <c r="M48" s="12">
        <f t="array" ref="M48">INDEX(L:L,MIN(IF(ISNUMBER(L48:L244),ROW(L48:L244),"")))</f>
        <v>26.540000000000003</v>
      </c>
      <c r="N48" s="13">
        <f>IF('Données projet'!$A$36&gt;35,N47+M48-V47,IF(A48&lt;'Données projet'!$A$36,$K$205^A48,IF(A48='Données projet'!$A$36,'Données projet'!$B$36,N47+M48-V47)))</f>
        <v>572.50999999999988</v>
      </c>
      <c r="O48" s="13">
        <f>N48*VLOOKUP('Données projet'!$B$9,Paramètres!$A$1:$I$89,3,0)*VLOOKUP('Données projet'!$B$9,Paramètres!$A$1:$I$89,5,0)</f>
        <v>320.03308999999996</v>
      </c>
      <c r="P48" s="13">
        <f t="shared" si="33"/>
        <v>75.360238639422761</v>
      </c>
      <c r="Q48" s="20">
        <f t="shared" si="53"/>
        <v>688.64338071366126</v>
      </c>
      <c r="R48" s="59">
        <f t="shared" si="0"/>
        <v>954.45037403054516</v>
      </c>
      <c r="S48" s="59">
        <f ca="1">AVERAGE(OFFSET($R$3,0,0,'Données projet'!$E$9+1,1))-AVERAGE(OFFSET($H$3,0,0,'Données projet'!$E$9+1,1))</f>
        <v>414.37917672189968</v>
      </c>
      <c r="T48" s="59">
        <f t="shared" si="34"/>
        <v>546.83385887302961</v>
      </c>
      <c r="U48" s="15">
        <f>IF(ISNA(VLOOKUP(A48,'Données projet'!$A$35:$I$55,3,0)),0,VLOOKUP(A48,'Données projet'!$A$35:$I$55,3,0))</f>
        <v>10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9.3500000000000014E-2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48.242631143988184</v>
      </c>
      <c r="AA48" s="21">
        <f>EXP(-LN(2)/25)*AA47+(1-EXP(-LN(2)/25))/(LN(2)/25)*Calculateur!V48*Calculateur!X48*VLOOKUP('Données projet'!$B$9,Paramètres!$A$1:$I$89,3,0)*0.475*44/12</f>
        <v>37.070168793892847</v>
      </c>
      <c r="AB48" s="21">
        <f>EXP(-LN(2)/2)*AB47+(1-EXP(-LN(2)/2))/(LN(2)/2)*V48*Y48*VLOOKUP('Données projet'!$B$9,Paramètres!$A$1:$I$89,3,0)*0.475*44/12</f>
        <v>4.2778673307303796</v>
      </c>
      <c r="AC48" s="22">
        <f t="shared" si="3"/>
        <v>89.590667268611412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314</v>
      </c>
      <c r="AG48" s="12">
        <f>VLOOKUP(A48,'Données projet'!$A$61:$I$81,9,0)</f>
        <v>13.2</v>
      </c>
      <c r="AH48" s="12">
        <f t="array" ref="AH48">INDEX(AG:AG,MIN(IF(ISNUMBER(AG48:AG244),ROW(AG48:AG244),"")))</f>
        <v>13.2</v>
      </c>
      <c r="AI48" s="13">
        <f>IF('Données projet'!$A$62&gt;35,AI47+AH48-AQ47,IF(A48&lt;'Données projet'!$A$62,$AF$205^A48,IF(A48='Données projet'!$A$62,'Données projet'!$B$62,AI47+AH48-AQ47)))</f>
        <v>314</v>
      </c>
      <c r="AJ48" s="13">
        <f>AI48*VLOOKUP('Données projet'!$B$10,Paramètres!$A$1:$I$89,3,0)*VLOOKUP('Données projet'!$B$10,Paramètres!$A$1:$I$89,5,0)</f>
        <v>195.93600000000001</v>
      </c>
      <c r="AK48" s="13">
        <f t="shared" si="35"/>
        <v>48.849959202565898</v>
      </c>
      <c r="AL48" s="20">
        <f t="shared" si="4"/>
        <v>426.33554561113556</v>
      </c>
      <c r="AM48" s="59">
        <f t="shared" si="5"/>
        <v>692.14253892801935</v>
      </c>
      <c r="AN48" s="59">
        <f ca="1">AVERAGE(OFFSET($AM$3,0,0,'Données projet'!$E$10+1,1))-AVERAGE(OFFSET($H$3,0,0,'Données projet'!$E$10+1,1))</f>
        <v>296.20984079604017</v>
      </c>
      <c r="AO48" s="59">
        <f t="shared" si="36"/>
        <v>351.8406329895206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36</v>
      </c>
      <c r="AR48" s="16">
        <f>IF(ISNA(VLOOKUP(A48,'Données projet'!$A$61:$I$81,5,0)),0%,VLOOKUP(A48,'Données projet'!$A$61:$I$81,5,0)*VLOOKUP('Données projet'!$B$10,Paramètres!$A$1:$I$89,7,0))</f>
        <v>0.36</v>
      </c>
      <c r="AS48" s="16">
        <f>IF(ISNA(VLOOKUP(A48,'Données projet'!$A$61:$I$81,6,0)),0%,VLOOKUP(A48,'Données projet'!$A$61:$I$81,6,0)*VLOOKUP('Données projet'!$B$10,Paramètres!$A$1:$I$89,7,0))</f>
        <v>0.13200000000000001</v>
      </c>
      <c r="AT48" s="16">
        <f>IF(ISNA(VLOOKUP(A48,'Données projet'!$A$61:$I$81,7,0)),0%,VLOOKUP(A48,'Données projet'!$A$61:$I$81,7,0))</f>
        <v>0.18</v>
      </c>
      <c r="AU48" s="21">
        <f>EXP(-LN(2)/35)*AU47+(1-EXP(-LN(2)/35))/(LN(2)/35)*AQ48*AR48*VLOOKUP('Données projet'!$B$10,Paramètres!$A$1:$I$89,3,0)*0.475*44/12</f>
        <v>43.625453026269263</v>
      </c>
      <c r="AV48" s="21">
        <f>EXP(-LN(2)/25)*AV47+(1-EXP(-LN(2)/25))/(LN(2)/25)*Calculateur!AQ48*Calculateur!AS48*VLOOKUP('Données projet'!$B$10,Paramètres!$A$1:$I$89,3,0)*0.475*44/12</f>
        <v>29.85731575218346</v>
      </c>
      <c r="AW48" s="21">
        <f>EXP(-LN(2)/2)*AW47+(1-EXP(-LN(2)/2))/(LN(2)/2)*AQ48*AT48*VLOOKUP('Données projet'!$B$10,Paramètres!$A$1:$I$89,3,0)*0.475*44/12</f>
        <v>5.933369263177358</v>
      </c>
      <c r="AX48" s="21">
        <f t="shared" si="6"/>
        <v>79.416138041630077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12.456666666666678</v>
      </c>
      <c r="BD48" s="12">
        <f>IF('Données projet'!$A$88&gt;35,BD47+BC48-BL47,IF(A48&lt;'Données projet'!$A$88,$BA$205^A48,IF(A48='Données projet'!$A$88,'Données projet'!$B$88,BD47+BC48-BL47)))</f>
        <v>159.16666666666669</v>
      </c>
      <c r="BE48" s="13">
        <f>BD48*VLOOKUP('Données projet'!$B$11,Paramètres!$A$1:$I$89,3,0)*VLOOKUP('Données projet'!$B$11,Paramètres!$A$1:$I$89,5,0)</f>
        <v>139.04800000000003</v>
      </c>
      <c r="BF48" s="13">
        <f t="shared" si="37"/>
        <v>36.078829132999289</v>
      </c>
      <c r="BG48" s="20">
        <f t="shared" si="7"/>
        <v>305.01256073997382</v>
      </c>
      <c r="BH48" s="59">
        <f t="shared" si="8"/>
        <v>570.81955405685767</v>
      </c>
      <c r="BI48" s="59">
        <f ca="1">AVERAGE(OFFSET($BH$3,0,0,'Données projet'!$E$11+1,1))-AVERAGE(OFFSET($H$3,0,0,'Données projet'!$E$11+1,1))</f>
        <v>385.40047672167555</v>
      </c>
      <c r="BJ48" s="59">
        <f t="shared" si="38"/>
        <v>286.49293757741611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4.2992356713923057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4.2992356713923057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278</v>
      </c>
      <c r="BW48" s="12">
        <f>VLOOKUP(A48,'Données projet'!$A$113:$I$133,9,0)</f>
        <v>6.8</v>
      </c>
      <c r="BX48" s="12">
        <f t="array" ref="BX48">INDEX(BW:BW,MIN(IF(ISNUMBER(BW48:BW244),ROW(BW48:BW244),"")))</f>
        <v>6.8</v>
      </c>
      <c r="BY48" s="12">
        <f>IF('Données projet'!$A$114&gt;35,BY47+BX48-CG47,IF(A48&lt;'Données projet'!$A$114,$BV$205^A48,IF(A48='Données projet'!$A$114,'Données projet'!$B$114,BY47+BX48-CG47)))</f>
        <v>278.00000000000006</v>
      </c>
      <c r="BZ48" s="13">
        <f>BY48*VLOOKUP('Données projet'!$B$12,Paramètres!$A$1:$I$89,3,0)*VLOOKUP('Données projet'!$B$12,Paramètres!$A$1:$I$89,5,0)</f>
        <v>251.53440000000003</v>
      </c>
      <c r="CA48" s="13">
        <f t="shared" si="39"/>
        <v>60.914392418364585</v>
      </c>
      <c r="CB48" s="20">
        <f t="shared" si="10"/>
        <v>544.18164679531833</v>
      </c>
      <c r="CC48" s="59">
        <f t="shared" si="11"/>
        <v>809.98864011220212</v>
      </c>
      <c r="CD48" s="59">
        <f ca="1">AVERAGE(OFFSET($CC$3,0,0,'Données projet'!$E$12+1,1))-AVERAGE(OFFSET($H$3,0,0,'Données projet'!$E$12+1,1))</f>
        <v>397.12030701006762</v>
      </c>
      <c r="CE48" s="59">
        <f t="shared" si="40"/>
        <v>476.47513516380047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14</v>
      </c>
      <c r="CH48" s="16">
        <f>IF(ISNA(VLOOKUP(A48,'Données projet'!$A$113:$I$133,5,0)),0%,VLOOKUP(A48,'Données projet'!$A$113:$I$133,5,0)*VLOOKUP('Données projet'!$B$12,Paramètres!$A$1:$I$89,7,0))</f>
        <v>0.15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10.077505690027735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10.077505690027735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110.43805901666033</v>
      </c>
      <c r="CZ48" s="59">
        <f t="shared" si="42"/>
        <v>319.51880962151881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25.027458835962353</v>
      </c>
      <c r="DG48" s="21">
        <f>EXP(-LN(2)/25)*DG47+(1-EXP(-LN(2)/25))/(LN(2)/25)*Calculateur!DB48*Calculateur!DD48*VLOOKUP('Données projet'!$B$13,Paramètres!$A$1:$I$89,3,0)*0.475*44/12</f>
        <v>9.1372659183855429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34.164724754347894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3.3000000000000003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12.100000000000001</v>
      </c>
      <c r="H49" s="67">
        <f t="shared" si="1"/>
        <v>208.26666666666665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27.513333333333321</v>
      </c>
      <c r="N49" s="13">
        <f>IF('Données projet'!$A$36&gt;35,N48+M49-V48,IF(A49&lt;'Données projet'!$A$36,$K$205^A49,IF(A49='Données projet'!$A$36,'Données projet'!$B$36,N48+M49-V48)))</f>
        <v>600.0233333333332</v>
      </c>
      <c r="O49" s="13">
        <f>N49*VLOOKUP('Données projet'!$B$9,Paramètres!$A$1:$I$89,3,0)*VLOOKUP('Données projet'!$B$9,Paramètres!$A$1:$I$89,5,0)</f>
        <v>335.41304333333329</v>
      </c>
      <c r="P49" s="13">
        <f t="shared" si="33"/>
        <v>78.551504260466714</v>
      </c>
      <c r="Q49" s="20">
        <f t="shared" si="53"/>
        <v>720.98825372586828</v>
      </c>
      <c r="R49" s="59">
        <f t="shared" si="0"/>
        <v>987.27276750236047</v>
      </c>
      <c r="S49" s="59">
        <f ca="1">AVERAGE(OFFSET($R$3,0,0,'Données projet'!$E$9+1,1))-AVERAGE(OFFSET($H$3,0,0,'Données projet'!$E$9+1,1))</f>
        <v>414.37917672189968</v>
      </c>
      <c r="T49" s="59">
        <f t="shared" si="34"/>
        <v>546.83385887302961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47.296622572354089</v>
      </c>
      <c r="AA49" s="21">
        <f>EXP(-LN(2)/25)*AA48+(1-EXP(-LN(2)/25))/(LN(2)/25)*Calculateur!V49*Calculateur!X49*VLOOKUP('Données projet'!$B$9,Paramètres!$A$1:$I$89,3,0)*0.475*44/12</f>
        <v>36.056483078788396</v>
      </c>
      <c r="AB49" s="21">
        <f>EXP(-LN(2)/2)*AB48+(1-EXP(-LN(2)/2))/(LN(2)/2)*V49*Y49*VLOOKUP('Données projet'!$B$9,Paramètres!$A$1:$I$89,3,0)*0.475*44/12</f>
        <v>3.0249089985758468</v>
      </c>
      <c r="AC49" s="22">
        <f t="shared" si="3"/>
        <v>86.378014649718338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11.6</v>
      </c>
      <c r="AI49" s="13">
        <f>IF('Données projet'!$A$62&gt;35,AI48+AH49-AQ48,IF(A49&lt;'Données projet'!$A$62,$AF$205^A49,IF(A49='Données projet'!$A$62,'Données projet'!$B$62,AI48+AH49-AQ48)))</f>
        <v>289.60000000000002</v>
      </c>
      <c r="AJ49" s="13">
        <f>AI49*VLOOKUP('Données projet'!$B$10,Paramètres!$A$1:$I$89,3,0)*VLOOKUP('Données projet'!$B$10,Paramètres!$A$1:$I$89,5,0)</f>
        <v>180.71040000000002</v>
      </c>
      <c r="AK49" s="13">
        <f t="shared" si="35"/>
        <v>45.480200827766055</v>
      </c>
      <c r="AL49" s="20">
        <f t="shared" si="4"/>
        <v>393.94862977502589</v>
      </c>
      <c r="AM49" s="59">
        <f t="shared" si="5"/>
        <v>660.2331435515182</v>
      </c>
      <c r="AN49" s="59">
        <f ca="1">AVERAGE(OFFSET($AM$3,0,0,'Données projet'!$E$10+1,1))-AVERAGE(OFFSET($H$3,0,0,'Données projet'!$E$10+1,1))</f>
        <v>296.20984079604017</v>
      </c>
      <c r="AO49" s="59">
        <f t="shared" si="36"/>
        <v>351.8406329895206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42.769984501323059</v>
      </c>
      <c r="AV49" s="21">
        <f>EXP(-LN(2)/25)*AV48+(1-EXP(-LN(2)/25))/(LN(2)/25)*Calculateur!AQ49*Calculateur!AS49*VLOOKUP('Données projet'!$B$10,Paramètres!$A$1:$I$89,3,0)*0.475*44/12</f>
        <v>29.040865882812007</v>
      </c>
      <c r="AW49" s="21">
        <f>EXP(-LN(2)/2)*AW48+(1-EXP(-LN(2)/2))/(LN(2)/2)*AQ49*AT49*VLOOKUP('Données projet'!$B$10,Paramètres!$A$1:$I$89,3,0)*0.475*44/12</f>
        <v>4.1955256412765394</v>
      </c>
      <c r="AX49" s="21">
        <f t="shared" si="6"/>
        <v>76.006376025411612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12.456666666666678</v>
      </c>
      <c r="BD49" s="12">
        <f>IF('Données projet'!$A$88&gt;35,BD48+BC49-BL48,IF(A49&lt;'Données projet'!$A$88,$BA$205^A49,IF(A49='Données projet'!$A$88,'Données projet'!$B$88,BD48+BC49-BL48)))</f>
        <v>171.62333333333336</v>
      </c>
      <c r="BE49" s="13">
        <f>BD49*VLOOKUP('Données projet'!$B$11,Paramètres!$A$1:$I$89,3,0)*VLOOKUP('Données projet'!$B$11,Paramètres!$A$1:$I$89,5,0)</f>
        <v>149.93014400000004</v>
      </c>
      <c r="BF49" s="13">
        <f t="shared" si="37"/>
        <v>38.562710163831589</v>
      </c>
      <c r="BG49" s="20">
        <f t="shared" si="7"/>
        <v>328.29172100200674</v>
      </c>
      <c r="BH49" s="59">
        <f t="shared" si="8"/>
        <v>594.57623477849893</v>
      </c>
      <c r="BI49" s="59">
        <f ca="1">AVERAGE(OFFSET($BH$3,0,0,'Données projet'!$E$11+1,1))-AVERAGE(OFFSET($H$3,0,0,'Données projet'!$E$11+1,1))</f>
        <v>385.40047672167555</v>
      </c>
      <c r="BJ49" s="59">
        <f t="shared" si="38"/>
        <v>286.49293757741611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4.2149302821511343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4.2149302821511343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6.2</v>
      </c>
      <c r="BY49" s="12">
        <f>IF('Données projet'!$A$114&gt;35,BY48+BX49-CG48,IF(A49&lt;'Données projet'!$A$114,$BV$205^A49,IF(A49='Données projet'!$A$114,'Données projet'!$B$114,BY48+BX49-CG48)))</f>
        <v>270.20000000000005</v>
      </c>
      <c r="BZ49" s="13">
        <f>BY49*VLOOKUP('Données projet'!$B$12,Paramètres!$A$1:$I$89,3,0)*VLOOKUP('Données projet'!$B$12,Paramètres!$A$1:$I$89,5,0)</f>
        <v>244.47696000000002</v>
      </c>
      <c r="CA49" s="13">
        <f t="shared" si="39"/>
        <v>59.401731670234192</v>
      </c>
      <c r="CB49" s="20">
        <f t="shared" si="10"/>
        <v>529.25538799232447</v>
      </c>
      <c r="CC49" s="59">
        <f t="shared" si="11"/>
        <v>795.53990176881666</v>
      </c>
      <c r="CD49" s="59">
        <f ca="1">AVERAGE(OFFSET($CC$3,0,0,'Données projet'!$E$12+1,1))-AVERAGE(OFFSET($H$3,0,0,'Données projet'!$E$12+1,1))</f>
        <v>397.12030701006762</v>
      </c>
      <c r="CE49" s="59">
        <f t="shared" si="40"/>
        <v>476.47513516380047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9.8798919501178286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9.8798919501178286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110.43805901666033</v>
      </c>
      <c r="CZ49" s="59">
        <f t="shared" si="42"/>
        <v>319.51880962151881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24.536685633431702</v>
      </c>
      <c r="DG49" s="21">
        <f>EXP(-LN(2)/25)*DG48+(1-EXP(-LN(2)/25))/(LN(2)/25)*Calculateur!DB49*Calculateur!DD49*VLOOKUP('Données projet'!$B$13,Paramètres!$A$1:$I$89,3,0)*0.475*44/12</f>
        <v>8.8874069013393591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33.424092534771063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3.3000000000000003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12.100000000000001</v>
      </c>
      <c r="H50" s="67">
        <f t="shared" si="1"/>
        <v>208.26666666666665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27.513333333333321</v>
      </c>
      <c r="N50" s="13">
        <f>IF('Données projet'!$A$36&gt;35,N49+M50-V49,IF(A50&lt;'Données projet'!$A$36,$K$205^A50,IF(A50='Données projet'!$A$36,'Données projet'!$B$36,N49+M50-V49)))</f>
        <v>627.53666666666652</v>
      </c>
      <c r="O50" s="13">
        <f>N50*VLOOKUP('Données projet'!$B$9,Paramètres!$A$1:$I$89,3,0)*VLOOKUP('Données projet'!$B$9,Paramètres!$A$1:$I$89,5,0)</f>
        <v>350.79299666666657</v>
      </c>
      <c r="P50" s="13">
        <f t="shared" si="33"/>
        <v>81.725775973951414</v>
      </c>
      <c r="Q50" s="20">
        <f t="shared" si="53"/>
        <v>753.30352901574281</v>
      </c>
      <c r="R50" s="59">
        <f t="shared" si="0"/>
        <v>1020.0572793394451</v>
      </c>
      <c r="S50" s="59">
        <f ca="1">AVERAGE(OFFSET($R$3,0,0,'Données projet'!$E$9+1,1))-AVERAGE(OFFSET($H$3,0,0,'Données projet'!$E$9+1,1))</f>
        <v>414.37917672189968</v>
      </c>
      <c r="T50" s="59">
        <f t="shared" si="34"/>
        <v>546.83385887302961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46.369164651801484</v>
      </c>
      <c r="AA50" s="21">
        <f>EXP(-LN(2)/25)*AA49+(1-EXP(-LN(2)/25))/(LN(2)/25)*Calculateur!V50*Calculateur!X50*VLOOKUP('Données projet'!$B$9,Paramètres!$A$1:$I$89,3,0)*0.475*44/12</f>
        <v>35.070516652870893</v>
      </c>
      <c r="AB50" s="21">
        <f>EXP(-LN(2)/2)*AB49+(1-EXP(-LN(2)/2))/(LN(2)/2)*V50*Y50*VLOOKUP('Données projet'!$B$9,Paramètres!$A$1:$I$89,3,0)*0.475*44/12</f>
        <v>2.1389336653651903</v>
      </c>
      <c r="AC50" s="22">
        <f t="shared" si="3"/>
        <v>83.578614970037563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11.6</v>
      </c>
      <c r="AI50" s="13">
        <f>IF('Données projet'!$A$62&gt;35,AI49+AH50-AQ49,IF(A50&lt;'Données projet'!$A$62,$AF$205^A50,IF(A50='Données projet'!$A$62,'Données projet'!$B$62,AI49+AH50-AQ49)))</f>
        <v>301.20000000000005</v>
      </c>
      <c r="AJ50" s="13">
        <f>AI50*VLOOKUP('Données projet'!$B$10,Paramètres!$A$1:$I$89,3,0)*VLOOKUP('Données projet'!$B$10,Paramètres!$A$1:$I$89,5,0)</f>
        <v>187.94880000000003</v>
      </c>
      <c r="AK50" s="13">
        <f t="shared" si="35"/>
        <v>47.086175568004293</v>
      </c>
      <c r="AL50" s="20">
        <f t="shared" si="4"/>
        <v>409.35258244760752</v>
      </c>
      <c r="AM50" s="59">
        <f t="shared" si="5"/>
        <v>676.10633277130978</v>
      </c>
      <c r="AN50" s="59">
        <f ca="1">AVERAGE(OFFSET($AM$3,0,0,'Données projet'!$E$10+1,1))-AVERAGE(OFFSET($H$3,0,0,'Données projet'!$E$10+1,1))</f>
        <v>296.20984079604017</v>
      </c>
      <c r="AO50" s="59">
        <f t="shared" si="36"/>
        <v>351.8406329895206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41.931291192366771</v>
      </c>
      <c r="AV50" s="21">
        <f>EXP(-LN(2)/25)*AV49+(1-EXP(-LN(2)/25))/(LN(2)/25)*Calculateur!AQ50*Calculateur!AS50*VLOOKUP('Données projet'!$B$10,Paramètres!$A$1:$I$89,3,0)*0.475*44/12</f>
        <v>28.246741878053751</v>
      </c>
      <c r="AW50" s="21">
        <f>EXP(-LN(2)/2)*AW49+(1-EXP(-LN(2)/2))/(LN(2)/2)*AQ50*AT50*VLOOKUP('Données projet'!$B$10,Paramètres!$A$1:$I$89,3,0)*0.475*44/12</f>
        <v>2.9666846315886795</v>
      </c>
      <c r="AX50" s="21">
        <f t="shared" si="6"/>
        <v>73.144717702009203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>
        <f>VLOOKUP(A50,'Données projet'!$A$87:$I$107,2,0)</f>
        <v>184.08</v>
      </c>
      <c r="BB50" s="12">
        <f>VLOOKUP(A50,'Données projet'!$A$87:$I$107,9,0)</f>
        <v>12.456666666666678</v>
      </c>
      <c r="BC50" s="12">
        <f t="array" ref="BC50">INDEX(BB:BB,MIN(IF(ISNUMBER(BB50:BB246),ROW(BB50:BB246),"")))</f>
        <v>12.456666666666678</v>
      </c>
      <c r="BD50" s="12">
        <f>IF('Données projet'!$A$88&gt;35,BD49+BC50-BL49,IF(A50&lt;'Données projet'!$A$88,$BA$205^A50,IF(A50='Données projet'!$A$88,'Données projet'!$B$88,BD49+BC50-BL49)))</f>
        <v>184.08000000000004</v>
      </c>
      <c r="BE50" s="13">
        <f>BD50*VLOOKUP('Données projet'!$B$11,Paramètres!$A$1:$I$89,3,0)*VLOOKUP('Données projet'!$B$11,Paramètres!$A$1:$I$89,5,0)</f>
        <v>160.81228800000005</v>
      </c>
      <c r="BF50" s="13">
        <f t="shared" si="37"/>
        <v>41.025675200316293</v>
      </c>
      <c r="BG50" s="20">
        <f t="shared" si="7"/>
        <v>351.53445257388427</v>
      </c>
      <c r="BH50" s="59">
        <f t="shared" si="8"/>
        <v>618.28820289758664</v>
      </c>
      <c r="BI50" s="59">
        <f ca="1">AVERAGE(OFFSET($BH$3,0,0,'Données projet'!$E$11+1,1))-AVERAGE(OFFSET($H$3,0,0,'Données projet'!$E$11+1,1))</f>
        <v>385.40047672167555</v>
      </c>
      <c r="BJ50" s="59">
        <f t="shared" si="38"/>
        <v>286.49293757741611</v>
      </c>
      <c r="BK50" s="15">
        <f>IF(ISNA(VLOOKUP(A50,'Données projet'!$A$87:$I$107,3,0)),0,VLOOKUP(A50,'Données projet'!$A$87:$I$107,3,0))</f>
        <v>6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8.6000000000000007E-2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4.1322780701717718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4.1322780701717718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6.2</v>
      </c>
      <c r="BY50" s="12">
        <f>IF('Données projet'!$A$114&gt;35,BY49+BX50-CG49,IF(A50&lt;'Données projet'!$A$114,$BV$205^A50,IF(A50='Données projet'!$A$114,'Données projet'!$B$114,BY49+BX50-CG49)))</f>
        <v>276.40000000000003</v>
      </c>
      <c r="BZ50" s="13">
        <f>BY50*VLOOKUP('Données projet'!$B$12,Paramètres!$A$1:$I$89,3,0)*VLOOKUP('Données projet'!$B$12,Paramètres!$A$1:$I$89,5,0)</f>
        <v>250.08672000000001</v>
      </c>
      <c r="CA50" s="13">
        <f t="shared" si="39"/>
        <v>60.604510260306157</v>
      </c>
      <c r="CB50" s="20">
        <f t="shared" si="10"/>
        <v>541.12055937003322</v>
      </c>
      <c r="CC50" s="59">
        <f t="shared" si="11"/>
        <v>807.87430969373554</v>
      </c>
      <c r="CD50" s="59">
        <f ca="1">AVERAGE(OFFSET($CC$3,0,0,'Données projet'!$E$12+1,1))-AVERAGE(OFFSET($H$3,0,0,'Données projet'!$E$12+1,1))</f>
        <v>397.12030701006762</v>
      </c>
      <c r="CE50" s="59">
        <f t="shared" si="40"/>
        <v>476.47513516380047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9.6861532951150764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9.6861532951150764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110.43805901666033</v>
      </c>
      <c r="CZ50" s="59">
        <f t="shared" si="42"/>
        <v>319.51880962151881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24.055536194060583</v>
      </c>
      <c r="DG50" s="21">
        <f>EXP(-LN(2)/25)*DG49+(1-EXP(-LN(2)/25))/(LN(2)/25)*Calculateur!DB50*Calculateur!DD50*VLOOKUP('Données projet'!$B$13,Paramètres!$A$1:$I$89,3,0)*0.475*44/12</f>
        <v>8.6443802922538175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32.6999164863144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3.3000000000000003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12.100000000000001</v>
      </c>
      <c r="H51" s="67">
        <f t="shared" si="1"/>
        <v>208.26666666666665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655.04999999999995</v>
      </c>
      <c r="L51" s="12">
        <f>VLOOKUP(A51,'Données projet'!$A$35:$I$55,9,0)</f>
        <v>27.513333333333321</v>
      </c>
      <c r="M51" s="12">
        <f t="array" ref="M51">INDEX(L:L,MIN(IF(ISNUMBER(L51:L247),ROW(L51:L247),"")))</f>
        <v>27.513333333333321</v>
      </c>
      <c r="N51" s="13">
        <f>IF('Données projet'!$A$36&gt;35,N50+M51-V50,IF(A51&lt;'Données projet'!$A$36,$K$205^A51,IF(A51='Données projet'!$A$36,'Données projet'!$B$36,N50+M51-V50)))</f>
        <v>655.04999999999984</v>
      </c>
      <c r="O51" s="13">
        <f>N51*VLOOKUP('Données projet'!$B$9,Paramètres!$A$1:$I$89,3,0)*VLOOKUP('Données projet'!$B$9,Paramètres!$A$1:$I$89,5,0)</f>
        <v>366.1729499999999</v>
      </c>
      <c r="P51" s="13">
        <f t="shared" si="33"/>
        <v>84.883884000754321</v>
      </c>
      <c r="Q51" s="20">
        <f t="shared" si="53"/>
        <v>785.59065255131361</v>
      </c>
      <c r="R51" s="59">
        <f t="shared" si="0"/>
        <v>1052.8054992171876</v>
      </c>
      <c r="S51" s="59">
        <f ca="1">AVERAGE(OFFSET($R$3,0,0,'Données projet'!$E$9+1,1))-AVERAGE(OFFSET($H$3,0,0,'Données projet'!$E$9+1,1))</f>
        <v>414.37917672189968</v>
      </c>
      <c r="T51" s="59">
        <f t="shared" si="34"/>
        <v>546.83385887302961</v>
      </c>
      <c r="U51" s="15">
        <f>IF(ISNA(VLOOKUP(A51,'Données projet'!$A$35:$I$55,3,0)),0,VLOOKUP(A51,'Données projet'!$A$35:$I$55,3,0))</f>
        <v>11</v>
      </c>
      <c r="V51" s="15">
        <f>IF(ISNA(VLOOKUP(A51,'Données projet'!$A$35:$I$55,4,0)),0,VLOOKUP(A51,'Données projet'!$A$35:$I$55,4,0))</f>
        <v>101</v>
      </c>
      <c r="W51" s="16">
        <f>IF(ISNA(VLOOKUP(A51,'Données projet'!$A$35:$I$55,5,0)),0%,VLOOKUP(A51,'Données projet'!$A$35:$I$55,5,0)*VLOOKUP('Données projet'!$B$9,Paramètres!$A$1:$I$89,7,0))</f>
        <v>0.44000000000000006</v>
      </c>
      <c r="X51" s="16">
        <f>IF(ISNA(VLOOKUP(A51,'Données projet'!$A$35:$I$55,6,0)),0%,VLOOKUP(A51,'Données projet'!$A$35:$I$55,6,0)*VLOOKUP('Données projet'!$B$9,Paramètres!$A$1:$I$89,7,0))</f>
        <v>6.0500000000000005E-2</v>
      </c>
      <c r="Y51" s="16">
        <f>IF(ISNA(VLOOKUP(A51,'Données projet'!$A$35:$I$55,7,0)),0%,VLOOKUP(A51,'Données projet'!$A$35:$I$55,7,0))</f>
        <v>0.09</v>
      </c>
      <c r="Z51" s="21">
        <f>EXP(-LN(2)/35)*Z50+(1-EXP(-LN(2)/35))/(LN(2)/35)*V51*W51*VLOOKUP('Données projet'!$B$9,Paramètres!$A$1:$I$89,3,0)*0.475*44/12</f>
        <v>78.414354754828281</v>
      </c>
      <c r="AA51" s="21">
        <f>EXP(-LN(2)/25)*AA50+(1-EXP(-LN(2)/25))/(LN(2)/25)*Calculateur!V51*Calculateur!X51*VLOOKUP('Données projet'!$B$9,Paramètres!$A$1:$I$89,3,0)*0.475*44/12</f>
        <v>38.624908725250044</v>
      </c>
      <c r="AB51" s="21">
        <f>EXP(-LN(2)/2)*AB50+(1-EXP(-LN(2)/2))/(LN(2)/2)*V51*Y51*VLOOKUP('Données projet'!$B$9,Paramètres!$A$1:$I$89,3,0)*0.475*44/12</f>
        <v>7.2656777950321301</v>
      </c>
      <c r="AC51" s="22">
        <f t="shared" si="3"/>
        <v>124.30494127511045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11.6</v>
      </c>
      <c r="AI51" s="13">
        <f>IF('Données projet'!$A$62&gt;35,AI50+AH51-AQ50,IF(A51&lt;'Données projet'!$A$62,$AF$205^A51,IF(A51='Données projet'!$A$62,'Données projet'!$B$62,AI50+AH51-AQ50)))</f>
        <v>312.80000000000007</v>
      </c>
      <c r="AJ51" s="13">
        <f>AI51*VLOOKUP('Données projet'!$B$10,Paramètres!$A$1:$I$89,3,0)*VLOOKUP('Données projet'!$B$10,Paramètres!$A$1:$I$89,5,0)</f>
        <v>195.18720000000005</v>
      </c>
      <c r="AK51" s="13">
        <f t="shared" si="35"/>
        <v>48.684965171431614</v>
      </c>
      <c r="AL51" s="20">
        <f t="shared" si="4"/>
        <v>424.74402100691015</v>
      </c>
      <c r="AM51" s="59">
        <f t="shared" si="5"/>
        <v>691.95886767278421</v>
      </c>
      <c r="AN51" s="59">
        <f ca="1">AVERAGE(OFFSET($AM$3,0,0,'Données projet'!$E$10+1,1))-AVERAGE(OFFSET($H$3,0,0,'Données projet'!$E$10+1,1))</f>
        <v>296.20984079604017</v>
      </c>
      <c r="AO51" s="59">
        <f t="shared" si="36"/>
        <v>351.8406329895206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41.109044147646706</v>
      </c>
      <c r="AV51" s="21">
        <f>EXP(-LN(2)/25)*AV50+(1-EXP(-LN(2)/25))/(LN(2)/25)*Calculateur!AQ51*Calculateur!AS51*VLOOKUP('Données projet'!$B$10,Paramètres!$A$1:$I$89,3,0)*0.475*44/12</f>
        <v>27.474333235966775</v>
      </c>
      <c r="AW51" s="21">
        <f>EXP(-LN(2)/2)*AW50+(1-EXP(-LN(2)/2))/(LN(2)/2)*AQ51*AT51*VLOOKUP('Données projet'!$B$10,Paramètres!$A$1:$I$89,3,0)*0.475*44/12</f>
        <v>2.0977628206382697</v>
      </c>
      <c r="AX51" s="21">
        <f t="shared" si="6"/>
        <v>70.681140204251747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13.097499999999997</v>
      </c>
      <c r="BD51" s="12">
        <f>IF('Données projet'!$A$88&gt;35,BD50+BC51-BL50,IF(A51&lt;'Données projet'!$A$88,$BA$205^A51,IF(A51='Données projet'!$A$88,'Données projet'!$B$88,BD50+BC51-BL50)))</f>
        <v>197.17750000000004</v>
      </c>
      <c r="BE51" s="13">
        <f>BD51*VLOOKUP('Données projet'!$B$11,Paramètres!$A$1:$I$89,3,0)*VLOOKUP('Données projet'!$B$11,Paramètres!$A$1:$I$89,5,0)</f>
        <v>172.25426400000003</v>
      </c>
      <c r="BF51" s="13">
        <f t="shared" si="37"/>
        <v>43.594515997898675</v>
      </c>
      <c r="BG51" s="20">
        <f t="shared" si="7"/>
        <v>375.93662516300691</v>
      </c>
      <c r="BH51" s="59">
        <f t="shared" si="8"/>
        <v>643.15147182888097</v>
      </c>
      <c r="BI51" s="59">
        <f ca="1">AVERAGE(OFFSET($BH$3,0,0,'Données projet'!$E$11+1,1))-AVERAGE(OFFSET($H$3,0,0,'Données projet'!$E$11+1,1))</f>
        <v>385.40047672167555</v>
      </c>
      <c r="BJ51" s="59">
        <f t="shared" si="38"/>
        <v>286.49293757741611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4.051246617656453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4.051246617656453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6.2</v>
      </c>
      <c r="BY51" s="12">
        <f>IF('Données projet'!$A$114&gt;35,BY50+BX51-CG50,IF(A51&lt;'Données projet'!$A$114,$BV$205^A51,IF(A51='Données projet'!$A$114,'Données projet'!$B$114,BY50+BX51-CG50)))</f>
        <v>282.60000000000002</v>
      </c>
      <c r="BZ51" s="13">
        <f>BY51*VLOOKUP('Données projet'!$B$12,Paramètres!$A$1:$I$89,3,0)*VLOOKUP('Données projet'!$B$12,Paramètres!$A$1:$I$89,5,0)</f>
        <v>255.69648000000004</v>
      </c>
      <c r="CA51" s="13">
        <f t="shared" si="39"/>
        <v>61.804152215495037</v>
      </c>
      <c r="CB51" s="20">
        <f t="shared" si="10"/>
        <v>552.98026777532061</v>
      </c>
      <c r="CC51" s="59">
        <f t="shared" si="11"/>
        <v>820.19511444119462</v>
      </c>
      <c r="CD51" s="59">
        <f ca="1">AVERAGE(OFFSET($CC$3,0,0,'Données projet'!$E$12+1,1))-AVERAGE(OFFSET($H$3,0,0,'Données projet'!$E$12+1,1))</f>
        <v>397.12030701006762</v>
      </c>
      <c r="CE51" s="59">
        <f t="shared" si="40"/>
        <v>476.47513516380047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9.4962137369680164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9.4962137369680164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110.43805901666033</v>
      </c>
      <c r="CZ51" s="59">
        <f t="shared" si="42"/>
        <v>319.51880962151881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23.583821801723349</v>
      </c>
      <c r="DG51" s="21">
        <f>EXP(-LN(2)/25)*DG50+(1-EXP(-LN(2)/25))/(LN(2)/25)*Calculateur!DB51*Calculateur!DD51*VLOOKUP('Données projet'!$B$13,Paramètres!$A$1:$I$89,3,0)*0.475*44/12</f>
        <v>8.407999258573934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31.991821060297283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3.3000000000000003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12.100000000000001</v>
      </c>
      <c r="H52" s="67">
        <f t="shared" si="1"/>
        <v>208.26666666666665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25.226666666666688</v>
      </c>
      <c r="N52" s="13">
        <f>IF('Données projet'!$A$36&gt;35,N51+M52-V51,IF(A52&lt;'Données projet'!$A$36,$K$205^A52,IF(A52='Données projet'!$A$36,'Données projet'!$B$36,N51+M52-V51)))</f>
        <v>579.27666666666653</v>
      </c>
      <c r="O52" s="13">
        <f>N52*VLOOKUP('Données projet'!$B$9,Paramètres!$A$1:$I$89,3,0)*VLOOKUP('Données projet'!$B$9,Paramètres!$A$1:$I$89,5,0)</f>
        <v>323.8156566666666</v>
      </c>
      <c r="P52" s="13">
        <f t="shared" si="33"/>
        <v>76.146726708135702</v>
      </c>
      <c r="Q52" s="20">
        <f t="shared" si="53"/>
        <v>696.60115104444731</v>
      </c>
      <c r="R52" s="59">
        <f t="shared" si="0"/>
        <v>964.26909506181335</v>
      </c>
      <c r="S52" s="59">
        <f ca="1">AVERAGE(OFFSET($R$3,0,0,'Données projet'!$E$9+1,1))-AVERAGE(OFFSET($H$3,0,0,'Données projet'!$E$9+1,1))</f>
        <v>414.37917672189968</v>
      </c>
      <c r="T52" s="59">
        <f t="shared" si="34"/>
        <v>546.83385887302961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76.876697086119876</v>
      </c>
      <c r="AA52" s="21">
        <f>EXP(-LN(2)/25)*AA51+(1-EXP(-LN(2)/25))/(LN(2)/25)*Calculateur!V52*Calculateur!X52*VLOOKUP('Données projet'!$B$9,Paramètres!$A$1:$I$89,3,0)*0.475*44/12</f>
        <v>37.568708564962414</v>
      </c>
      <c r="AB52" s="21">
        <f>EXP(-LN(2)/2)*AB51+(1-EXP(-LN(2)/2))/(LN(2)/2)*V52*Y52*VLOOKUP('Données projet'!$B$9,Paramètres!$A$1:$I$89,3,0)*0.475*44/12</f>
        <v>5.137610038783742</v>
      </c>
      <c r="AC52" s="22">
        <f t="shared" si="3"/>
        <v>119.58301568986604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11.6</v>
      </c>
      <c r="AI52" s="13">
        <f>IF('Données projet'!$A$62&gt;35,AI51+AH52-AQ51,IF(A52&lt;'Données projet'!$A$62,$AF$205^A52,IF(A52='Données projet'!$A$62,'Données projet'!$B$62,AI51+AH52-AQ51)))</f>
        <v>324.40000000000009</v>
      </c>
      <c r="AJ52" s="13">
        <f>AI52*VLOOKUP('Données projet'!$B$10,Paramètres!$A$1:$I$89,3,0)*VLOOKUP('Données projet'!$B$10,Paramètres!$A$1:$I$89,5,0)</f>
        <v>202.42560000000006</v>
      </c>
      <c r="AK52" s="13">
        <f t="shared" si="35"/>
        <v>50.276866607459766</v>
      </c>
      <c r="AL52" s="20">
        <f t="shared" si="4"/>
        <v>440.12346267465915</v>
      </c>
      <c r="AM52" s="59">
        <f t="shared" si="5"/>
        <v>707.79140669202525</v>
      </c>
      <c r="AN52" s="59">
        <f ca="1">AVERAGE(OFFSET($AM$3,0,0,'Données projet'!$E$10+1,1))-AVERAGE(OFFSET($H$3,0,0,'Données projet'!$E$10+1,1))</f>
        <v>296.20984079604017</v>
      </c>
      <c r="AO52" s="59">
        <f t="shared" si="36"/>
        <v>351.8406329895206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40.30292086595243</v>
      </c>
      <c r="AV52" s="21">
        <f>EXP(-LN(2)/25)*AV51+(1-EXP(-LN(2)/25))/(LN(2)/25)*Calculateur!AQ52*Calculateur!AS52*VLOOKUP('Données projet'!$B$10,Paramètres!$A$1:$I$89,3,0)*0.475*44/12</f>
        <v>26.72304614881687</v>
      </c>
      <c r="AW52" s="21">
        <f>EXP(-LN(2)/2)*AW51+(1-EXP(-LN(2)/2))/(LN(2)/2)*AQ52*AT52*VLOOKUP('Données projet'!$B$10,Paramètres!$A$1:$I$89,3,0)*0.475*44/12</f>
        <v>1.4833423157943397</v>
      </c>
      <c r="AX52" s="21">
        <f t="shared" si="6"/>
        <v>68.509309330563639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13.097499999999997</v>
      </c>
      <c r="BD52" s="12">
        <f>IF('Données projet'!$A$88&gt;35,BD51+BC52-BL51,IF(A52&lt;'Données projet'!$A$88,$BA$205^A52,IF(A52='Données projet'!$A$88,'Données projet'!$B$88,BD51+BC52-BL51)))</f>
        <v>210.27500000000003</v>
      </c>
      <c r="BE52" s="13">
        <f>BD52*VLOOKUP('Données projet'!$B$11,Paramètres!$A$1:$I$89,3,0)*VLOOKUP('Données projet'!$B$11,Paramètres!$A$1:$I$89,5,0)</f>
        <v>183.69624000000005</v>
      </c>
      <c r="BF52" s="13">
        <f t="shared" si="37"/>
        <v>46.143556097665709</v>
      </c>
      <c r="BG52" s="20">
        <f t="shared" si="7"/>
        <v>400.30431153676778</v>
      </c>
      <c r="BH52" s="59">
        <f t="shared" si="8"/>
        <v>667.97225555413388</v>
      </c>
      <c r="BI52" s="59">
        <f ca="1">AVERAGE(OFFSET($BH$3,0,0,'Données projet'!$E$11+1,1))-AVERAGE(OFFSET($H$3,0,0,'Données projet'!$E$11+1,1))</f>
        <v>385.40047672167555</v>
      </c>
      <c r="BJ52" s="59">
        <f t="shared" si="38"/>
        <v>286.49293757741611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3.9718041425006541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3.9718041425006541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6.2</v>
      </c>
      <c r="BY52" s="12">
        <f>IF('Données projet'!$A$114&gt;35,BY51+BX52-CG51,IF(A52&lt;'Données projet'!$A$114,$BV$205^A52,IF(A52='Données projet'!$A$114,'Données projet'!$B$114,BY51+BX52-CG51)))</f>
        <v>288.8</v>
      </c>
      <c r="BZ52" s="13">
        <f>BY52*VLOOKUP('Données projet'!$B$12,Paramètres!$A$1:$I$89,3,0)*VLOOKUP('Données projet'!$B$12,Paramètres!$A$1:$I$89,5,0)</f>
        <v>261.30624</v>
      </c>
      <c r="CA52" s="13">
        <f t="shared" si="39"/>
        <v>63.000734275359655</v>
      </c>
      <c r="CB52" s="20">
        <f t="shared" si="10"/>
        <v>564.83464686291802</v>
      </c>
      <c r="CC52" s="59">
        <f t="shared" si="11"/>
        <v>832.50259088028406</v>
      </c>
      <c r="CD52" s="59">
        <f ca="1">AVERAGE(OFFSET($CC$3,0,0,'Données projet'!$E$12+1,1))-AVERAGE(OFFSET($H$3,0,0,'Données projet'!$E$12+1,1))</f>
        <v>397.12030701006762</v>
      </c>
      <c r="CE52" s="59">
        <f t="shared" si="40"/>
        <v>476.47513516380047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9.3099987777045285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9.3099987777045285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110.43805901666033</v>
      </c>
      <c r="CZ52" s="59">
        <f t="shared" si="42"/>
        <v>319.51880962151881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23.121357440902482</v>
      </c>
      <c r="DG52" s="21">
        <f>EXP(-LN(2)/25)*DG51+(1-EXP(-LN(2)/25))/(LN(2)/25)*Calculateur!DB52*Calculateur!DD52*VLOOKUP('Données projet'!$B$13,Paramètres!$A$1:$I$89,3,0)*0.475*44/12</f>
        <v>8.1780820766907656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31.29943951759325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3.3000000000000003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12.100000000000001</v>
      </c>
      <c r="H53" s="67">
        <f t="shared" si="1"/>
        <v>208.26666666666665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25.226666666666688</v>
      </c>
      <c r="N53" s="13">
        <f>IF('Données projet'!$A$36&gt;35,N52+M53-V52,IF(A53&lt;'Données projet'!$A$36,$K$205^A53,IF(A53='Données projet'!$A$36,'Données projet'!$B$36,N52+M53-V52)))</f>
        <v>604.50333333333322</v>
      </c>
      <c r="O53" s="13">
        <f>N53*VLOOKUP('Données projet'!$B$9,Paramètres!$A$1:$I$89,3,0)*VLOOKUP('Données projet'!$B$9,Paramètres!$A$1:$I$89,5,0)</f>
        <v>337.9173633333333</v>
      </c>
      <c r="P53" s="13">
        <f t="shared" si="33"/>
        <v>79.069506753525729</v>
      </c>
      <c r="Q53" s="20">
        <f t="shared" si="53"/>
        <v>726.25213206794615</v>
      </c>
      <c r="R53" s="59">
        <f t="shared" si="0"/>
        <v>994.36531321072971</v>
      </c>
      <c r="S53" s="59">
        <f ca="1">AVERAGE(OFFSET($R$3,0,0,'Données projet'!$E$9+1,1))-AVERAGE(OFFSET($H$3,0,0,'Données projet'!$E$9+1,1))</f>
        <v>414.37917672189968</v>
      </c>
      <c r="T53" s="59">
        <f t="shared" si="34"/>
        <v>546.83385887302961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75.369191946416265</v>
      </c>
      <c r="AA53" s="21">
        <f>EXP(-LN(2)/25)*AA52+(1-EXP(-LN(2)/25))/(LN(2)/25)*Calculateur!V53*Calculateur!X53*VLOOKUP('Données projet'!$B$9,Paramètres!$A$1:$I$89,3,0)*0.475*44/12</f>
        <v>36.541390253600994</v>
      </c>
      <c r="AB53" s="21">
        <f>EXP(-LN(2)/2)*AB52+(1-EXP(-LN(2)/2))/(LN(2)/2)*V53*Y53*VLOOKUP('Données projet'!$B$9,Paramètres!$A$1:$I$89,3,0)*0.475*44/12</f>
        <v>3.6328388975160655</v>
      </c>
      <c r="AC53" s="22">
        <f t="shared" si="3"/>
        <v>115.54342109753333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336</v>
      </c>
      <c r="AG53" s="12">
        <f>VLOOKUP(A53,'Données projet'!$A$61:$I$81,9,0)</f>
        <v>11.6</v>
      </c>
      <c r="AH53" s="12">
        <f t="array" ref="AH53">INDEX(AG:AG,MIN(IF(ISNUMBER(AG53:AG249),ROW(AG53:AG249),"")))</f>
        <v>11.6</v>
      </c>
      <c r="AI53" s="13">
        <f>IF('Données projet'!$A$62&gt;35,AI52+AH53-AQ52,IF(A53&lt;'Données projet'!$A$62,$AF$205^A53,IF(A53='Données projet'!$A$62,'Données projet'!$B$62,AI52+AH53-AQ52)))</f>
        <v>336.00000000000011</v>
      </c>
      <c r="AJ53" s="13">
        <f>AI53*VLOOKUP('Données projet'!$B$10,Paramètres!$A$1:$I$89,3,0)*VLOOKUP('Données projet'!$B$10,Paramètres!$A$1:$I$89,5,0)</f>
        <v>209.66400000000007</v>
      </c>
      <c r="AK53" s="13">
        <f t="shared" si="35"/>
        <v>51.862154403304537</v>
      </c>
      <c r="AL53" s="20">
        <f t="shared" si="4"/>
        <v>455.49138558575549</v>
      </c>
      <c r="AM53" s="59">
        <f t="shared" si="5"/>
        <v>723.60456672853911</v>
      </c>
      <c r="AN53" s="59">
        <f ca="1">AVERAGE(OFFSET($AM$3,0,0,'Données projet'!$E$10+1,1))-AVERAGE(OFFSET($H$3,0,0,'Données projet'!$E$10+1,1))</f>
        <v>296.20984079604017</v>
      </c>
      <c r="AO53" s="59">
        <f t="shared" si="36"/>
        <v>351.8406329895206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32</v>
      </c>
      <c r="AR53" s="16">
        <f>IF(ISNA(VLOOKUP(A53,'Données projet'!$A$61:$I$81,5,0)),0%,VLOOKUP(A53,'Données projet'!$A$61:$I$81,5,0)*VLOOKUP('Données projet'!$B$10,Paramètres!$A$1:$I$89,7,0))</f>
        <v>0.42</v>
      </c>
      <c r="AS53" s="16">
        <f>IF(ISNA(VLOOKUP(A53,'Données projet'!$A$61:$I$81,6,0)),0%,VLOOKUP(A53,'Données projet'!$A$61:$I$81,6,0)*VLOOKUP('Données projet'!$B$10,Paramètres!$A$1:$I$89,7,0))</f>
        <v>0.10200000000000001</v>
      </c>
      <c r="AT53" s="16">
        <f>IF(ISNA(VLOOKUP(A53,'Données projet'!$A$61:$I$81,7,0)),0%,VLOOKUP(A53,'Données projet'!$A$61:$I$81,7,0))</f>
        <v>0.13</v>
      </c>
      <c r="AU53" s="21">
        <f>EXP(-LN(2)/35)*AU52+(1-EXP(-LN(2)/35))/(LN(2)/35)*AQ53*AR53*VLOOKUP('Données projet'!$B$10,Paramètres!$A$1:$I$89,3,0)*0.475*44/12</f>
        <v>50.637917569536555</v>
      </c>
      <c r="AV53" s="21">
        <f>EXP(-LN(2)/25)*AV52+(1-EXP(-LN(2)/25))/(LN(2)/25)*Calculateur!AQ53*Calculateur!AS53*VLOOKUP('Données projet'!$B$10,Paramètres!$A$1:$I$89,3,0)*0.475*44/12</f>
        <v>28.683526370746542</v>
      </c>
      <c r="AW53" s="21">
        <f>EXP(-LN(2)/2)*AW52+(1-EXP(-LN(2)/2))/(LN(2)/2)*AQ53*AT53*VLOOKUP('Données projet'!$B$10,Paramètres!$A$1:$I$89,3,0)*0.475*44/12</f>
        <v>3.9879752975302361</v>
      </c>
      <c r="AX53" s="21">
        <f t="shared" si="6"/>
        <v>83.309419237813344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13.097499999999997</v>
      </c>
      <c r="BD53" s="12">
        <f>IF('Données projet'!$A$88&gt;35,BD52+BC53-BL52,IF(A53&lt;'Données projet'!$A$88,$BA$205^A53,IF(A53='Données projet'!$A$88,'Données projet'!$B$88,BD52+BC53-BL52)))</f>
        <v>223.37250000000003</v>
      </c>
      <c r="BE53" s="13">
        <f>BD53*VLOOKUP('Données projet'!$B$11,Paramètres!$A$1:$I$89,3,0)*VLOOKUP('Données projet'!$B$11,Paramètres!$A$1:$I$89,5,0)</f>
        <v>195.13821600000006</v>
      </c>
      <c r="BF53" s="13">
        <f t="shared" si="37"/>
        <v>48.674169247223091</v>
      </c>
      <c r="BG53" s="20">
        <f t="shared" si="7"/>
        <v>424.63990430558033</v>
      </c>
      <c r="BH53" s="59">
        <f t="shared" si="8"/>
        <v>692.75308544836389</v>
      </c>
      <c r="BI53" s="59">
        <f ca="1">AVERAGE(OFFSET($BH$3,0,0,'Données projet'!$E$11+1,1))-AVERAGE(OFFSET($H$3,0,0,'Données projet'!$E$11+1,1))</f>
        <v>385.40047672167555</v>
      </c>
      <c r="BJ53" s="59">
        <f t="shared" si="38"/>
        <v>286.49293757741611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3.893919485827535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3.893919485827535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295</v>
      </c>
      <c r="BW53" s="12">
        <f>VLOOKUP(A53,'Données projet'!$A$113:$I$133,9,0)</f>
        <v>6.2</v>
      </c>
      <c r="BX53" s="12">
        <f t="array" ref="BX53">INDEX(BW:BW,MIN(IF(ISNUMBER(BW53:BW249),ROW(BW53:BW249),"")))</f>
        <v>6.2</v>
      </c>
      <c r="BY53" s="12">
        <f>IF('Données projet'!$A$114&gt;35,BY52+BX53-CG52,IF(A53&lt;'Données projet'!$A$114,$BV$205^A53,IF(A53='Données projet'!$A$114,'Données projet'!$B$114,BY52+BX53-CG52)))</f>
        <v>295</v>
      </c>
      <c r="BZ53" s="13">
        <f>BY53*VLOOKUP('Données projet'!$B$12,Paramètres!$A$1:$I$89,3,0)*VLOOKUP('Données projet'!$B$12,Paramètres!$A$1:$I$89,5,0)</f>
        <v>266.916</v>
      </c>
      <c r="CA53" s="13">
        <f t="shared" si="39"/>
        <v>64.194329696332176</v>
      </c>
      <c r="CB53" s="20">
        <f t="shared" si="10"/>
        <v>576.68382422111188</v>
      </c>
      <c r="CC53" s="59">
        <f t="shared" si="11"/>
        <v>844.79700536389555</v>
      </c>
      <c r="CD53" s="59">
        <f ca="1">AVERAGE(OFFSET($CC$3,0,0,'Données projet'!$E$12+1,1))-AVERAGE(OFFSET($H$3,0,0,'Données projet'!$E$12+1,1))</f>
        <v>397.12030701006762</v>
      </c>
      <c r="CE53" s="59">
        <f t="shared" si="40"/>
        <v>476.47513516380047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12</v>
      </c>
      <c r="CH53" s="16">
        <f>IF(ISNA(VLOOKUP(A53,'Données projet'!$A$113:$I$133,5,0)),0%,VLOOKUP(A53,'Données projet'!$A$113:$I$133,5,0)*VLOOKUP('Données projet'!$B$12,Paramètres!$A$1:$I$89,7,0))</f>
        <v>0.15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10.927848659134831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10.927848659134831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110.43805901666033</v>
      </c>
      <c r="CZ53" s="59">
        <f t="shared" si="42"/>
        <v>319.51880962151881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22.667961724121906</v>
      </c>
      <c r="DG53" s="21">
        <f>EXP(-LN(2)/25)*DG52+(1-EXP(-LN(2)/25))/(LN(2)/25)*Calculateur!DB53*Calculateur!DD53*VLOOKUP('Données projet'!$B$13,Paramètres!$A$1:$I$89,3,0)*0.475*44/12</f>
        <v>7.9544519922370114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30.622413716358917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3.3000000000000003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12.100000000000001</v>
      </c>
      <c r="H54" s="67">
        <f t="shared" si="1"/>
        <v>208.26666666666665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629.73</v>
      </c>
      <c r="L54" s="12">
        <f>VLOOKUP(A54,'Données projet'!$A$35:$I$55,9,0)</f>
        <v>25.226666666666688</v>
      </c>
      <c r="M54" s="12">
        <f t="array" ref="M54">INDEX(L:L,MIN(IF(ISNUMBER(L54:L250),ROW(L54:L250),"")))</f>
        <v>25.226666666666688</v>
      </c>
      <c r="N54" s="13">
        <f>IF('Données projet'!$A$36&gt;35,N53+M54-V53,IF(A54&lt;'Données projet'!$A$36,$K$205^A54,IF(A54='Données projet'!$A$36,'Données projet'!$B$36,N53+M54-V53)))</f>
        <v>629.7299999999999</v>
      </c>
      <c r="O54" s="13">
        <f>N54*VLOOKUP('Données projet'!$B$9,Paramètres!$A$1:$I$89,3,0)*VLOOKUP('Données projet'!$B$9,Paramètres!$A$1:$I$89,5,0)</f>
        <v>352.01906999999994</v>
      </c>
      <c r="P54" s="13">
        <f t="shared" si="33"/>
        <v>81.978119434778193</v>
      </c>
      <c r="Q54" s="20">
        <f t="shared" si="53"/>
        <v>755.87843826557184</v>
      </c>
      <c r="R54" s="59">
        <f t="shared" si="0"/>
        <v>1024.4291326650482</v>
      </c>
      <c r="S54" s="59">
        <f ca="1">AVERAGE(OFFSET($R$3,0,0,'Données projet'!$E$9+1,1))-AVERAGE(OFFSET($H$3,0,0,'Données projet'!$E$9+1,1))</f>
        <v>414.37917672189968</v>
      </c>
      <c r="T54" s="59">
        <f t="shared" si="34"/>
        <v>546.83385887302961</v>
      </c>
      <c r="U54" s="15">
        <f>IF(ISNA(VLOOKUP(A54,'Données projet'!$A$35:$I$55,3,0)),0,VLOOKUP(A54,'Données projet'!$A$35:$I$55,3,0))</f>
        <v>12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0.44000000000000006</v>
      </c>
      <c r="X54" s="16">
        <f>IF(ISNA(VLOOKUP(A54,'Données projet'!$A$35:$I$55,6,0)),0%,VLOOKUP(A54,'Données projet'!$A$35:$I$55,6,0)*VLOOKUP('Données projet'!$B$9,Paramètres!$A$1:$I$89,7,0))</f>
        <v>6.0500000000000005E-2</v>
      </c>
      <c r="Y54" s="16">
        <f>IF(ISNA(VLOOKUP(A54,'Données projet'!$A$35:$I$55,7,0)),0%,VLOOKUP(A54,'Données projet'!$A$35:$I$55,7,0))</f>
        <v>0.09</v>
      </c>
      <c r="Z54" s="21">
        <f>EXP(-LN(2)/35)*Z53+(1-EXP(-LN(2)/35))/(LN(2)/35)*V54*W54*VLOOKUP('Données projet'!$B$9,Paramètres!$A$1:$I$89,3,0)*0.475*44/12</f>
        <v>73.891248063014899</v>
      </c>
      <c r="AA54" s="21">
        <f>EXP(-LN(2)/25)*AA53+(1-EXP(-LN(2)/25))/(LN(2)/25)*Calculateur!V54*Calculateur!X54*VLOOKUP('Données projet'!$B$9,Paramètres!$A$1:$I$89,3,0)*0.475*44/12</f>
        <v>35.542164015488076</v>
      </c>
      <c r="AB54" s="21">
        <f>EXP(-LN(2)/2)*AB53+(1-EXP(-LN(2)/2))/(LN(2)/2)*V54*Y54*VLOOKUP('Données projet'!$B$9,Paramètres!$A$1:$I$89,3,0)*0.475*44/12</f>
        <v>2.5688050193918714</v>
      </c>
      <c r="AC54" s="22">
        <f t="shared" si="3"/>
        <v>112.00221709789486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10.6</v>
      </c>
      <c r="AI54" s="13">
        <f>IF('Données projet'!$A$62&gt;35,AI53+AH54-AQ53,IF(A54&lt;'Données projet'!$A$62,$AF$205^A54,IF(A54='Données projet'!$A$62,'Données projet'!$B$62,AI53+AH54-AQ53)))</f>
        <v>314.60000000000014</v>
      </c>
      <c r="AJ54" s="13">
        <f>AI54*VLOOKUP('Données projet'!$B$10,Paramètres!$A$1:$I$89,3,0)*VLOOKUP('Données projet'!$B$10,Paramètres!$A$1:$I$89,5,0)</f>
        <v>196.3104000000001</v>
      </c>
      <c r="AK54" s="13">
        <f t="shared" si="35"/>
        <v>48.932428681108973</v>
      </c>
      <c r="AL54" s="20">
        <f t="shared" si="4"/>
        <v>427.13125995293166</v>
      </c>
      <c r="AM54" s="59">
        <f t="shared" si="5"/>
        <v>695.68195435240796</v>
      </c>
      <c r="AN54" s="59">
        <f ca="1">AVERAGE(OFFSET($AM$3,0,0,'Données projet'!$E$10+1,1))-AVERAGE(OFFSET($H$3,0,0,'Données projet'!$E$10+1,1))</f>
        <v>296.20984079604017</v>
      </c>
      <c r="AO54" s="59">
        <f t="shared" si="36"/>
        <v>351.8406329895206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49.64493889207791</v>
      </c>
      <c r="AV54" s="21">
        <f>EXP(-LN(2)/25)*AV53+(1-EXP(-LN(2)/25))/(LN(2)/25)*Calculateur!AQ54*Calculateur!AS54*VLOOKUP('Données projet'!$B$10,Paramètres!$A$1:$I$89,3,0)*0.475*44/12</f>
        <v>27.899173833737382</v>
      </c>
      <c r="AW54" s="21">
        <f>EXP(-LN(2)/2)*AW53+(1-EXP(-LN(2)/2))/(LN(2)/2)*AQ54*AT54*VLOOKUP('Données projet'!$B$10,Paramètres!$A$1:$I$89,3,0)*0.475*44/12</f>
        <v>2.8199243760880695</v>
      </c>
      <c r="AX54" s="21">
        <f t="shared" si="6"/>
        <v>80.364037101903364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236.47</v>
      </c>
      <c r="BB54" s="12">
        <f>VLOOKUP(A54,'Données projet'!$A$87:$I$107,9,0)</f>
        <v>13.097499999999997</v>
      </c>
      <c r="BC54" s="12">
        <f t="array" ref="BC54">INDEX(BB:BB,MIN(IF(ISNUMBER(BB54:BB250),ROW(BB54:BB250),"")))</f>
        <v>13.097499999999997</v>
      </c>
      <c r="BD54" s="12">
        <f>IF('Données projet'!$A$88&gt;35,BD53+BC54-BL53,IF(A54&lt;'Données projet'!$A$88,$BA$205^A54,IF(A54='Données projet'!$A$88,'Données projet'!$B$88,BD53+BC54-BL53)))</f>
        <v>236.47000000000003</v>
      </c>
      <c r="BE54" s="13">
        <f>BD54*VLOOKUP('Données projet'!$B$11,Paramètres!$A$1:$I$89,3,0)*VLOOKUP('Données projet'!$B$11,Paramètres!$A$1:$I$89,5,0)</f>
        <v>206.58019200000007</v>
      </c>
      <c r="BF54" s="13">
        <f t="shared" si="37"/>
        <v>51.187558993646945</v>
      </c>
      <c r="BG54" s="20">
        <f t="shared" si="7"/>
        <v>448.9454996472686</v>
      </c>
      <c r="BH54" s="59">
        <f t="shared" si="8"/>
        <v>717.4961940467449</v>
      </c>
      <c r="BI54" s="59">
        <f ca="1">AVERAGE(OFFSET($BH$3,0,0,'Données projet'!$E$11+1,1))-AVERAGE(OFFSET($H$3,0,0,'Données projet'!$E$11+1,1))</f>
        <v>385.40047672167555</v>
      </c>
      <c r="BJ54" s="59">
        <f t="shared" si="38"/>
        <v>286.49293757741611</v>
      </c>
      <c r="BK54" s="15">
        <f>IF(ISNA(VLOOKUP(A54,'Données projet'!$A$87:$I$107,3,0)),0,VLOOKUP(A54,'Données projet'!$A$87:$I$107,3,0))</f>
        <v>7</v>
      </c>
      <c r="BL54" s="15">
        <f>IF(ISNA(VLOOKUP(A54,'Données projet'!$A$87:$I$107,4,0)),0,VLOOKUP(A54,'Données projet'!$A$87:$I$107,4,0))</f>
        <v>50.63</v>
      </c>
      <c r="BM54" s="16">
        <f>IF(ISNA(VLOOKUP(A54,'Données projet'!$A$87:$I$107,5,0)),0%,VLOOKUP(A54,'Données projet'!$A$87:$I$107,5,0)*VLOOKUP('Données projet'!$B$11,Paramètres!$A$1:$I$89,7,0))</f>
        <v>0.129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10.125063759046451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10.125063759046451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5.2</v>
      </c>
      <c r="BY54" s="12">
        <f>IF('Données projet'!$A$114&gt;35,BY53+BX54-CG53,IF(A54&lt;'Données projet'!$A$114,$BV$205^A54,IF(A54='Données projet'!$A$114,'Données projet'!$B$114,BY53+BX54-CG53)))</f>
        <v>288.2</v>
      </c>
      <c r="BZ54" s="13">
        <f>BY54*VLOOKUP('Données projet'!$B$12,Paramètres!$A$1:$I$89,3,0)*VLOOKUP('Données projet'!$B$12,Paramètres!$A$1:$I$89,5,0)</f>
        <v>260.76335999999998</v>
      </c>
      <c r="CA54" s="13">
        <f t="shared" si="39"/>
        <v>62.885067686032009</v>
      </c>
      <c r="CB54" s="20">
        <f t="shared" si="10"/>
        <v>563.68767821983909</v>
      </c>
      <c r="CC54" s="59">
        <f t="shared" si="11"/>
        <v>832.23837261931533</v>
      </c>
      <c r="CD54" s="59">
        <f ca="1">AVERAGE(OFFSET($CC$3,0,0,'Données projet'!$E$12+1,1))-AVERAGE(OFFSET($H$3,0,0,'Données projet'!$E$12+1,1))</f>
        <v>397.12030701006762</v>
      </c>
      <c r="CE54" s="59">
        <f t="shared" si="40"/>
        <v>476.47513516380047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10.713560212258733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10.713560212258733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110.43805901666033</v>
      </c>
      <c r="CZ54" s="59">
        <f t="shared" si="42"/>
        <v>319.51880962151881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22.223456820803314</v>
      </c>
      <c r="DG54" s="21">
        <f>EXP(-LN(2)/25)*DG53+(1-EXP(-LN(2)/25))/(LN(2)/25)*Calculateur!DB54*Calculateur!DD54*VLOOKUP('Données projet'!$B$13,Paramètres!$A$1:$I$89,3,0)*0.475*44/12</f>
        <v>7.7369370842028404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29.960393905006153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3.3000000000000003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12.100000000000001</v>
      </c>
      <c r="H55" s="67">
        <f t="shared" si="1"/>
        <v>208.26666666666665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26.006666666666661</v>
      </c>
      <c r="N55" s="13">
        <f>IF('Données projet'!$A$36&gt;35,N54+M55-V54,IF(A55&lt;'Données projet'!$A$36,$K$205^A55,IF(A55='Données projet'!$A$36,'Données projet'!$B$36,N54+M55-V54)))</f>
        <v>655.73666666666657</v>
      </c>
      <c r="O55" s="13">
        <f>N55*VLOOKUP('Données projet'!$B$9,Paramètres!$A$1:$I$89,3,0)*VLOOKUP('Données projet'!$B$9,Paramètres!$A$1:$I$89,5,0)</f>
        <v>366.55679666666663</v>
      </c>
      <c r="P55" s="13">
        <f t="shared" si="33"/>
        <v>84.962502722554035</v>
      </c>
      <c r="Q55" s="20">
        <f t="shared" si="53"/>
        <v>786.39611310289274</v>
      </c>
      <c r="R55" s="59">
        <f t="shared" si="0"/>
        <v>1055.3767308821912</v>
      </c>
      <c r="S55" s="59">
        <f ca="1">AVERAGE(OFFSET($R$3,0,0,'Données projet'!$E$9+1,1))-AVERAGE(OFFSET($H$3,0,0,'Données projet'!$E$9+1,1))</f>
        <v>414.37917672189968</v>
      </c>
      <c r="T55" s="59">
        <f t="shared" si="34"/>
        <v>546.83385887302961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72.44228575771028</v>
      </c>
      <c r="AA55" s="21">
        <f>EXP(-LN(2)/25)*AA54+(1-EXP(-LN(2)/25))/(LN(2)/25)*Calculateur!V55*Calculateur!X55*VLOOKUP('Données projet'!$B$9,Paramètres!$A$1:$I$89,3,0)*0.475*44/12</f>
        <v>34.570261671403379</v>
      </c>
      <c r="AB55" s="21">
        <f>EXP(-LN(2)/2)*AB54+(1-EXP(-LN(2)/2))/(LN(2)/2)*V55*Y55*VLOOKUP('Données projet'!$B$9,Paramètres!$A$1:$I$89,3,0)*0.475*44/12</f>
        <v>1.8164194487580332</v>
      </c>
      <c r="AC55" s="22">
        <f t="shared" si="3"/>
        <v>108.82896687787169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10.6</v>
      </c>
      <c r="AI55" s="13">
        <f>IF('Données projet'!$A$62&gt;35,AI54+AH55-AQ54,IF(A55&lt;'Données projet'!$A$62,$AF$205^A55,IF(A55='Données projet'!$A$62,'Données projet'!$B$62,AI54+AH55-AQ54)))</f>
        <v>325.20000000000016</v>
      </c>
      <c r="AJ55" s="13">
        <f>AI55*VLOOKUP('Données projet'!$B$10,Paramètres!$A$1:$I$89,3,0)*VLOOKUP('Données projet'!$B$10,Paramètres!$A$1:$I$89,5,0)</f>
        <v>202.92480000000009</v>
      </c>
      <c r="AK55" s="13">
        <f t="shared" si="35"/>
        <v>50.386406111935052</v>
      </c>
      <c r="AL55" s="20">
        <f t="shared" si="4"/>
        <v>441.18368397828704</v>
      </c>
      <c r="AM55" s="59">
        <f t="shared" si="5"/>
        <v>710.16430175758546</v>
      </c>
      <c r="AN55" s="59">
        <f ca="1">AVERAGE(OFFSET($AM$3,0,0,'Données projet'!$E$10+1,1))-AVERAGE(OFFSET($H$3,0,0,'Données projet'!$E$10+1,1))</f>
        <v>296.20984079604017</v>
      </c>
      <c r="AO55" s="59">
        <f t="shared" si="36"/>
        <v>351.8406329895206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48.67143192082704</v>
      </c>
      <c r="AV55" s="21">
        <f>EXP(-LN(2)/25)*AV54+(1-EXP(-LN(2)/25))/(LN(2)/25)*Calculateur!AQ55*Calculateur!AS55*VLOOKUP('Données projet'!$B$10,Paramètres!$A$1:$I$89,3,0)*0.475*44/12</f>
        <v>27.136269458100045</v>
      </c>
      <c r="AW55" s="21">
        <f>EXP(-LN(2)/2)*AW54+(1-EXP(-LN(2)/2))/(LN(2)/2)*AQ55*AT55*VLOOKUP('Données projet'!$B$10,Paramètres!$A$1:$I$89,3,0)*0.475*44/12</f>
        <v>1.9939876487651182</v>
      </c>
      <c r="AX55" s="21">
        <f t="shared" si="6"/>
        <v>77.801689027692191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12.126666666666665</v>
      </c>
      <c r="BD55" s="12">
        <f>IF('Données projet'!$A$88&gt;35,BD54+BC55-BL54,IF(A55&lt;'Données projet'!$A$88,$BA$205^A55,IF(A55='Données projet'!$A$88,'Données projet'!$B$88,BD54+BC55-BL54)))</f>
        <v>197.9666666666667</v>
      </c>
      <c r="BE55" s="13">
        <f>BD55*VLOOKUP('Données projet'!$B$11,Paramètres!$A$1:$I$89,3,0)*VLOOKUP('Données projet'!$B$11,Paramètres!$A$1:$I$89,5,0)</f>
        <v>172.94368000000006</v>
      </c>
      <c r="BF55" s="13">
        <f t="shared" si="37"/>
        <v>43.748649810418414</v>
      </c>
      <c r="BG55" s="20">
        <f t="shared" si="7"/>
        <v>377.40580775314544</v>
      </c>
      <c r="BH55" s="59">
        <f t="shared" si="8"/>
        <v>646.38642553244381</v>
      </c>
      <c r="BI55" s="59">
        <f ca="1">AVERAGE(OFFSET($BH$3,0,0,'Données projet'!$E$11+1,1))-AVERAGE(OFFSET($H$3,0,0,'Données projet'!$E$11+1,1))</f>
        <v>385.40047672167555</v>
      </c>
      <c r="BJ55" s="59">
        <f t="shared" si="38"/>
        <v>286.49293757741611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9.9265174344106466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9.9265174344106466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5.2</v>
      </c>
      <c r="BY55" s="12">
        <f>IF('Données projet'!$A$114&gt;35,BY54+BX55-CG54,IF(A55&lt;'Données projet'!$A$114,$BV$205^A55,IF(A55='Données projet'!$A$114,'Données projet'!$B$114,BY54+BX55-CG54)))</f>
        <v>293.39999999999998</v>
      </c>
      <c r="BZ55" s="13">
        <f>BY55*VLOOKUP('Données projet'!$B$12,Paramètres!$A$1:$I$89,3,0)*VLOOKUP('Données projet'!$B$12,Paramètres!$A$1:$I$89,5,0)</f>
        <v>265.46831999999995</v>
      </c>
      <c r="CA55" s="13">
        <f t="shared" si="39"/>
        <v>63.886587047268755</v>
      </c>
      <c r="CB55" s="20">
        <f t="shared" si="10"/>
        <v>573.62646310732623</v>
      </c>
      <c r="CC55" s="59">
        <f t="shared" si="11"/>
        <v>842.60708088662454</v>
      </c>
      <c r="CD55" s="59">
        <f ca="1">AVERAGE(OFFSET($CC$3,0,0,'Données projet'!$E$12+1,1))-AVERAGE(OFFSET($H$3,0,0,'Données projet'!$E$12+1,1))</f>
        <v>397.12030701006762</v>
      </c>
      <c r="CE55" s="59">
        <f t="shared" si="40"/>
        <v>476.47513516380047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10.503473831122827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10.503473831122827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110.43805901666033</v>
      </c>
      <c r="CZ55" s="59">
        <f t="shared" si="42"/>
        <v>319.51880962151881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21.787668387517581</v>
      </c>
      <c r="DG55" s="21">
        <f>EXP(-LN(2)/25)*DG54+(1-EXP(-LN(2)/25))/(LN(2)/25)*Calculateur!DB55*Calculateur!DD55*VLOOKUP('Données projet'!$B$13,Paramètres!$A$1:$I$89,3,0)*0.475*44/12</f>
        <v>7.5253701327674758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29.313038520285055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3.3000000000000003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12.100000000000001</v>
      </c>
      <c r="H56" s="67">
        <f t="shared" si="1"/>
        <v>208.26666666666665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26.006666666666661</v>
      </c>
      <c r="N56" s="13">
        <f>IF('Données projet'!$A$36&gt;35,N55+M56-V55,IF(A56&lt;'Données projet'!$A$36,$K$205^A56,IF(A56='Données projet'!$A$36,'Données projet'!$B$36,N55+M56-V55)))</f>
        <v>681.74333333333323</v>
      </c>
      <c r="O56" s="13">
        <f>N56*VLOOKUP('Données projet'!$B$9,Paramètres!$A$1:$I$89,3,0)*VLOOKUP('Données projet'!$B$9,Paramètres!$A$1:$I$89,5,0)</f>
        <v>381.09452333333326</v>
      </c>
      <c r="P56" s="13">
        <f t="shared" si="33"/>
        <v>87.93313669722744</v>
      </c>
      <c r="Q56" s="20">
        <f t="shared" si="53"/>
        <v>816.88984121989324</v>
      </c>
      <c r="R56" s="59">
        <f t="shared" si="0"/>
        <v>1086.2929241695385</v>
      </c>
      <c r="S56" s="59">
        <f ca="1">AVERAGE(OFFSET($R$3,0,0,'Données projet'!$E$9+1,1))-AVERAGE(OFFSET($H$3,0,0,'Données projet'!$E$9+1,1))</f>
        <v>414.37917672189968</v>
      </c>
      <c r="T56" s="59">
        <f t="shared" si="34"/>
        <v>546.83385887302961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71.021736719432951</v>
      </c>
      <c r="AA56" s="21">
        <f>EXP(-LN(2)/25)*AA55+(1-EXP(-LN(2)/25))/(LN(2)/25)*Calculateur!V56*Calculateur!X56*VLOOKUP('Données projet'!$B$9,Paramètres!$A$1:$I$89,3,0)*0.475*44/12</f>
        <v>33.624936048027806</v>
      </c>
      <c r="AB56" s="21">
        <f>EXP(-LN(2)/2)*AB55+(1-EXP(-LN(2)/2))/(LN(2)/2)*V56*Y56*VLOOKUP('Données projet'!$B$9,Paramètres!$A$1:$I$89,3,0)*0.475*44/12</f>
        <v>1.2844025096959359</v>
      </c>
      <c r="AC56" s="22">
        <f t="shared" si="3"/>
        <v>105.93107527715669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10.6</v>
      </c>
      <c r="AI56" s="13">
        <f>IF('Données projet'!$A$62&gt;35,AI55+AH56-AQ55,IF(A56&lt;'Données projet'!$A$62,$AF$205^A56,IF(A56='Données projet'!$A$62,'Données projet'!$B$62,AI55+AH56-AQ55)))</f>
        <v>335.80000000000018</v>
      </c>
      <c r="AJ56" s="13">
        <f>AI56*VLOOKUP('Données projet'!$B$10,Paramètres!$A$1:$I$89,3,0)*VLOOKUP('Données projet'!$B$10,Paramètres!$A$1:$I$89,5,0)</f>
        <v>209.53920000000011</v>
      </c>
      <c r="AK56" s="13">
        <f t="shared" si="35"/>
        <v>51.83487643455139</v>
      </c>
      <c r="AL56" s="20">
        <f t="shared" si="4"/>
        <v>455.22651645684391</v>
      </c>
      <c r="AM56" s="59">
        <f t="shared" si="5"/>
        <v>724.62959940648921</v>
      </c>
      <c r="AN56" s="59">
        <f ca="1">AVERAGE(OFFSET($AM$3,0,0,'Données projet'!$E$10+1,1))-AVERAGE(OFFSET($H$3,0,0,'Données projet'!$E$10+1,1))</f>
        <v>296.20984079604017</v>
      </c>
      <c r="AO56" s="59">
        <f t="shared" si="36"/>
        <v>351.8406329895206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47.717014827501778</v>
      </c>
      <c r="AV56" s="21">
        <f>EXP(-LN(2)/25)*AV55+(1-EXP(-LN(2)/25))/(LN(2)/25)*Calculateur!AQ56*Calculateur!AS56*VLOOKUP('Données projet'!$B$10,Paramètres!$A$1:$I$89,3,0)*0.475*44/12</f>
        <v>26.39422674273391</v>
      </c>
      <c r="AW56" s="21">
        <f>EXP(-LN(2)/2)*AW55+(1-EXP(-LN(2)/2))/(LN(2)/2)*AQ56*AT56*VLOOKUP('Données projet'!$B$10,Paramètres!$A$1:$I$89,3,0)*0.475*44/12</f>
        <v>1.4099621880440349</v>
      </c>
      <c r="AX56" s="21">
        <f t="shared" si="6"/>
        <v>75.521203758279725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12.126666666666665</v>
      </c>
      <c r="BD56" s="12">
        <f>IF('Données projet'!$A$88&gt;35,BD55+BC56-BL55,IF(A56&lt;'Données projet'!$A$88,$BA$205^A56,IF(A56='Données projet'!$A$88,'Données projet'!$B$88,BD55+BC56-BL55)))</f>
        <v>210.09333333333336</v>
      </c>
      <c r="BE56" s="13">
        <f>BD56*VLOOKUP('Données projet'!$B$11,Paramètres!$A$1:$I$89,3,0)*VLOOKUP('Données projet'!$B$11,Paramètres!$A$1:$I$89,5,0)</f>
        <v>183.53753600000005</v>
      </c>
      <c r="BF56" s="13">
        <f t="shared" si="37"/>
        <v>46.108329052397472</v>
      </c>
      <c r="BG56" s="20">
        <f t="shared" si="7"/>
        <v>399.96654829959226</v>
      </c>
      <c r="BH56" s="59">
        <f t="shared" si="8"/>
        <v>669.3696312492375</v>
      </c>
      <c r="BI56" s="59">
        <f ca="1">AVERAGE(OFFSET($BH$3,0,0,'Données projet'!$E$11+1,1))-AVERAGE(OFFSET($H$3,0,0,'Données projet'!$E$11+1,1))</f>
        <v>385.40047672167555</v>
      </c>
      <c r="BJ56" s="59">
        <f t="shared" si="38"/>
        <v>286.49293757741611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9.7318644820996489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9.7318644820996489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5.2</v>
      </c>
      <c r="BY56" s="12">
        <f>IF('Données projet'!$A$114&gt;35,BY55+BX56-CG55,IF(A56&lt;'Données projet'!$A$114,$BV$205^A56,IF(A56='Données projet'!$A$114,'Données projet'!$B$114,BY55+BX56-CG55)))</f>
        <v>298.59999999999997</v>
      </c>
      <c r="BZ56" s="13">
        <f>BY56*VLOOKUP('Données projet'!$B$12,Paramètres!$A$1:$I$89,3,0)*VLOOKUP('Données projet'!$B$12,Paramètres!$A$1:$I$89,5,0)</f>
        <v>270.17327999999992</v>
      </c>
      <c r="CA56" s="13">
        <f t="shared" si="39"/>
        <v>64.886042303882988</v>
      </c>
      <c r="CB56" s="20">
        <f t="shared" si="10"/>
        <v>583.56165301259614</v>
      </c>
      <c r="CC56" s="59">
        <f t="shared" si="11"/>
        <v>852.96473596224132</v>
      </c>
      <c r="CD56" s="59">
        <f ca="1">AVERAGE(OFFSET($CC$3,0,0,'Données projet'!$E$12+1,1))-AVERAGE(OFFSET($H$3,0,0,'Données projet'!$E$12+1,1))</f>
        <v>397.12030701006762</v>
      </c>
      <c r="CE56" s="59">
        <f t="shared" si="40"/>
        <v>476.47513516380047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10.297507115780958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10.297507115780958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110.43805901666033</v>
      </c>
      <c r="CZ56" s="59">
        <f t="shared" si="42"/>
        <v>319.51880962151881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21.360425499603881</v>
      </c>
      <c r="DG56" s="21">
        <f>EXP(-LN(2)/25)*DG55+(1-EXP(-LN(2)/25))/(LN(2)/25)*Calculateur!DB56*Calculateur!DD56*VLOOKUP('Données projet'!$B$13,Paramètres!$A$1:$I$89,3,0)*0.475*44/12</f>
        <v>7.3195884907449331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28.680013990348815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3.3000000000000003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12.100000000000001</v>
      </c>
      <c r="H57" s="67">
        <f t="shared" si="1"/>
        <v>208.26666666666665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707.75</v>
      </c>
      <c r="L57" s="12">
        <f>VLOOKUP(A57,'Données projet'!$A$35:$I$55,9,0)</f>
        <v>26.006666666666661</v>
      </c>
      <c r="M57" s="12">
        <f t="array" ref="M57">INDEX(L:L,MIN(IF(ISNUMBER(L57:L253),ROW(L57:L253),"")))</f>
        <v>26.006666666666661</v>
      </c>
      <c r="N57" s="13">
        <f>IF('Données projet'!$A$36&gt;35,N56+M57-V56,IF(A57&lt;'Données projet'!$A$36,$K$205^A57,IF(A57='Données projet'!$A$36,'Données projet'!$B$36,N56+M57-V56)))</f>
        <v>707.74999999999989</v>
      </c>
      <c r="O57" s="13">
        <f>N57*VLOOKUP('Données projet'!$B$9,Paramètres!$A$1:$I$89,3,0)*VLOOKUP('Données projet'!$B$9,Paramètres!$A$1:$I$89,5,0)</f>
        <v>395.63224999999994</v>
      </c>
      <c r="P57" s="13">
        <f t="shared" si="33"/>
        <v>90.890605900198707</v>
      </c>
      <c r="Q57" s="20">
        <f t="shared" si="53"/>
        <v>847.360640692846</v>
      </c>
      <c r="R57" s="59">
        <f t="shared" si="0"/>
        <v>1117.1788599866231</v>
      </c>
      <c r="S57" s="59">
        <f ca="1">AVERAGE(OFFSET($R$3,0,0,'Données projet'!$E$9+1,1))-AVERAGE(OFFSET($H$3,0,0,'Données projet'!$E$9+1,1))</f>
        <v>414.37917672189968</v>
      </c>
      <c r="T57" s="59">
        <f t="shared" si="34"/>
        <v>546.83385887302961</v>
      </c>
      <c r="U57" s="15">
        <f>IF(ISNA(VLOOKUP(A57,'Données projet'!$A$35:$I$55,3,0)),0,VLOOKUP(A57,'Données projet'!$A$35:$I$55,3,0))</f>
        <v>13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0.44000000000000006</v>
      </c>
      <c r="X57" s="16">
        <f>IF(ISNA(VLOOKUP(A57,'Données projet'!$A$35:$I$55,6,0)),0%,VLOOKUP(A57,'Données projet'!$A$35:$I$55,6,0)*VLOOKUP('Données projet'!$B$9,Paramètres!$A$1:$I$89,7,0))</f>
        <v>6.0500000000000005E-2</v>
      </c>
      <c r="Y57" s="16">
        <f>IF(ISNA(VLOOKUP(A57,'Données projet'!$A$35:$I$55,7,0)),0%,VLOOKUP(A57,'Données projet'!$A$35:$I$55,7,0))</f>
        <v>0.09</v>
      </c>
      <c r="Z57" s="21">
        <f>EXP(-LN(2)/35)*Z56+(1-EXP(-LN(2)/35))/(LN(2)/35)*V57*W57*VLOOKUP('Données projet'!$B$9,Paramètres!$A$1:$I$89,3,0)*0.475*44/12</f>
        <v>300.55498310259776</v>
      </c>
      <c r="AA57" s="21">
        <f>EXP(-LN(2)/25)*AA56+(1-EXP(-LN(2)/25))/(LN(2)/25)*Calculateur!V57*Calculateur!X57*VLOOKUP('Données projet'!$B$9,Paramètres!$A$1:$I$89,3,0)*0.475*44/12</f>
        <v>64.332756090949459</v>
      </c>
      <c r="AB57" s="21">
        <f>EXP(-LN(2)/2)*AB56+(1-EXP(-LN(2)/2))/(LN(2)/2)*V57*Y57*VLOOKUP('Données projet'!$B$9,Paramètres!$A$1:$I$89,3,0)*0.475*44/12</f>
        <v>41.223494749754884</v>
      </c>
      <c r="AC57" s="22">
        <f t="shared" si="3"/>
        <v>406.11123394330207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10.6</v>
      </c>
      <c r="AI57" s="13">
        <f>IF('Données projet'!$A$62&gt;35,AI56+AH57-AQ56,IF(A57&lt;'Données projet'!$A$62,$AF$205^A57,IF(A57='Données projet'!$A$62,'Données projet'!$B$62,AI56+AH57-AQ56)))</f>
        <v>346.4000000000002</v>
      </c>
      <c r="AJ57" s="13">
        <f>AI57*VLOOKUP('Données projet'!$B$10,Paramètres!$A$1:$I$89,3,0)*VLOOKUP('Données projet'!$B$10,Paramètres!$A$1:$I$89,5,0)</f>
        <v>216.15360000000015</v>
      </c>
      <c r="AK57" s="13">
        <f t="shared" si="35"/>
        <v>53.278033432718956</v>
      </c>
      <c r="AL57" s="20">
        <f t="shared" si="4"/>
        <v>469.26009489531907</v>
      </c>
      <c r="AM57" s="59">
        <f t="shared" si="5"/>
        <v>739.07831418909632</v>
      </c>
      <c r="AN57" s="59">
        <f ca="1">AVERAGE(OFFSET($AM$3,0,0,'Données projet'!$E$10+1,1))-AVERAGE(OFFSET($H$3,0,0,'Données projet'!$E$10+1,1))</f>
        <v>296.20984079604017</v>
      </c>
      <c r="AO57" s="59">
        <f t="shared" si="36"/>
        <v>351.8406329895206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46.781313271239682</v>
      </c>
      <c r="AV57" s="21">
        <f>EXP(-LN(2)/25)*AV56+(1-EXP(-LN(2)/25))/(LN(2)/25)*Calculateur!AQ57*Calculateur!AS57*VLOOKUP('Données projet'!$B$10,Paramètres!$A$1:$I$89,3,0)*0.475*44/12</f>
        <v>25.67247522444179</v>
      </c>
      <c r="AW57" s="21">
        <f>EXP(-LN(2)/2)*AW56+(1-EXP(-LN(2)/2))/(LN(2)/2)*AQ57*AT57*VLOOKUP('Données projet'!$B$10,Paramètres!$A$1:$I$89,3,0)*0.475*44/12</f>
        <v>0.99699382438255923</v>
      </c>
      <c r="AX57" s="21">
        <f t="shared" si="6"/>
        <v>73.450782320064022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222.22</v>
      </c>
      <c r="BB57" s="12">
        <f>VLOOKUP(A57,'Données projet'!$A$87:$I$107,9,0)</f>
        <v>12.126666666666665</v>
      </c>
      <c r="BC57" s="12">
        <f t="array" ref="BC57">INDEX(BB:BB,MIN(IF(ISNUMBER(BB57:BB253),ROW(BB57:BB253),"")))</f>
        <v>12.126666666666665</v>
      </c>
      <c r="BD57" s="12">
        <f>IF('Données projet'!$A$88&gt;35,BD56+BC57-BL56,IF(A57&lt;'Données projet'!$A$88,$BA$205^A57,IF(A57='Données projet'!$A$88,'Données projet'!$B$88,BD56+BC57-BL56)))</f>
        <v>222.22000000000003</v>
      </c>
      <c r="BE57" s="13">
        <f>BD57*VLOOKUP('Données projet'!$B$11,Paramètres!$A$1:$I$89,3,0)*VLOOKUP('Données projet'!$B$11,Paramètres!$A$1:$I$89,5,0)</f>
        <v>194.13139200000006</v>
      </c>
      <c r="BF57" s="13">
        <f t="shared" si="37"/>
        <v>48.452198303757129</v>
      </c>
      <c r="BG57" s="20">
        <f t="shared" si="7"/>
        <v>422.49975311237716</v>
      </c>
      <c r="BH57" s="59">
        <f t="shared" si="8"/>
        <v>692.31797240615447</v>
      </c>
      <c r="BI57" s="59">
        <f ca="1">AVERAGE(OFFSET($BH$3,0,0,'Données projet'!$E$11+1,1))-AVERAGE(OFFSET($H$3,0,0,'Données projet'!$E$11+1,1))</f>
        <v>385.40047672167555</v>
      </c>
      <c r="BJ57" s="59">
        <f t="shared" si="38"/>
        <v>286.49293757741611</v>
      </c>
      <c r="BK57" s="15">
        <f>IF(ISNA(VLOOKUP(A57,'Données projet'!$A$87:$I$107,3,0)),0,VLOOKUP(A57,'Données projet'!$A$87:$I$107,3,0))</f>
        <v>8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0.129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9.5410285554568919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9.5410285554568919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5.2</v>
      </c>
      <c r="BY57" s="12">
        <f>IF('Données projet'!$A$114&gt;35,BY56+BX57-CG56,IF(A57&lt;'Données projet'!$A$114,$BV$205^A57,IF(A57='Données projet'!$A$114,'Données projet'!$B$114,BY56+BX57-CG56)))</f>
        <v>303.79999999999995</v>
      </c>
      <c r="BZ57" s="13">
        <f>BY57*VLOOKUP('Données projet'!$B$12,Paramètres!$A$1:$I$89,3,0)*VLOOKUP('Données projet'!$B$12,Paramètres!$A$1:$I$89,5,0)</f>
        <v>274.87823999999995</v>
      </c>
      <c r="CA57" s="13">
        <f t="shared" si="39"/>
        <v>65.883473548937019</v>
      </c>
      <c r="CB57" s="20">
        <f t="shared" si="10"/>
        <v>593.49331776439851</v>
      </c>
      <c r="CC57" s="59">
        <f t="shared" si="11"/>
        <v>863.31153705817576</v>
      </c>
      <c r="CD57" s="59">
        <f ca="1">AVERAGE(OFFSET($CC$3,0,0,'Données projet'!$E$12+1,1))-AVERAGE(OFFSET($H$3,0,0,'Données projet'!$E$12+1,1))</f>
        <v>397.12030701006762</v>
      </c>
      <c r="CE57" s="59">
        <f t="shared" si="40"/>
        <v>476.47513516380047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10.095579282099651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10.095579282099651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110.43805901666033</v>
      </c>
      <c r="CZ57" s="59">
        <f t="shared" si="42"/>
        <v>319.51880962151881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20.941560584129739</v>
      </c>
      <c r="DG57" s="21">
        <f>EXP(-LN(2)/25)*DG56+(1-EXP(-LN(2)/25))/(LN(2)/25)*Calculateur!DB57*Calculateur!DD57*VLOOKUP('Données projet'!$B$13,Paramètres!$A$1:$I$89,3,0)*0.475*44/12</f>
        <v>7.1194339585450832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28.060994542674823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3.3000000000000003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12.100000000000001</v>
      </c>
      <c r="H58" s="67">
        <f t="shared" si="1"/>
        <v>208.26666666666665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414.37917672189968</v>
      </c>
      <c r="T58" s="59">
        <f t="shared" si="34"/>
        <v>546.83385887302961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294.66128320439412</v>
      </c>
      <c r="AA58" s="21">
        <f>EXP(-LN(2)/25)*AA57+(1-EXP(-LN(2)/25))/(LN(2)/25)*Calculateur!V58*Calculateur!X58*VLOOKUP('Données projet'!$B$9,Paramètres!$A$1:$I$89,3,0)*0.475*44/12</f>
        <v>62.573573492529839</v>
      </c>
      <c r="AB58" s="21">
        <f>EXP(-LN(2)/2)*AB57+(1-EXP(-LN(2)/2))/(LN(2)/2)*V58*Y58*VLOOKUP('Données projet'!$B$9,Paramètres!$A$1:$I$89,3,0)*0.475*44/12</f>
        <v>29.149412681759721</v>
      </c>
      <c r="AC58" s="22">
        <f t="shared" si="3"/>
        <v>386.38426937868365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357</v>
      </c>
      <c r="AG58" s="12">
        <f>VLOOKUP(A58,'Données projet'!$A$61:$I$81,9,0)</f>
        <v>10.6</v>
      </c>
      <c r="AH58" s="12">
        <f t="array" ref="AH58">INDEX(AG:AG,MIN(IF(ISNUMBER(AG58:AG254),ROW(AG58:AG254),"")))</f>
        <v>10.6</v>
      </c>
      <c r="AI58" s="13">
        <f>IF('Données projet'!$A$62&gt;35,AI57+AH58-AQ57,IF(A58&lt;'Données projet'!$A$62,$AF$205^A58,IF(A58='Données projet'!$A$62,'Données projet'!$B$62,AI57+AH58-AQ57)))</f>
        <v>357.00000000000023</v>
      </c>
      <c r="AJ58" s="13">
        <f>AI58*VLOOKUP('Données projet'!$B$10,Paramètres!$A$1:$I$89,3,0)*VLOOKUP('Données projet'!$B$10,Paramètres!$A$1:$I$89,5,0)</f>
        <v>222.76800000000014</v>
      </c>
      <c r="AK58" s="13">
        <f t="shared" si="35"/>
        <v>54.716058356609558</v>
      </c>
      <c r="AL58" s="20">
        <f t="shared" si="4"/>
        <v>483.28473497109525</v>
      </c>
      <c r="AM58" s="59">
        <f t="shared" si="5"/>
        <v>753.51088892153973</v>
      </c>
      <c r="AN58" s="59">
        <f ca="1">AVERAGE(OFFSET($AM$3,0,0,'Données projet'!$E$10+1,1))-AVERAGE(OFFSET($H$3,0,0,'Données projet'!$E$10+1,1))</f>
        <v>296.20984079604017</v>
      </c>
      <c r="AO58" s="59">
        <f t="shared" si="36"/>
        <v>351.8406329895206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29</v>
      </c>
      <c r="AR58" s="16">
        <f>IF(ISNA(VLOOKUP(A58,'Données projet'!$A$61:$I$81,5,0)),0%,VLOOKUP(A58,'Données projet'!$A$61:$I$81,5,0)*VLOOKUP('Données projet'!$B$10,Paramètres!$A$1:$I$89,7,0))</f>
        <v>0.48</v>
      </c>
      <c r="AS58" s="16">
        <f>IF(ISNA(VLOOKUP(A58,'Données projet'!$A$61:$I$81,6,0)),0%,VLOOKUP(A58,'Données projet'!$A$61:$I$81,6,0)*VLOOKUP('Données projet'!$B$10,Paramètres!$A$1:$I$89,7,0))</f>
        <v>6.6000000000000003E-2</v>
      </c>
      <c r="AT58" s="16">
        <f>IF(ISNA(VLOOKUP(A58,'Données projet'!$A$61:$I$81,7,0)),0%,VLOOKUP(A58,'Données projet'!$A$61:$I$81,7,0))</f>
        <v>0.09</v>
      </c>
      <c r="AU58" s="21">
        <f>EXP(-LN(2)/35)*AU57+(1-EXP(-LN(2)/35))/(LN(2)/35)*AQ58*AR58*VLOOKUP('Données projet'!$B$10,Paramètres!$A$1:$I$89,3,0)*0.475*44/12</f>
        <v>57.386605236878566</v>
      </c>
      <c r="AV58" s="21">
        <f>EXP(-LN(2)/25)*AV57+(1-EXP(-LN(2)/25))/(LN(2)/25)*Calculateur!AQ58*Calculateur!AS58*VLOOKUP('Données projet'!$B$10,Paramètres!$A$1:$I$89,3,0)*0.475*44/12</f>
        <v>26.548585481304954</v>
      </c>
      <c r="AW58" s="21">
        <f>EXP(-LN(2)/2)*AW57+(1-EXP(-LN(2)/2))/(LN(2)/2)*AQ58*AT58*VLOOKUP('Données projet'!$B$10,Paramètres!$A$1:$I$89,3,0)*0.475*44/12</f>
        <v>2.5489799030655207</v>
      </c>
      <c r="AX58" s="21">
        <f t="shared" si="6"/>
        <v>86.484170621249035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12.842499999999994</v>
      </c>
      <c r="BD58" s="12">
        <f>IF('Données projet'!$A$88&gt;35,BD57+BC58-BL57,IF(A58&lt;'Données projet'!$A$88,$BA$205^A58,IF(A58='Données projet'!$A$88,'Données projet'!$B$88,BD57+BC58-BL57)))</f>
        <v>235.06250000000003</v>
      </c>
      <c r="BE58" s="13">
        <f>BD58*VLOOKUP('Données projet'!$B$11,Paramètres!$A$1:$I$89,3,0)*VLOOKUP('Données projet'!$B$11,Paramètres!$A$1:$I$89,5,0)</f>
        <v>205.35060000000004</v>
      </c>
      <c r="BF58" s="13">
        <f t="shared" si="37"/>
        <v>50.918254727826657</v>
      </c>
      <c r="BG58" s="20">
        <f t="shared" si="7"/>
        <v>446.33492198429809</v>
      </c>
      <c r="BH58" s="59">
        <f t="shared" si="8"/>
        <v>716.56107593474258</v>
      </c>
      <c r="BI58" s="59">
        <f ca="1">AVERAGE(OFFSET($BH$3,0,0,'Données projet'!$E$11+1,1))-AVERAGE(OFFSET($H$3,0,0,'Données projet'!$E$11+1,1))</f>
        <v>385.40047672167555</v>
      </c>
      <c r="BJ58" s="59">
        <f t="shared" si="38"/>
        <v>286.49293757741611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9.3539348049371771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9.3539348049371771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309</v>
      </c>
      <c r="BW58" s="12">
        <f>VLOOKUP(A58,'Données projet'!$A$113:$I$133,9,0)</f>
        <v>5.2</v>
      </c>
      <c r="BX58" s="12">
        <f t="array" ref="BX58">INDEX(BW:BW,MIN(IF(ISNUMBER(BW58:BW254),ROW(BW58:BW254),"")))</f>
        <v>5.2</v>
      </c>
      <c r="BY58" s="12">
        <f>IF('Données projet'!$A$114&gt;35,BY57+BX58-CG57,IF(A58&lt;'Données projet'!$A$114,$BV$205^A58,IF(A58='Données projet'!$A$114,'Données projet'!$B$114,BY57+BX58-CG57)))</f>
        <v>308.99999999999994</v>
      </c>
      <c r="BZ58" s="13">
        <f>BY58*VLOOKUP('Données projet'!$B$12,Paramètres!$A$1:$I$89,3,0)*VLOOKUP('Données projet'!$B$12,Paramètres!$A$1:$I$89,5,0)</f>
        <v>279.58319999999992</v>
      </c>
      <c r="CA58" s="13">
        <f t="shared" si="39"/>
        <v>66.878919424339557</v>
      </c>
      <c r="CB58" s="20">
        <f t="shared" si="10"/>
        <v>603.42152466405787</v>
      </c>
      <c r="CC58" s="59">
        <f t="shared" si="11"/>
        <v>873.64767861450241</v>
      </c>
      <c r="CD58" s="59">
        <f ca="1">AVERAGE(OFFSET($CC$3,0,0,'Données projet'!$E$12+1,1))-AVERAGE(OFFSET($H$3,0,0,'Données projet'!$E$12+1,1))</f>
        <v>397.12030701006762</v>
      </c>
      <c r="CE58" s="59">
        <f t="shared" si="40"/>
        <v>476.47513516380047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11</v>
      </c>
      <c r="CH58" s="16">
        <f>IF(ISNA(VLOOKUP(A58,'Données projet'!$A$113:$I$133,5,0)),0%,VLOOKUP(A58,'Données projet'!$A$113:$I$133,5,0)*VLOOKUP('Données projet'!$B$12,Paramètres!$A$1:$I$89,7,0))</f>
        <v>0.18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11.878065736887816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11.878065736887816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110.43805901666033</v>
      </c>
      <c r="CZ58" s="59">
        <f t="shared" si="42"/>
        <v>319.51880962151881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20.530909354165672</v>
      </c>
      <c r="DG58" s="21">
        <f>EXP(-LN(2)/25)*DG57+(1-EXP(-LN(2)/25))/(LN(2)/25)*Calculateur!DB58*Calculateur!DD58*VLOOKUP('Données projet'!$B$13,Paramètres!$A$1:$I$89,3,0)*0.475*44/12</f>
        <v>6.9247526625539075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27.455662016719579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3.3000000000000003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12.100000000000001</v>
      </c>
      <c r="H59" s="67">
        <f t="shared" si="1"/>
        <v>208.26666666666665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414.37917672189968</v>
      </c>
      <c r="T59" s="59">
        <f t="shared" si="34"/>
        <v>546.83385887302961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288.88315516639227</v>
      </c>
      <c r="AA59" s="21">
        <f>EXP(-LN(2)/25)*AA58+(1-EXP(-LN(2)/25))/(LN(2)/25)*Calculateur!V59*Calculateur!X59*VLOOKUP('Données projet'!$B$9,Paramètres!$A$1:$I$89,3,0)*0.475*44/12</f>
        <v>60.862495834775395</v>
      </c>
      <c r="AB59" s="21">
        <f>EXP(-LN(2)/2)*AB58+(1-EXP(-LN(2)/2))/(LN(2)/2)*V59*Y59*VLOOKUP('Données projet'!$B$9,Paramètres!$A$1:$I$89,3,0)*0.475*44/12</f>
        <v>20.611747374877446</v>
      </c>
      <c r="AC59" s="22">
        <f t="shared" si="3"/>
        <v>370.35739837604513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337.4000000000002</v>
      </c>
      <c r="AJ59" s="13">
        <f>AI59*VLOOKUP('Données projet'!$B$10,Paramètres!$A$1:$I$89,3,0)*VLOOKUP('Données projet'!$B$10,Paramètres!$A$1:$I$89,5,0)</f>
        <v>210.53760000000011</v>
      </c>
      <c r="AK59" s="13">
        <f t="shared" si="35"/>
        <v>52.053047337322276</v>
      </c>
      <c r="AL59" s="20">
        <f t="shared" si="4"/>
        <v>457.34537744583645</v>
      </c>
      <c r="AM59" s="59">
        <f t="shared" si="5"/>
        <v>727.97238929866012</v>
      </c>
      <c r="AN59" s="59">
        <f ca="1">AVERAGE(OFFSET($AM$3,0,0,'Données projet'!$E$10+1,1))-AVERAGE(OFFSET($H$3,0,0,'Données projet'!$E$10+1,1))</f>
        <v>296.20984079604017</v>
      </c>
      <c r="AO59" s="59">
        <f t="shared" si="36"/>
        <v>351.8406329895206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56.261288910556374</v>
      </c>
      <c r="AV59" s="21">
        <f>EXP(-LN(2)/25)*AV58+(1-EXP(-LN(2)/25))/(LN(2)/25)*Calculateur!AQ59*Calculateur!AS59*VLOOKUP('Données projet'!$B$10,Paramètres!$A$1:$I$89,3,0)*0.475*44/12</f>
        <v>25.822613015189237</v>
      </c>
      <c r="AW59" s="21">
        <f>EXP(-LN(2)/2)*AW58+(1-EXP(-LN(2)/2))/(LN(2)/2)*AQ59*AT59*VLOOKUP('Données projet'!$B$10,Paramètres!$A$1:$I$89,3,0)*0.475*44/12</f>
        <v>1.8024009745658585</v>
      </c>
      <c r="AX59" s="21">
        <f t="shared" si="6"/>
        <v>83.886302900311463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12.842499999999994</v>
      </c>
      <c r="BD59" s="12">
        <f>IF('Données projet'!$A$88&gt;35,BD58+BC59-BL58,IF(A59&lt;'Données projet'!$A$88,$BA$205^A59,IF(A59='Données projet'!$A$88,'Données projet'!$B$88,BD58+BC59-BL58)))</f>
        <v>247.90500000000003</v>
      </c>
      <c r="BE59" s="13">
        <f>BD59*VLOOKUP('Données projet'!$B$11,Paramètres!$A$1:$I$89,3,0)*VLOOKUP('Données projet'!$B$11,Paramètres!$A$1:$I$89,5,0)</f>
        <v>216.56980800000005</v>
      </c>
      <c r="BF59" s="13">
        <f t="shared" si="37"/>
        <v>53.368669949425545</v>
      </c>
      <c r="BG59" s="20">
        <f t="shared" si="7"/>
        <v>470.14284909524957</v>
      </c>
      <c r="BH59" s="59">
        <f t="shared" si="8"/>
        <v>740.7698609480733</v>
      </c>
      <c r="BI59" s="59">
        <f ca="1">AVERAGE(OFFSET($BH$3,0,0,'Données projet'!$E$11+1,1))-AVERAGE(OFFSET($H$3,0,0,'Données projet'!$E$11+1,1))</f>
        <v>385.40047672167555</v>
      </c>
      <c r="BJ59" s="59">
        <f t="shared" si="38"/>
        <v>286.49293757741611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9.1705098487492354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9.1705098487492354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302.99999999999994</v>
      </c>
      <c r="BZ59" s="13">
        <f>BY59*VLOOKUP('Données projet'!$B$12,Paramètres!$A$1:$I$89,3,0)*VLOOKUP('Données projet'!$B$12,Paramètres!$A$1:$I$89,5,0)</f>
        <v>274.15439999999995</v>
      </c>
      <c r="CA59" s="13">
        <f t="shared" si="39"/>
        <v>65.730152764515779</v>
      </c>
      <c r="CB59" s="20">
        <f t="shared" si="10"/>
        <v>591.96559606486483</v>
      </c>
      <c r="CC59" s="59">
        <f t="shared" si="11"/>
        <v>862.59260791768861</v>
      </c>
      <c r="CD59" s="59">
        <f ca="1">AVERAGE(OFFSET($CC$3,0,0,'Données projet'!$E$12+1,1))-AVERAGE(OFFSET($H$3,0,0,'Données projet'!$E$12+1,1))</f>
        <v>397.12030701006762</v>
      </c>
      <c r="CE59" s="59">
        <f t="shared" si="40"/>
        <v>476.47513516380047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11.64514411269217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11.64514411269217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110.43805901666033</v>
      </c>
      <c r="CZ59" s="59">
        <f t="shared" si="42"/>
        <v>319.51880962151881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20.128310744348685</v>
      </c>
      <c r="DG59" s="21">
        <f>EXP(-LN(2)/25)*DG58+(1-EXP(-LN(2)/25))/(LN(2)/25)*Calculateur!DB59*Calculateur!DD59*VLOOKUP('Données projet'!$B$13,Paramètres!$A$1:$I$89,3,0)*0.475*44/12</f>
        <v>6.7353949368394552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26.86370568118814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3.3000000000000003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12.100000000000001</v>
      </c>
      <c r="H60" s="67">
        <f t="shared" si="1"/>
        <v>208.26666666666665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414.37917672189968</v>
      </c>
      <c r="T60" s="59">
        <f t="shared" si="34"/>
        <v>546.83385887302961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283.21833269490554</v>
      </c>
      <c r="AA60" s="21">
        <f>EXP(-LN(2)/25)*AA59+(1-EXP(-LN(2)/25))/(LN(2)/25)*Calculateur!V60*Calculateur!X60*VLOOKUP('Données projet'!$B$9,Paramètres!$A$1:$I$89,3,0)*0.475*44/12</f>
        <v>59.198207685553911</v>
      </c>
      <c r="AB60" s="21">
        <f>EXP(-LN(2)/2)*AB59+(1-EXP(-LN(2)/2))/(LN(2)/2)*V60*Y60*VLOOKUP('Données projet'!$B$9,Paramètres!$A$1:$I$89,3,0)*0.475*44/12</f>
        <v>14.574706340879862</v>
      </c>
      <c r="AC60" s="22">
        <f t="shared" si="3"/>
        <v>356.99124672133928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346.80000000000018</v>
      </c>
      <c r="AJ60" s="13">
        <f>AI60*VLOOKUP('Données projet'!$B$10,Paramètres!$A$1:$I$89,3,0)*VLOOKUP('Données projet'!$B$10,Paramètres!$A$1:$I$89,5,0)</f>
        <v>216.40320000000011</v>
      </c>
      <c r="AK60" s="13">
        <f t="shared" si="35"/>
        <v>53.332390601194838</v>
      </c>
      <c r="AL60" s="20">
        <f t="shared" si="4"/>
        <v>469.78948696374778</v>
      </c>
      <c r="AM60" s="59">
        <f t="shared" si="5"/>
        <v>740.81040273052849</v>
      </c>
      <c r="AN60" s="59">
        <f ca="1">AVERAGE(OFFSET($AM$3,0,0,'Données projet'!$E$10+1,1))-AVERAGE(OFFSET($H$3,0,0,'Données projet'!$E$10+1,1))</f>
        <v>296.20984079604017</v>
      </c>
      <c r="AO60" s="59">
        <f t="shared" si="36"/>
        <v>351.8406329895206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55.158039351018175</v>
      </c>
      <c r="AV60" s="21">
        <f>EXP(-LN(2)/25)*AV59+(1-EXP(-LN(2)/25))/(LN(2)/25)*Calculateur!AQ60*Calculateur!AS60*VLOOKUP('Données projet'!$B$10,Paramètres!$A$1:$I$89,3,0)*0.475*44/12</f>
        <v>25.116492304336688</v>
      </c>
      <c r="AW60" s="21">
        <f>EXP(-LN(2)/2)*AW59+(1-EXP(-LN(2)/2))/(LN(2)/2)*AQ60*AT60*VLOOKUP('Données projet'!$B$10,Paramètres!$A$1:$I$89,3,0)*0.475*44/12</f>
        <v>1.2744899515327606</v>
      </c>
      <c r="AX60" s="21">
        <f t="shared" si="6"/>
        <v>81.549021606887621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12.842499999999994</v>
      </c>
      <c r="BD60" s="12">
        <f>IF('Données projet'!$A$88&gt;35,BD59+BC60-BL59,IF(A60&lt;'Données projet'!$A$88,$BA$205^A60,IF(A60='Données projet'!$A$88,'Données projet'!$B$88,BD59+BC60-BL59)))</f>
        <v>260.7475</v>
      </c>
      <c r="BE60" s="13">
        <f>BD60*VLOOKUP('Données projet'!$B$11,Paramètres!$A$1:$I$89,3,0)*VLOOKUP('Données projet'!$B$11,Paramètres!$A$1:$I$89,5,0)</f>
        <v>227.78901600000003</v>
      </c>
      <c r="BF60" s="13">
        <f t="shared" si="37"/>
        <v>55.80434666956414</v>
      </c>
      <c r="BG60" s="20">
        <f t="shared" si="7"/>
        <v>493.92510664949083</v>
      </c>
      <c r="BH60" s="59">
        <f t="shared" si="8"/>
        <v>764.94602241627149</v>
      </c>
      <c r="BI60" s="59">
        <f ca="1">AVERAGE(OFFSET($BH$3,0,0,'Données projet'!$E$11+1,1))-AVERAGE(OFFSET($H$3,0,0,'Données projet'!$E$11+1,1))</f>
        <v>385.40047672167555</v>
      </c>
      <c r="BJ60" s="59">
        <f t="shared" si="38"/>
        <v>286.49293757741611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8.9906817440739619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8.9906817440739619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307.99999999999994</v>
      </c>
      <c r="BZ60" s="13">
        <f>BY60*VLOOKUP('Données projet'!$B$12,Paramètres!$A$1:$I$89,3,0)*VLOOKUP('Données projet'!$B$12,Paramètres!$A$1:$I$89,5,0)</f>
        <v>278.67839999999995</v>
      </c>
      <c r="CA60" s="13">
        <f t="shared" si="39"/>
        <v>66.687639951856809</v>
      </c>
      <c r="CB60" s="20">
        <f t="shared" si="10"/>
        <v>601.51251958281716</v>
      </c>
      <c r="CC60" s="59">
        <f t="shared" si="11"/>
        <v>872.53343534959777</v>
      </c>
      <c r="CD60" s="59">
        <f ca="1">AVERAGE(OFFSET($CC$3,0,0,'Données projet'!$E$12+1,1))-AVERAGE(OFFSET($H$3,0,0,'Données projet'!$E$12+1,1))</f>
        <v>397.12030701006762</v>
      </c>
      <c r="CE60" s="59">
        <f t="shared" si="40"/>
        <v>476.47513516380047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11.416789939478839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11.416789939478839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110.43805901666033</v>
      </c>
      <c r="CZ60" s="59">
        <f t="shared" si="42"/>
        <v>319.51880962151881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19.733606847709304</v>
      </c>
      <c r="DG60" s="21">
        <f>EXP(-LN(2)/25)*DG59+(1-EXP(-LN(2)/25))/(LN(2)/25)*Calculateur!DB60*Calculateur!DD60*VLOOKUP('Données projet'!$B$13,Paramètres!$A$1:$I$89,3,0)*0.475*44/12</f>
        <v>6.5512152080925548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26.284822055801857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3.3000000000000003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12.100000000000001</v>
      </c>
      <c r="H61" s="67">
        <f t="shared" si="1"/>
        <v>208.26666666666665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414.37917672189968</v>
      </c>
      <c r="T61" s="59">
        <f t="shared" si="34"/>
        <v>546.83385887302961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277.6645939368841</v>
      </c>
      <c r="AA61" s="21">
        <f>EXP(-LN(2)/25)*AA60+(1-EXP(-LN(2)/25))/(LN(2)/25)*Calculateur!V61*Calculateur!X61*VLOOKUP('Données projet'!$B$9,Paramètres!$A$1:$I$89,3,0)*0.475*44/12</f>
        <v>57.579429583293994</v>
      </c>
      <c r="AB61" s="21">
        <f>EXP(-LN(2)/2)*AB60+(1-EXP(-LN(2)/2))/(LN(2)/2)*V61*Y61*VLOOKUP('Données projet'!$B$9,Paramètres!$A$1:$I$89,3,0)*0.475*44/12</f>
        <v>10.305873687438725</v>
      </c>
      <c r="AC61" s="22">
        <f t="shared" si="3"/>
        <v>345.54989720761682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356.20000000000016</v>
      </c>
      <c r="AJ61" s="13">
        <f>AI61*VLOOKUP('Données projet'!$B$10,Paramètres!$A$1:$I$89,3,0)*VLOOKUP('Données projet'!$B$10,Paramètres!$A$1:$I$89,5,0)</f>
        <v>222.26880000000008</v>
      </c>
      <c r="AK61" s="13">
        <f t="shared" si="35"/>
        <v>54.607703354107706</v>
      </c>
      <c r="AL61" s="20">
        <f t="shared" si="4"/>
        <v>482.22657667507104</v>
      </c>
      <c r="AM61" s="59">
        <f t="shared" si="5"/>
        <v>753.63456300353869</v>
      </c>
      <c r="AN61" s="59">
        <f ca="1">AVERAGE(OFFSET($AM$3,0,0,'Données projet'!$E$10+1,1))-AVERAGE(OFFSET($H$3,0,0,'Données projet'!$E$10+1,1))</f>
        <v>296.20984079604017</v>
      </c>
      <c r="AO61" s="59">
        <f t="shared" si="36"/>
        <v>351.8406329895206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54.076423842426735</v>
      </c>
      <c r="AV61" s="21">
        <f>EXP(-LN(2)/25)*AV60+(1-EXP(-LN(2)/25))/(LN(2)/25)*Calculateur!AQ61*Calculateur!AS61*VLOOKUP('Données projet'!$B$10,Paramètres!$A$1:$I$89,3,0)*0.475*44/12</f>
        <v>24.429680501455675</v>
      </c>
      <c r="AW61" s="21">
        <f>EXP(-LN(2)/2)*AW60+(1-EXP(-LN(2)/2))/(LN(2)/2)*AQ61*AT61*VLOOKUP('Données projet'!$B$10,Paramètres!$A$1:$I$89,3,0)*0.475*44/12</f>
        <v>0.90120048728292934</v>
      </c>
      <c r="AX61" s="21">
        <f t="shared" si="6"/>
        <v>79.407304831165348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273.58999999999997</v>
      </c>
      <c r="BB61" s="12">
        <f>VLOOKUP(A61,'Données projet'!$A$87:$I$107,9,0)</f>
        <v>12.842499999999994</v>
      </c>
      <c r="BC61" s="12">
        <f t="array" ref="BC61">INDEX(BB:BB,MIN(IF(ISNUMBER(BB61:BB257),ROW(BB61:BB257),"")))</f>
        <v>12.842499999999994</v>
      </c>
      <c r="BD61" s="12">
        <f>IF('Données projet'!$A$88&gt;35,BD60+BC61-BL60,IF(A61&lt;'Données projet'!$A$88,$BA$205^A61,IF(A61='Données projet'!$A$88,'Données projet'!$B$88,BD60+BC61-BL60)))</f>
        <v>273.58999999999997</v>
      </c>
      <c r="BE61" s="13">
        <f>BD61*VLOOKUP('Données projet'!$B$11,Paramètres!$A$1:$I$89,3,0)*VLOOKUP('Données projet'!$B$11,Paramètres!$A$1:$I$89,5,0)</f>
        <v>239.00822399999998</v>
      </c>
      <c r="BF61" s="13">
        <f t="shared" si="37"/>
        <v>58.226093644981326</v>
      </c>
      <c r="BG61" s="20">
        <f t="shared" si="7"/>
        <v>517.68310323167577</v>
      </c>
      <c r="BH61" s="59">
        <f t="shared" si="8"/>
        <v>789.09108956014347</v>
      </c>
      <c r="BI61" s="59">
        <f ca="1">AVERAGE(OFFSET($BH$3,0,0,'Données projet'!$E$11+1,1))-AVERAGE(OFFSET($H$3,0,0,'Données projet'!$E$11+1,1))</f>
        <v>385.40047672167555</v>
      </c>
      <c r="BJ61" s="59">
        <f t="shared" si="38"/>
        <v>286.49293757741611</v>
      </c>
      <c r="BK61" s="15">
        <f>IF(ISNA(VLOOKUP(A61,'Données projet'!$A$87:$I$107,3,0)),0,VLOOKUP(A61,'Données projet'!$A$87:$I$107,3,0))</f>
        <v>9</v>
      </c>
      <c r="BL61" s="15">
        <f>IF(ISNA(VLOOKUP(A61,'Données projet'!$A$87:$I$107,4,0)),0,VLOOKUP(A61,'Données projet'!$A$87:$I$107,4,0))</f>
        <v>48.81</v>
      </c>
      <c r="BM61" s="16">
        <f>IF(ISNA(VLOOKUP(A61,'Données projet'!$A$87:$I$107,5,0)),0%,VLOOKUP(A61,'Données projet'!$A$87:$I$107,5,0)*VLOOKUP('Données projet'!$B$11,Paramètres!$A$1:$I$89,7,0))</f>
        <v>0.17200000000000001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16.922067258588676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16.922067258588676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312.99999999999994</v>
      </c>
      <c r="BZ61" s="13">
        <f>BY61*VLOOKUP('Données projet'!$B$12,Paramètres!$A$1:$I$89,3,0)*VLOOKUP('Données projet'!$B$12,Paramètres!$A$1:$I$89,5,0)</f>
        <v>283.20239999999995</v>
      </c>
      <c r="CA61" s="13">
        <f t="shared" si="39"/>
        <v>67.643319485855841</v>
      </c>
      <c r="CB61" s="20">
        <f t="shared" si="10"/>
        <v>611.05629477119885</v>
      </c>
      <c r="CC61" s="59">
        <f t="shared" si="11"/>
        <v>882.46428109966655</v>
      </c>
      <c r="CD61" s="59">
        <f ca="1">AVERAGE(OFFSET($CC$3,0,0,'Données projet'!$E$12+1,1))-AVERAGE(OFFSET($H$3,0,0,'Données projet'!$E$12+1,1))</f>
        <v>397.12030701006762</v>
      </c>
      <c r="CE61" s="59">
        <f t="shared" si="40"/>
        <v>476.47513516380047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11.192913652319929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11.192913652319929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110.43805901666033</v>
      </c>
      <c r="CZ61" s="59">
        <f t="shared" si="42"/>
        <v>319.51880962151881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19.346642853737414</v>
      </c>
      <c r="DG61" s="21">
        <f>EXP(-LN(2)/25)*DG60+(1-EXP(-LN(2)/25))/(LN(2)/25)*Calculateur!DB61*Calculateur!DD61*VLOOKUP('Données projet'!$B$13,Paramètres!$A$1:$I$89,3,0)*0.475*44/12</f>
        <v>6.3720718837138293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25.718714737451243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3.3000000000000003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12.100000000000001</v>
      </c>
      <c r="H62" s="67">
        <f t="shared" si="1"/>
        <v>208.26666666666665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414.37917672189968</v>
      </c>
      <c r="T62" s="59">
        <f t="shared" si="34"/>
        <v>546.83385887302961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272.21976060846134</v>
      </c>
      <c r="AA62" s="21">
        <f>EXP(-LN(2)/25)*AA61+(1-EXP(-LN(2)/25))/(LN(2)/25)*Calculateur!V62*Calculateur!X62*VLOOKUP('Données projet'!$B$9,Paramètres!$A$1:$I$89,3,0)*0.475*44/12</f>
        <v>56.004917053368217</v>
      </c>
      <c r="AB62" s="21">
        <f>EXP(-LN(2)/2)*AB61+(1-EXP(-LN(2)/2))/(LN(2)/2)*V62*Y62*VLOOKUP('Données projet'!$B$9,Paramètres!$A$1:$I$89,3,0)*0.475*44/12</f>
        <v>7.2873531704399328</v>
      </c>
      <c r="AC62" s="22">
        <f t="shared" si="3"/>
        <v>335.51203083226949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365.60000000000014</v>
      </c>
      <c r="AJ62" s="13">
        <f>AI62*VLOOKUP('Données projet'!$B$10,Paramètres!$A$1:$I$89,3,0)*VLOOKUP('Données projet'!$B$10,Paramètres!$A$1:$I$89,5,0)</f>
        <v>228.13440000000008</v>
      </c>
      <c r="AK62" s="13">
        <f t="shared" si="35"/>
        <v>55.879104186335908</v>
      </c>
      <c r="AL62" s="20">
        <f t="shared" si="4"/>
        <v>494.65685312453519</v>
      </c>
      <c r="AM62" s="59">
        <f t="shared" si="5"/>
        <v>766.44519520580479</v>
      </c>
      <c r="AN62" s="59">
        <f ca="1">AVERAGE(OFFSET($AM$3,0,0,'Données projet'!$E$10+1,1))-AVERAGE(OFFSET($H$3,0,0,'Données projet'!$E$10+1,1))</f>
        <v>296.20984079604017</v>
      </c>
      <c r="AO62" s="59">
        <f t="shared" si="36"/>
        <v>351.8406329895206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53.016018154238452</v>
      </c>
      <c r="AV62" s="21">
        <f>EXP(-LN(2)/25)*AV61+(1-EXP(-LN(2)/25))/(LN(2)/25)*Calculateur!AQ62*Calculateur!AS62*VLOOKUP('Données projet'!$B$10,Paramètres!$A$1:$I$89,3,0)*0.475*44/12</f>
        <v>23.761649603442308</v>
      </c>
      <c r="AW62" s="21">
        <f>EXP(-LN(2)/2)*AW61+(1-EXP(-LN(2)/2))/(LN(2)/2)*AQ62*AT62*VLOOKUP('Données projet'!$B$10,Paramètres!$A$1:$I$89,3,0)*0.475*44/12</f>
        <v>0.63724497576638039</v>
      </c>
      <c r="AX62" s="21">
        <f t="shared" si="6"/>
        <v>77.414912733447139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11.963333333333347</v>
      </c>
      <c r="BD62" s="12">
        <f>IF('Données projet'!$A$88&gt;35,BD61+BC62-BL61,IF(A62&lt;'Données projet'!$A$88,$BA$205^A62,IF(A62='Données projet'!$A$88,'Données projet'!$B$88,BD61+BC62-BL61)))</f>
        <v>236.74333333333334</v>
      </c>
      <c r="BE62" s="13">
        <f>BD62*VLOOKUP('Données projet'!$B$11,Paramètres!$A$1:$I$89,3,0)*VLOOKUP('Données projet'!$B$11,Paramètres!$A$1:$I$89,5,0)</f>
        <v>206.81897600000002</v>
      </c>
      <c r="BF62" s="13">
        <f t="shared" si="37"/>
        <v>51.23983560984847</v>
      </c>
      <c r="BG62" s="20">
        <f t="shared" si="7"/>
        <v>449.45243022048606</v>
      </c>
      <c r="BH62" s="59">
        <f t="shared" si="8"/>
        <v>721.24077230175567</v>
      </c>
      <c r="BI62" s="59">
        <f ca="1">AVERAGE(OFFSET($BH$3,0,0,'Données projet'!$E$11+1,1))-AVERAGE(OFFSET($H$3,0,0,'Données projet'!$E$11+1,1))</f>
        <v>385.40047672167555</v>
      </c>
      <c r="BJ62" s="59">
        <f t="shared" si="38"/>
        <v>286.49293757741611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16.590235841089623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16.590235841089623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317.99999999999994</v>
      </c>
      <c r="BZ62" s="13">
        <f>BY62*VLOOKUP('Données projet'!$B$12,Paramètres!$A$1:$I$89,3,0)*VLOOKUP('Données projet'!$B$12,Paramètres!$A$1:$I$89,5,0)</f>
        <v>287.7263999999999</v>
      </c>
      <c r="CA62" s="13">
        <f t="shared" si="39"/>
        <v>68.597223576766794</v>
      </c>
      <c r="CB62" s="20">
        <f t="shared" si="10"/>
        <v>620.5969777295353</v>
      </c>
      <c r="CC62" s="59">
        <f t="shared" si="11"/>
        <v>892.38531981080496</v>
      </c>
      <c r="CD62" s="59">
        <f ca="1">AVERAGE(OFFSET($CC$3,0,0,'Données projet'!$E$12+1,1))-AVERAGE(OFFSET($H$3,0,0,'Données projet'!$E$12+1,1))</f>
        <v>397.12030701006762</v>
      </c>
      <c r="CE62" s="59">
        <f t="shared" si="40"/>
        <v>476.47513516380047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10.973427442601151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10.973427442601151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110.43805901666033</v>
      </c>
      <c r="CZ62" s="59">
        <f t="shared" si="42"/>
        <v>319.51880962151881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18.967266987662583</v>
      </c>
      <c r="DG62" s="21">
        <f>EXP(-LN(2)/25)*DG61+(1-EXP(-LN(2)/25))/(LN(2)/25)*Calculateur!DB62*Calculateur!DD62*VLOOKUP('Données projet'!$B$13,Paramètres!$A$1:$I$89,3,0)*0.475*44/12</f>
        <v>6.1978272429609778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25.165094230623559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3.3000000000000003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12.100000000000001</v>
      </c>
      <c r="H63" s="67">
        <f t="shared" si="1"/>
        <v>208.26666666666665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414.37917672189968</v>
      </c>
      <c r="T63" s="59">
        <f t="shared" si="34"/>
        <v>546.83385887302961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266.88169714058853</v>
      </c>
      <c r="AA63" s="21">
        <f>EXP(-LN(2)/25)*AA62+(1-EXP(-LN(2)/25))/(LN(2)/25)*Calculateur!V63*Calculateur!X63*VLOOKUP('Données projet'!$B$9,Paramètres!$A$1:$I$89,3,0)*0.475*44/12</f>
        <v>54.473459651373275</v>
      </c>
      <c r="AB63" s="21">
        <f>EXP(-LN(2)/2)*AB62+(1-EXP(-LN(2)/2))/(LN(2)/2)*V63*Y63*VLOOKUP('Données projet'!$B$9,Paramètres!$A$1:$I$89,3,0)*0.475*44/12</f>
        <v>5.1529368437193632</v>
      </c>
      <c r="AC63" s="22">
        <f t="shared" si="3"/>
        <v>326.50809363568118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375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375.00000000000011</v>
      </c>
      <c r="AJ63" s="13">
        <f>AI63*VLOOKUP('Données projet'!$B$10,Paramètres!$A$1:$I$89,3,0)*VLOOKUP('Données projet'!$B$10,Paramètres!$A$1:$I$89,5,0)</f>
        <v>234.00000000000009</v>
      </c>
      <c r="AK63" s="13">
        <f t="shared" si="35"/>
        <v>57.14670524255714</v>
      </c>
      <c r="AL63" s="20">
        <f t="shared" si="4"/>
        <v>507.08051163078716</v>
      </c>
      <c r="AM63" s="59">
        <f t="shared" si="5"/>
        <v>779.24261114289561</v>
      </c>
      <c r="AN63" s="59">
        <f ca="1">AVERAGE(OFFSET($AM$3,0,0,'Données projet'!$E$10+1,1))-AVERAGE(OFFSET($H$3,0,0,'Données projet'!$E$10+1,1))</f>
        <v>296.20984079604017</v>
      </c>
      <c r="AO63" s="59">
        <f t="shared" si="36"/>
        <v>351.8406329895206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375</v>
      </c>
      <c r="AR63" s="16">
        <f>IF(ISNA(VLOOKUP(A63,'Données projet'!$A$61:$I$81,5,0)),0%,VLOOKUP(A63,'Données projet'!$A$61:$I$81,5,0)*VLOOKUP('Données projet'!$B$10,Paramètres!$A$1:$I$89,7,0))</f>
        <v>0.48</v>
      </c>
      <c r="AS63" s="16">
        <f>IF(ISNA(VLOOKUP(A63,'Données projet'!$A$61:$I$81,6,0)),0%,VLOOKUP(A63,'Données projet'!$A$61:$I$81,6,0)*VLOOKUP('Données projet'!$B$10,Paramètres!$A$1:$I$89,7,0))</f>
        <v>6.6000000000000003E-2</v>
      </c>
      <c r="AT63" s="16">
        <f>IF(ISNA(VLOOKUP(A63,'Données projet'!$A$61:$I$81,7,0)),0%,VLOOKUP(A63,'Données projet'!$A$61:$I$81,7,0))</f>
        <v>0.09</v>
      </c>
      <c r="AU63" s="21">
        <f>EXP(-LN(2)/35)*AU62+(1-EXP(-LN(2)/35))/(LN(2)/35)*AQ63*AR63*VLOOKUP('Données projet'!$B$10,Paramètres!$A$1:$I$89,3,0)*0.475*44/12</f>
        <v>200.97612600978107</v>
      </c>
      <c r="AV63" s="21">
        <f>EXP(-LN(2)/25)*AV62+(1-EXP(-LN(2)/25))/(LN(2)/25)*Calculateur!AQ63*Calculateur!AS63*VLOOKUP('Données projet'!$B$10,Paramètres!$A$1:$I$89,3,0)*0.475*44/12</f>
        <v>43.518680553210878</v>
      </c>
      <c r="AW63" s="21">
        <f>EXP(-LN(2)/2)*AW62+(1-EXP(-LN(2)/2))/(LN(2)/2)*AQ63*AT63*VLOOKUP('Données projet'!$B$10,Paramètres!$A$1:$I$89,3,0)*0.475*44/12</f>
        <v>24.295412429548836</v>
      </c>
      <c r="AX63" s="21">
        <f t="shared" si="6"/>
        <v>268.79021899254082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11.963333333333347</v>
      </c>
      <c r="BD63" s="12">
        <f>IF('Données projet'!$A$88&gt;35,BD62+BC63-BL62,IF(A63&lt;'Données projet'!$A$88,$BA$205^A63,IF(A63='Données projet'!$A$88,'Données projet'!$B$88,BD62+BC63-BL62)))</f>
        <v>248.70666666666668</v>
      </c>
      <c r="BE63" s="13">
        <f>BD63*VLOOKUP('Données projet'!$B$11,Paramètres!$A$1:$I$89,3,0)*VLOOKUP('Données projet'!$B$11,Paramètres!$A$1:$I$89,5,0)</f>
        <v>217.27014400000004</v>
      </c>
      <c r="BF63" s="13">
        <f t="shared" si="37"/>
        <v>53.521134536040648</v>
      </c>
      <c r="BG63" s="20">
        <f t="shared" si="7"/>
        <v>471.6281434502709</v>
      </c>
      <c r="BH63" s="59">
        <f t="shared" si="8"/>
        <v>743.79024296237935</v>
      </c>
      <c r="BI63" s="59">
        <f ca="1">AVERAGE(OFFSET($BH$3,0,0,'Données projet'!$E$11+1,1))-AVERAGE(OFFSET($H$3,0,0,'Données projet'!$E$11+1,1))</f>
        <v>385.40047672167555</v>
      </c>
      <c r="BJ63" s="59">
        <f t="shared" si="38"/>
        <v>286.49293757741611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16.264911435290546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16.264911435290546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323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322.99999999999994</v>
      </c>
      <c r="BZ63" s="13">
        <f>BY63*VLOOKUP('Données projet'!$B$12,Paramètres!$A$1:$I$89,3,0)*VLOOKUP('Données projet'!$B$12,Paramètres!$A$1:$I$89,5,0)</f>
        <v>292.2503999999999</v>
      </c>
      <c r="CA63" s="13">
        <f t="shared" si="39"/>
        <v>69.549383363839922</v>
      </c>
      <c r="CB63" s="20">
        <f t="shared" si="10"/>
        <v>630.13462269202103</v>
      </c>
      <c r="CC63" s="59">
        <f t="shared" si="11"/>
        <v>902.29672220412954</v>
      </c>
      <c r="CD63" s="59">
        <f ca="1">AVERAGE(OFFSET($CC$3,0,0,'Données projet'!$E$12+1,1))-AVERAGE(OFFSET($H$3,0,0,'Données projet'!$E$12+1,1))</f>
        <v>397.12030701006762</v>
      </c>
      <c r="CE63" s="59">
        <f t="shared" si="40"/>
        <v>476.47513516380047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323</v>
      </c>
      <c r="CH63" s="16">
        <f>IF(ISNA(VLOOKUP(A63,'Données projet'!$A$113:$I$133,5,0)),0%,VLOOKUP(A63,'Données projet'!$A$113:$I$133,5,0)*VLOOKUP('Données projet'!$B$12,Paramètres!$A$1:$I$89,7,0))</f>
        <v>0.21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78.603818950979459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78.603818950979459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110.43805901666033</v>
      </c>
      <c r="CZ63" s="59">
        <f t="shared" si="42"/>
        <v>319.51880962151881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18.595330450925051</v>
      </c>
      <c r="DG63" s="21">
        <f>EXP(-LN(2)/25)*DG62+(1-EXP(-LN(2)/25))/(LN(2)/25)*Calculateur!DB63*Calculateur!DD63*VLOOKUP('Données projet'!$B$13,Paramètres!$A$1:$I$89,3,0)*0.475*44/12</f>
        <v>6.0283473310726405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24.623677781997692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3.3000000000000003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12.100000000000001</v>
      </c>
      <c r="H64" s="67">
        <f t="shared" si="1"/>
        <v>208.26666666666665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414.37917672189968</v>
      </c>
      <c r="T64" s="59">
        <f t="shared" si="34"/>
        <v>546.83385887302961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261.6483098414235</v>
      </c>
      <c r="AA64" s="21">
        <f>EXP(-LN(2)/25)*AA63+(1-EXP(-LN(2)/25))/(LN(2)/25)*Calculateur!V64*Calculateur!X64*VLOOKUP('Données projet'!$B$9,Paramètres!$A$1:$I$89,3,0)*0.475*44/12</f>
        <v>52.983880032571733</v>
      </c>
      <c r="AB64" s="21">
        <f>EXP(-LN(2)/2)*AB63+(1-EXP(-LN(2)/2))/(LN(2)/2)*V64*Y64*VLOOKUP('Données projet'!$B$9,Paramètres!$A$1:$I$89,3,0)*0.475*44/12</f>
        <v>3.6436765852199668</v>
      </c>
      <c r="AC64" s="22">
        <f t="shared" si="3"/>
        <v>318.27586645921519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7.0940586738288402E-14</v>
      </c>
      <c r="AK64" s="13">
        <f t="shared" si="35"/>
        <v>1.1091816830583241E-12</v>
      </c>
      <c r="AL64" s="20">
        <f t="shared" si="4"/>
        <v>2.0553796198957668E-12</v>
      </c>
      <c r="AM64" s="59">
        <f t="shared" si="5"/>
        <v>272.52937308712075</v>
      </c>
      <c r="AN64" s="59">
        <f ca="1">AVERAGE(OFFSET($AM$3,0,0,'Données projet'!$E$10+1,1))-AVERAGE(OFFSET($H$3,0,0,'Données projet'!$E$10+1,1))</f>
        <v>296.20984079604017</v>
      </c>
      <c r="AO64" s="59">
        <f t="shared" si="36"/>
        <v>351.8406329895206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197.03510676206204</v>
      </c>
      <c r="AV64" s="21">
        <f>EXP(-LN(2)/25)*AV63+(1-EXP(-LN(2)/25))/(LN(2)/25)*Calculateur!AQ64*Calculateur!AS64*VLOOKUP('Données projet'!$B$10,Paramètres!$A$1:$I$89,3,0)*0.475*44/12</f>
        <v>42.328659944935382</v>
      </c>
      <c r="AW64" s="21">
        <f>EXP(-LN(2)/2)*AW63+(1-EXP(-LN(2)/2))/(LN(2)/2)*AQ64*AT64*VLOOKUP('Données projet'!$B$10,Paramètres!$A$1:$I$89,3,0)*0.475*44/12</f>
        <v>17.179450880657917</v>
      </c>
      <c r="AX64" s="21">
        <f t="shared" si="6"/>
        <v>256.54321758765531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260.67</v>
      </c>
      <c r="BB64" s="12">
        <f>VLOOKUP(A64,'Données projet'!$A$87:$I$107,9,0)</f>
        <v>11.963333333333347</v>
      </c>
      <c r="BC64" s="12">
        <f t="array" ref="BC64">INDEX(BB:BB,MIN(IF(ISNUMBER(BB64:BB260),ROW(BB64:BB260),"")))</f>
        <v>11.963333333333347</v>
      </c>
      <c r="BD64" s="12">
        <f>IF('Données projet'!$A$88&gt;35,BD63+BC64-BL63,IF(A64&lt;'Données projet'!$A$88,$BA$205^A64,IF(A64='Données projet'!$A$88,'Données projet'!$B$88,BD63+BC64-BL63)))</f>
        <v>260.67</v>
      </c>
      <c r="BE64" s="13">
        <f>BD64*VLOOKUP('Données projet'!$B$11,Paramètres!$A$1:$I$89,3,0)*VLOOKUP('Données projet'!$B$11,Paramètres!$A$1:$I$89,5,0)</f>
        <v>227.72131200000004</v>
      </c>
      <c r="BF64" s="13">
        <f t="shared" si="37"/>
        <v>55.789690759278386</v>
      </c>
      <c r="BG64" s="20">
        <f t="shared" si="7"/>
        <v>493.78166313907667</v>
      </c>
      <c r="BH64" s="59">
        <f t="shared" si="8"/>
        <v>766.31103622619537</v>
      </c>
      <c r="BI64" s="59">
        <f ca="1">AVERAGE(OFFSET($BH$3,0,0,'Données projet'!$E$11+1,1))-AVERAGE(OFFSET($H$3,0,0,'Données projet'!$E$11+1,1))</f>
        <v>385.40047672167555</v>
      </c>
      <c r="BJ64" s="59">
        <f t="shared" si="38"/>
        <v>286.49293757741611</v>
      </c>
      <c r="BK64" s="15">
        <f>IF(ISNA(VLOOKUP(A64,'Données projet'!$A$87:$I$107,3,0)),0,VLOOKUP(A64,'Données projet'!$A$87:$I$107,3,0))</f>
        <v>10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0.17200000000000001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15.945966442660895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15.945966442660895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-5.6843418860808015E-14</v>
      </c>
      <c r="BZ64" s="13">
        <f>BY64*VLOOKUP('Données projet'!$B$12,Paramètres!$A$1:$I$89,3,0)*VLOOKUP('Données projet'!$B$12,Paramètres!$A$1:$I$89,5,0)</f>
        <v>-5.1431925385259088E-14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397.12030701006762</v>
      </c>
      <c r="CE64" s="59">
        <f t="shared" si="40"/>
        <v>476.47513516380047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77.062446004946281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77.062446004946281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110.43805901666033</v>
      </c>
      <c r="CZ64" s="59">
        <f t="shared" si="42"/>
        <v>319.51880962151881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18.230687362814052</v>
      </c>
      <c r="DG64" s="21">
        <f>EXP(-LN(2)/25)*DG63+(1-EXP(-LN(2)/25))/(LN(2)/25)*Calculateur!DB64*Calculateur!DD64*VLOOKUP('Données projet'!$B$13,Paramètres!$A$1:$I$89,3,0)*0.475*44/12</f>
        <v>5.863501856287451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24.094189219101501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3.3000000000000003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12.100000000000001</v>
      </c>
      <c r="H65" s="67">
        <f t="shared" si="1"/>
        <v>208.26666666666665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414.37917672189968</v>
      </c>
      <c r="T65" s="59">
        <f t="shared" si="34"/>
        <v>546.83385887302961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256.51754607514403</v>
      </c>
      <c r="AA65" s="21">
        <f>EXP(-LN(2)/25)*AA64+(1-EXP(-LN(2)/25))/(LN(2)/25)*Calculateur!V65*Calculateur!X65*VLOOKUP('Données projet'!$B$9,Paramètres!$A$1:$I$89,3,0)*0.475*44/12</f>
        <v>51.535033046779901</v>
      </c>
      <c r="AB65" s="21">
        <f>EXP(-LN(2)/2)*AB64+(1-EXP(-LN(2)/2))/(LN(2)/2)*V65*Y65*VLOOKUP('Données projet'!$B$9,Paramètres!$A$1:$I$89,3,0)*0.475*44/12</f>
        <v>2.5764684218596821</v>
      </c>
      <c r="AC65" s="22">
        <f t="shared" si="3"/>
        <v>310.6290475437836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7.0940586738288402E-14</v>
      </c>
      <c r="AK65" s="13">
        <f t="shared" si="35"/>
        <v>1.1091816830583241E-12</v>
      </c>
      <c r="AL65" s="20">
        <f t="shared" si="4"/>
        <v>2.0553796198957668E-12</v>
      </c>
      <c r="AM65" s="59">
        <f t="shared" si="5"/>
        <v>272.89027528670528</v>
      </c>
      <c r="AN65" s="59">
        <f ca="1">AVERAGE(OFFSET($AM$3,0,0,'Données projet'!$E$10+1,1))-AVERAGE(OFFSET($H$3,0,0,'Données projet'!$E$10+1,1))</f>
        <v>296.20984079604017</v>
      </c>
      <c r="AO65" s="59">
        <f t="shared" si="36"/>
        <v>351.8406329895206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193.17136849800639</v>
      </c>
      <c r="AV65" s="21">
        <f>EXP(-LN(2)/25)*AV64+(1-EXP(-LN(2)/25))/(LN(2)/25)*Calculateur!AQ65*Calculateur!AS65*VLOOKUP('Données projet'!$B$10,Paramètres!$A$1:$I$89,3,0)*0.475*44/12</f>
        <v>41.171180512773638</v>
      </c>
      <c r="AW65" s="21">
        <f>EXP(-LN(2)/2)*AW64+(1-EXP(-LN(2)/2))/(LN(2)/2)*AQ65*AT65*VLOOKUP('Données projet'!$B$10,Paramètres!$A$1:$I$89,3,0)*0.475*44/12</f>
        <v>12.14770621477442</v>
      </c>
      <c r="AX65" s="21">
        <f t="shared" si="6"/>
        <v>246.49025522555445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12.412499999999994</v>
      </c>
      <c r="BD65" s="12">
        <f>IF('Données projet'!$A$88&gt;35,BD64+BC65-BL64,IF(A65&lt;'Données projet'!$A$88,$BA$205^A65,IF(A65='Données projet'!$A$88,'Données projet'!$B$88,BD64+BC65-BL64)))</f>
        <v>273.08249999999998</v>
      </c>
      <c r="BE65" s="13">
        <f>BD65*VLOOKUP('Données projet'!$B$11,Paramètres!$A$1:$I$89,3,0)*VLOOKUP('Données projet'!$B$11,Paramètres!$A$1:$I$89,5,0)</f>
        <v>238.56487200000001</v>
      </c>
      <c r="BF65" s="13">
        <f t="shared" si="37"/>
        <v>58.130648002712363</v>
      </c>
      <c r="BG65" s="20">
        <f t="shared" si="7"/>
        <v>516.74469733805745</v>
      </c>
      <c r="BH65" s="59">
        <f t="shared" si="8"/>
        <v>789.63497262476062</v>
      </c>
      <c r="BI65" s="59">
        <f ca="1">AVERAGE(OFFSET($BH$3,0,0,'Données projet'!$E$11+1,1))-AVERAGE(OFFSET($H$3,0,0,'Données projet'!$E$11+1,1))</f>
        <v>385.40047672167555</v>
      </c>
      <c r="BJ65" s="59">
        <f t="shared" si="38"/>
        <v>286.49293757741611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15.633275766799475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15.633275766799475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-5.6843418860808015E-14</v>
      </c>
      <c r="BZ65" s="13">
        <f>BY65*VLOOKUP('Données projet'!$B$12,Paramètres!$A$1:$I$89,3,0)*VLOOKUP('Données projet'!$B$12,Paramètres!$A$1:$I$89,5,0)</f>
        <v>-5.1431925385259088E-14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397.12030701006762</v>
      </c>
      <c r="CE65" s="59">
        <f t="shared" si="40"/>
        <v>476.47513516380047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75.551298442240139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75.551298442240139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110.43805901666033</v>
      </c>
      <c r="CZ65" s="59">
        <f t="shared" si="42"/>
        <v>319.51880962151881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17.87319470325059</v>
      </c>
      <c r="DG65" s="21">
        <f>EXP(-LN(2)/25)*DG64+(1-EXP(-LN(2)/25))/(LN(2)/25)*Calculateur!DB65*Calculateur!DD65*VLOOKUP('Données projet'!$B$13,Paramètres!$A$1:$I$89,3,0)*0.475*44/12</f>
        <v>5.7031640896791096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23.5763587929297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3.3000000000000003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12.100000000000001</v>
      </c>
      <c r="H66" s="67">
        <f t="shared" si="1"/>
        <v>208.26666666666665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414.37917672189968</v>
      </c>
      <c r="T66" s="59">
        <f t="shared" si="34"/>
        <v>546.83385887302961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251.4873934568644</v>
      </c>
      <c r="AA66" s="21">
        <f>EXP(-LN(2)/25)*AA65+(1-EXP(-LN(2)/25))/(LN(2)/25)*Calculateur!V66*Calculateur!X66*VLOOKUP('Données projet'!$B$9,Paramètres!$A$1:$I$89,3,0)*0.475*44/12</f>
        <v>50.125804858006099</v>
      </c>
      <c r="AB66" s="21">
        <f>EXP(-LN(2)/2)*AB65+(1-EXP(-LN(2)/2))/(LN(2)/2)*V66*Y66*VLOOKUP('Données projet'!$B$9,Paramètres!$A$1:$I$89,3,0)*0.475*44/12</f>
        <v>1.8218382926099836</v>
      </c>
      <c r="AC66" s="22">
        <f t="shared" si="3"/>
        <v>303.43503660748047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7.0940586738288402E-14</v>
      </c>
      <c r="AK66" s="13">
        <f t="shared" si="35"/>
        <v>1.1091816830583241E-12</v>
      </c>
      <c r="AL66" s="20">
        <f t="shared" si="4"/>
        <v>2.0553796198957668E-12</v>
      </c>
      <c r="AM66" s="59">
        <f t="shared" si="5"/>
        <v>273.24491663998344</v>
      </c>
      <c r="AN66" s="59">
        <f ca="1">AVERAGE(OFFSET($AM$3,0,0,'Données projet'!$E$10+1,1))-AVERAGE(OFFSET($H$3,0,0,'Données projet'!$E$10+1,1))</f>
        <v>296.20984079604017</v>
      </c>
      <c r="AO66" s="59">
        <f t="shared" si="36"/>
        <v>351.8406329895206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189.38339578466122</v>
      </c>
      <c r="AV66" s="21">
        <f>EXP(-LN(2)/25)*AV65+(1-EXP(-LN(2)/25))/(LN(2)/25)*Calculateur!AQ66*Calculateur!AS66*VLOOKUP('Données projet'!$B$10,Paramètres!$A$1:$I$89,3,0)*0.475*44/12</f>
        <v>40.045352416553555</v>
      </c>
      <c r="AW66" s="21">
        <f>EXP(-LN(2)/2)*AW65+(1-EXP(-LN(2)/2))/(LN(2)/2)*AQ66*AT66*VLOOKUP('Données projet'!$B$10,Paramètres!$A$1:$I$89,3,0)*0.475*44/12</f>
        <v>8.5897254403289605</v>
      </c>
      <c r="AX66" s="21">
        <f t="shared" si="6"/>
        <v>238.01847364154372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12.412499999999994</v>
      </c>
      <c r="BD66" s="12">
        <f>IF('Données projet'!$A$88&gt;35,BD65+BC66-BL65,IF(A66&lt;'Données projet'!$A$88,$BA$205^A66,IF(A66='Données projet'!$A$88,'Données projet'!$B$88,BD65+BC66-BL65)))</f>
        <v>285.495</v>
      </c>
      <c r="BE66" s="13">
        <f>BD66*VLOOKUP('Données projet'!$B$11,Paramètres!$A$1:$I$89,3,0)*VLOOKUP('Données projet'!$B$11,Paramètres!$A$1:$I$89,5,0)</f>
        <v>249.40843200000003</v>
      </c>
      <c r="BF66" s="13">
        <f t="shared" si="37"/>
        <v>60.459248007889812</v>
      </c>
      <c r="BG66" s="20">
        <f t="shared" si="7"/>
        <v>539.68620934707485</v>
      </c>
      <c r="BH66" s="59">
        <f t="shared" si="8"/>
        <v>812.93112598705625</v>
      </c>
      <c r="BI66" s="59">
        <f ca="1">AVERAGE(OFFSET($BH$3,0,0,'Données projet'!$E$11+1,1))-AVERAGE(OFFSET($H$3,0,0,'Données projet'!$E$11+1,1))</f>
        <v>385.40047672167555</v>
      </c>
      <c r="BJ66" s="59">
        <f t="shared" si="38"/>
        <v>286.49293757741611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15.326716764369216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15.326716764369216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-5.6843418860808015E-14</v>
      </c>
      <c r="BZ66" s="13">
        <f>BY66*VLOOKUP('Données projet'!$B$12,Paramètres!$A$1:$I$89,3,0)*VLOOKUP('Données projet'!$B$12,Paramètres!$A$1:$I$89,5,0)</f>
        <v>-5.1431925385259088E-14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397.12030701006762</v>
      </c>
      <c r="CE66" s="59">
        <f t="shared" si="40"/>
        <v>476.47513516380047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74.069783561529661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74.069783561529661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110.43805901666033</v>
      </c>
      <c r="CZ66" s="59">
        <f t="shared" si="42"/>
        <v>319.51880962151881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17.522712256692174</v>
      </c>
      <c r="DG66" s="21">
        <f>EXP(-LN(2)/25)*DG65+(1-EXP(-LN(2)/25))/(LN(2)/25)*Calculateur!DB66*Calculateur!DD66*VLOOKUP('Données projet'!$B$13,Paramètres!$A$1:$I$89,3,0)*0.475*44/12</f>
        <v>5.5472107677304701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23.069923024422643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3.3000000000000003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12.100000000000001</v>
      </c>
      <c r="H67" s="67">
        <f t="shared" si="1"/>
        <v>208.26666666666665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414.37917672189968</v>
      </c>
      <c r="T67" s="59">
        <f t="shared" si="34"/>
        <v>546.83385887302961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246.55587906333906</v>
      </c>
      <c r="AA67" s="21">
        <f>EXP(-LN(2)/25)*AA66+(1-EXP(-LN(2)/25))/(LN(2)/25)*Calculateur!V67*Calculateur!X67*VLOOKUP('Données projet'!$B$9,Paramètres!$A$1:$I$89,3,0)*0.475*44/12</f>
        <v>48.755112088162406</v>
      </c>
      <c r="AB67" s="21">
        <f>EXP(-LN(2)/2)*AB66+(1-EXP(-LN(2)/2))/(LN(2)/2)*V67*Y67*VLOOKUP('Données projet'!$B$9,Paramètres!$A$1:$I$89,3,0)*0.475*44/12</f>
        <v>1.288234210929841</v>
      </c>
      <c r="AC67" s="22">
        <f t="shared" si="3"/>
        <v>296.5992253624313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7.0940586738288402E-14</v>
      </c>
      <c r="AK67" s="13">
        <f t="shared" si="35"/>
        <v>1.1091816830583241E-12</v>
      </c>
      <c r="AL67" s="20">
        <f t="shared" si="4"/>
        <v>2.0553796198957668E-12</v>
      </c>
      <c r="AM67" s="59">
        <f t="shared" si="5"/>
        <v>273.5934057586415</v>
      </c>
      <c r="AN67" s="59">
        <f ca="1">AVERAGE(OFFSET($AM$3,0,0,'Données projet'!$E$10+1,1))-AVERAGE(OFFSET($H$3,0,0,'Données projet'!$E$10+1,1))</f>
        <v>296.20984079604017</v>
      </c>
      <c r="AO67" s="59">
        <f t="shared" si="36"/>
        <v>351.8406329895206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185.66970290578953</v>
      </c>
      <c r="AV67" s="21">
        <f>EXP(-LN(2)/25)*AV66+(1-EXP(-LN(2)/25))/(LN(2)/25)*Calculateur!AQ67*Calculateur!AS67*VLOOKUP('Données projet'!$B$10,Paramètres!$A$1:$I$89,3,0)*0.475*44/12</f>
        <v>38.950310148829338</v>
      </c>
      <c r="AW67" s="21">
        <f>EXP(-LN(2)/2)*AW66+(1-EXP(-LN(2)/2))/(LN(2)/2)*AQ67*AT67*VLOOKUP('Données projet'!$B$10,Paramètres!$A$1:$I$89,3,0)*0.475*44/12</f>
        <v>6.0738531073872108</v>
      </c>
      <c r="AX67" s="21">
        <f t="shared" si="6"/>
        <v>230.69386616200609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12.412499999999994</v>
      </c>
      <c r="BD67" s="12">
        <f>IF('Données projet'!$A$88&gt;35,BD66+BC67-BL66,IF(A67&lt;'Données projet'!$A$88,$BA$205^A67,IF(A67='Données projet'!$A$88,'Données projet'!$B$88,BD66+BC67-BL66)))</f>
        <v>297.90750000000003</v>
      </c>
      <c r="BE67" s="13">
        <f>BD67*VLOOKUP('Données projet'!$B$11,Paramètres!$A$1:$I$89,3,0)*VLOOKUP('Données projet'!$B$11,Paramètres!$A$1:$I$89,5,0)</f>
        <v>260.25199200000009</v>
      </c>
      <c r="BF67" s="13">
        <f t="shared" si="37"/>
        <v>62.776089438529503</v>
      </c>
      <c r="BG67" s="20">
        <f t="shared" si="7"/>
        <v>562.60724183877232</v>
      </c>
      <c r="BH67" s="59">
        <f t="shared" si="8"/>
        <v>836.20064759741172</v>
      </c>
      <c r="BI67" s="59">
        <f ca="1">AVERAGE(OFFSET($BH$3,0,0,'Données projet'!$E$11+1,1))-AVERAGE(OFFSET($H$3,0,0,'Données projet'!$E$11+1,1))</f>
        <v>385.40047672167555</v>
      </c>
      <c r="BJ67" s="59">
        <f t="shared" si="38"/>
        <v>286.49293757741611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15.026169196994086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15.026169196994086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-5.6843418860808015E-14</v>
      </c>
      <c r="BZ67" s="13">
        <f>BY67*VLOOKUP('Données projet'!$B$12,Paramètres!$A$1:$I$89,3,0)*VLOOKUP('Données projet'!$B$12,Paramètres!$A$1:$I$89,5,0)</f>
        <v>-5.1431925385259088E-14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397.12030701006762</v>
      </c>
      <c r="CE67" s="59">
        <f t="shared" si="40"/>
        <v>476.47513516380047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72.61732028399507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72.61732028399507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110.43805901666033</v>
      </c>
      <c r="CZ67" s="59">
        <f t="shared" si="42"/>
        <v>319.51880962151881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17.179102557137583</v>
      </c>
      <c r="DG67" s="21">
        <f>EXP(-LN(2)/25)*DG66+(1-EXP(-LN(2)/25))/(LN(2)/25)*Calculateur!DB67*Calculateur!DD67*VLOOKUP('Données projet'!$B$13,Paramètres!$A$1:$I$89,3,0)*0.475*44/12</f>
        <v>5.3955219975717448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22.574624554709327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3.3000000000000003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12.100000000000001</v>
      </c>
      <c r="H68" s="67">
        <f t="shared" ref="H68:H131" si="56">(B68+E68+F68)*44/12+(C68+D68)*0.475*44/12</f>
        <v>208.26666666666665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414.37917672189968</v>
      </c>
      <c r="T68" s="59">
        <f t="shared" si="34"/>
        <v>546.83385887302961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241.72106865914401</v>
      </c>
      <c r="AA68" s="21">
        <f>EXP(-LN(2)/25)*AA67+(1-EXP(-LN(2)/25))/(LN(2)/25)*Calculateur!V68*Calculateur!X68*VLOOKUP('Données projet'!$B$9,Paramètres!$A$1:$I$89,3,0)*0.475*44/12</f>
        <v>47.421900984191694</v>
      </c>
      <c r="AB68" s="21">
        <f>EXP(-LN(2)/2)*AB67+(1-EXP(-LN(2)/2))/(LN(2)/2)*V68*Y68*VLOOKUP('Données projet'!$B$9,Paramètres!$A$1:$I$89,3,0)*0.475*44/12</f>
        <v>0.91091914630499182</v>
      </c>
      <c r="AC68" s="22">
        <f t="shared" ref="AC68:AC131" si="57">SUM(Z68:AB68)</f>
        <v>290.05388878964072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7.0940586738288402E-14</v>
      </c>
      <c r="AK68" s="13">
        <f t="shared" si="35"/>
        <v>1.1091816830583241E-12</v>
      </c>
      <c r="AL68" s="20">
        <f t="shared" ref="AL68:AL131" si="58">(AJ68+AK68)*0.475*44/12</f>
        <v>2.0553796198957668E-12</v>
      </c>
      <c r="AM68" s="59">
        <f t="shared" ref="AM68:AM131" si="59">AL68+(AD68+AE68)*44/12</f>
        <v>273.93584937019585</v>
      </c>
      <c r="AN68" s="59">
        <f ca="1">AVERAGE(OFFSET($AM$3,0,0,'Données projet'!$E$10+1,1))-AVERAGE(OFFSET($H$3,0,0,'Données projet'!$E$10+1,1))</f>
        <v>296.20984079604017</v>
      </c>
      <c r="AO68" s="59">
        <f t="shared" si="36"/>
        <v>351.8406329895206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182.02883327914353</v>
      </c>
      <c r="AV68" s="21">
        <f>EXP(-LN(2)/25)*AV67+(1-EXP(-LN(2)/25))/(LN(2)/25)*Calculateur!AQ68*Calculateur!AS68*VLOOKUP('Données projet'!$B$10,Paramètres!$A$1:$I$89,3,0)*0.475*44/12</f>
        <v>37.885211869501809</v>
      </c>
      <c r="AW68" s="21">
        <f>EXP(-LN(2)/2)*AW67+(1-EXP(-LN(2)/2))/(LN(2)/2)*AQ68*AT68*VLOOKUP('Données projet'!$B$10,Paramètres!$A$1:$I$89,3,0)*0.475*44/12</f>
        <v>4.2948627201644802</v>
      </c>
      <c r="AX68" s="21">
        <f t="shared" ref="AX68:AX131" si="60">SUM(AU68:AW68)</f>
        <v>224.2089078688098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310.32</v>
      </c>
      <c r="BB68" s="12">
        <f>VLOOKUP(A68,'Données projet'!$A$87:$I$107,9,0)</f>
        <v>12.412499999999994</v>
      </c>
      <c r="BC68" s="12">
        <f t="array" ref="BC68">INDEX(BB:BB,MIN(IF(ISNUMBER(BB68:BB264),ROW(BB68:BB264),"")))</f>
        <v>12.412499999999994</v>
      </c>
      <c r="BD68" s="12">
        <f>IF('Données projet'!$A$88&gt;35,BD67+BC68-BL67,IF(A68&lt;'Données projet'!$A$88,$BA$205^A68,IF(A68='Données projet'!$A$88,'Données projet'!$B$88,BD67+BC68-BL67)))</f>
        <v>310.32000000000005</v>
      </c>
      <c r="BE68" s="13">
        <f>BD68*VLOOKUP('Données projet'!$B$11,Paramètres!$A$1:$I$89,3,0)*VLOOKUP('Données projet'!$B$11,Paramètres!$A$1:$I$89,5,0)</f>
        <v>271.09555200000005</v>
      </c>
      <c r="BF68" s="13">
        <f t="shared" si="37"/>
        <v>65.081718248536987</v>
      </c>
      <c r="BG68" s="20">
        <f t="shared" ref="BG68:BG131" si="61">(BE68+BF68)*0.475*44/12</f>
        <v>585.50874568286872</v>
      </c>
      <c r="BH68" s="59">
        <f t="shared" ref="BH68:BH131" si="62">BG68+(AY68+AZ68)*44/12</f>
        <v>859.44459505306259</v>
      </c>
      <c r="BI68" s="59">
        <f ca="1">AVERAGE(OFFSET($BH$3,0,0,'Données projet'!$E$11+1,1))-AVERAGE(OFFSET($H$3,0,0,'Données projet'!$E$11+1,1))</f>
        <v>385.40047672167555</v>
      </c>
      <c r="BJ68" s="59">
        <f t="shared" si="38"/>
        <v>286.49293757741611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50.87</v>
      </c>
      <c r="BM68" s="16">
        <f>IF(ISNA(VLOOKUP(A68,'Données projet'!$A$87:$I$107,5,0)),0%,VLOOKUP(A68,'Données projet'!$A$87:$I$107,5,0)*VLOOKUP('Données projet'!$B$11,Paramètres!$A$1:$I$89,7,0))</f>
        <v>0.215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25.293850078021006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25.293850078021006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-5.6843418860808015E-14</v>
      </c>
      <c r="BZ68" s="13">
        <f>BY68*VLOOKUP('Données projet'!$B$12,Paramètres!$A$1:$I$89,3,0)*VLOOKUP('Données projet'!$B$12,Paramètres!$A$1:$I$89,5,0)</f>
        <v>-5.1431925385259088E-14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397.12030701006762</v>
      </c>
      <c r="CE68" s="59">
        <f t="shared" si="40"/>
        <v>476.47513516380047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71.193338925417805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71.193338925417805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110.43805901666033</v>
      </c>
      <c r="CZ68" s="59">
        <f t="shared" si="42"/>
        <v>319.51880962151881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16.842230834210035</v>
      </c>
      <c r="DG68" s="21">
        <f>EXP(-LN(2)/25)*DG67+(1-EXP(-LN(2)/25))/(LN(2)/25)*Calculateur!DB68*Calculateur!DD68*VLOOKUP('Données projet'!$B$13,Paramètres!$A$1:$I$89,3,0)*0.475*44/12</f>
        <v>5.2479811648099748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22.09021199902001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3.3000000000000003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12.100000000000001</v>
      </c>
      <c r="H69" s="67">
        <f t="shared" si="56"/>
        <v>208.26666666666665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414.37917672189968</v>
      </c>
      <c r="T69" s="59">
        <f t="shared" ref="T69:T132" si="88">$T$3</f>
        <v>546.83385887302961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236.98106593803206</v>
      </c>
      <c r="AA69" s="21">
        <f>EXP(-LN(2)/25)*AA68+(1-EXP(-LN(2)/25))/(LN(2)/25)*Calculateur!V69*Calculateur!X69*VLOOKUP('Données projet'!$B$9,Paramètres!$A$1:$I$89,3,0)*0.475*44/12</f>
        <v>46.125146607969583</v>
      </c>
      <c r="AB69" s="21">
        <f>EXP(-LN(2)/2)*AB68+(1-EXP(-LN(2)/2))/(LN(2)/2)*V69*Y69*VLOOKUP('Données projet'!$B$9,Paramètres!$A$1:$I$89,3,0)*0.475*44/12</f>
        <v>0.64411710546492051</v>
      </c>
      <c r="AC69" s="22">
        <f t="shared" si="57"/>
        <v>283.75032965146659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7.0940586738288402E-14</v>
      </c>
      <c r="AK69" s="13">
        <f t="shared" ref="AK69:AK132" si="89">EXP(-1.0587+0.8836*LN(AJ69)+0.284)</f>
        <v>1.1091816830583241E-12</v>
      </c>
      <c r="AL69" s="20">
        <f t="shared" si="58"/>
        <v>2.0553796198957668E-12</v>
      </c>
      <c r="AM69" s="59">
        <f t="shared" si="59"/>
        <v>274.27235235067889</v>
      </c>
      <c r="AN69" s="59">
        <f ca="1">AVERAGE(OFFSET($AM$3,0,0,'Données projet'!$E$10+1,1))-AVERAGE(OFFSET($H$3,0,0,'Données projet'!$E$10+1,1))</f>
        <v>296.20984079604017</v>
      </c>
      <c r="AO69" s="59">
        <f t="shared" ref="AO69:AO132" si="90">$AO$3</f>
        <v>351.8406329895206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178.45935888516485</v>
      </c>
      <c r="AV69" s="21">
        <f>EXP(-LN(2)/25)*AV68+(1-EXP(-LN(2)/25))/(LN(2)/25)*Calculateur!AQ69*Calculateur!AS69*VLOOKUP('Données projet'!$B$10,Paramètres!$A$1:$I$89,3,0)*0.475*44/12</f>
        <v>36.849238758633575</v>
      </c>
      <c r="AW69" s="21">
        <f>EXP(-LN(2)/2)*AW68+(1-EXP(-LN(2)/2))/(LN(2)/2)*AQ69*AT69*VLOOKUP('Données projet'!$B$10,Paramètres!$A$1:$I$89,3,0)*0.475*44/12</f>
        <v>3.0369265536936054</v>
      </c>
      <c r="AX69" s="21">
        <f t="shared" si="60"/>
        <v>218.34552419749201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11.550000000000011</v>
      </c>
      <c r="BD69" s="12">
        <f>IF('Données projet'!$A$88&gt;35,BD68+BC69-BL68,IF(A69&lt;'Données projet'!$A$88,$BA$205^A69,IF(A69='Données projet'!$A$88,'Données projet'!$B$88,BD68+BC69-BL68)))</f>
        <v>271.00000000000006</v>
      </c>
      <c r="BE69" s="13">
        <f>BD69*VLOOKUP('Données projet'!$B$11,Paramètres!$A$1:$I$89,3,0)*VLOOKUP('Données projet'!$B$11,Paramètres!$A$1:$I$89,5,0)</f>
        <v>236.74560000000008</v>
      </c>
      <c r="BF69" s="13">
        <f t="shared" ref="BF69:BF132" si="91">EXP(-1.0587+0.8836*LN(BE69)+0.284)</f>
        <v>57.738775067879459</v>
      </c>
      <c r="BG69" s="20">
        <f t="shared" si="61"/>
        <v>512.89361990989028</v>
      </c>
      <c r="BH69" s="59">
        <f t="shared" si="62"/>
        <v>787.16597226056706</v>
      </c>
      <c r="BI69" s="59">
        <f ca="1">AVERAGE(OFFSET($BH$3,0,0,'Données projet'!$E$11+1,1))-AVERAGE(OFFSET($H$3,0,0,'Données projet'!$E$11+1,1))</f>
        <v>385.40047672167555</v>
      </c>
      <c r="BJ69" s="59">
        <f t="shared" ref="BJ69:BJ132" si="92">$BJ$3</f>
        <v>286.49293757741611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24.7978531057162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24.7978531057162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-5.6843418860808015E-14</v>
      </c>
      <c r="BZ69" s="13">
        <f>BY69*VLOOKUP('Données projet'!$B$12,Paramètres!$A$1:$I$89,3,0)*VLOOKUP('Données projet'!$B$12,Paramètres!$A$1:$I$89,5,0)</f>
        <v>-5.1431925385259088E-14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397.12030701006762</v>
      </c>
      <c r="CE69" s="59">
        <f t="shared" ref="CE69:CE132" si="94">$CE$3</f>
        <v>476.47513516380047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69.797280972739372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69.797280972739372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110.43805901666033</v>
      </c>
      <c r="CZ69" s="59">
        <f t="shared" ref="CZ69:CZ132" si="96">$CZ$3</f>
        <v>319.51880962151881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16.511964960297636</v>
      </c>
      <c r="DG69" s="21">
        <f>EXP(-LN(2)/25)*DG68+(1-EXP(-LN(2)/25))/(LN(2)/25)*Calculateur!DB69*Calculateur!DD69*VLOOKUP('Données projet'!$B$13,Paramètres!$A$1:$I$89,3,0)*0.475*44/12</f>
        <v>5.1044748438789114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21.616439804176547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3.3000000000000003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12.100000000000001</v>
      </c>
      <c r="H70" s="67">
        <f t="shared" si="56"/>
        <v>208.26666666666665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414.37917672189968</v>
      </c>
      <c r="T70" s="59">
        <f t="shared" si="88"/>
        <v>546.83385887302961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232.33401177916491</v>
      </c>
      <c r="AA70" s="21">
        <f>EXP(-LN(2)/25)*AA69+(1-EXP(-LN(2)/25))/(LN(2)/25)*Calculateur!V70*Calculateur!X70*VLOOKUP('Données projet'!$B$9,Paramètres!$A$1:$I$89,3,0)*0.475*44/12</f>
        <v>44.863852048358616</v>
      </c>
      <c r="AB70" s="21">
        <f>EXP(-LN(2)/2)*AB69+(1-EXP(-LN(2)/2))/(LN(2)/2)*V70*Y70*VLOOKUP('Données projet'!$B$9,Paramètres!$A$1:$I$89,3,0)*0.475*44/12</f>
        <v>0.45545957315249591</v>
      </c>
      <c r="AC70" s="22">
        <f t="shared" si="57"/>
        <v>277.65332340067602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7.0940586738288402E-14</v>
      </c>
      <c r="AK70" s="13">
        <f t="shared" si="89"/>
        <v>1.1091816830583241E-12</v>
      </c>
      <c r="AL70" s="20">
        <f t="shared" si="58"/>
        <v>2.0553796198957668E-12</v>
      </c>
      <c r="AM70" s="59">
        <f t="shared" si="59"/>
        <v>274.60301775675856</v>
      </c>
      <c r="AN70" s="59">
        <f ca="1">AVERAGE(OFFSET($AM$3,0,0,'Données projet'!$E$10+1,1))-AVERAGE(OFFSET($H$3,0,0,'Données projet'!$E$10+1,1))</f>
        <v>296.20984079604017</v>
      </c>
      <c r="AO70" s="59">
        <f t="shared" si="90"/>
        <v>351.8406329895206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174.9598797068877</v>
      </c>
      <c r="AV70" s="21">
        <f>EXP(-LN(2)/25)*AV69+(1-EXP(-LN(2)/25))/(LN(2)/25)*Calculateur!AQ70*Calculateur!AS70*VLOOKUP('Données projet'!$B$10,Paramètres!$A$1:$I$89,3,0)*0.475*44/12</f>
        <v>35.841594386961496</v>
      </c>
      <c r="AW70" s="21">
        <f>EXP(-LN(2)/2)*AW69+(1-EXP(-LN(2)/2))/(LN(2)/2)*AQ70*AT70*VLOOKUP('Données projet'!$B$10,Paramètres!$A$1:$I$89,3,0)*0.475*44/12</f>
        <v>2.1474313600822401</v>
      </c>
      <c r="AX70" s="21">
        <f t="shared" si="60"/>
        <v>212.94890545393145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11.550000000000011</v>
      </c>
      <c r="BD70" s="12">
        <f>IF('Données projet'!$A$88&gt;35,BD69+BC70-BL69,IF(A70&lt;'Données projet'!$A$88,$BA$205^A70,IF(A70='Données projet'!$A$88,'Données projet'!$B$88,BD69+BC70-BL69)))</f>
        <v>282.55000000000007</v>
      </c>
      <c r="BE70" s="13">
        <f>BD70*VLOOKUP('Données projet'!$B$11,Paramètres!$A$1:$I$89,3,0)*VLOOKUP('Données projet'!$B$11,Paramètres!$A$1:$I$89,5,0)</f>
        <v>246.83568000000011</v>
      </c>
      <c r="BF70" s="13">
        <f t="shared" si="91"/>
        <v>59.907847832171171</v>
      </c>
      <c r="BG70" s="20">
        <f t="shared" si="61"/>
        <v>534.2449776410316</v>
      </c>
      <c r="BH70" s="59">
        <f t="shared" si="62"/>
        <v>808.84799539778805</v>
      </c>
      <c r="BI70" s="59">
        <f ca="1">AVERAGE(OFFSET($BH$3,0,0,'Données projet'!$E$11+1,1))-AVERAGE(OFFSET($H$3,0,0,'Données projet'!$E$11+1,1))</f>
        <v>385.40047672167555</v>
      </c>
      <c r="BJ70" s="59">
        <f t="shared" si="92"/>
        <v>286.49293757741611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24.31158233151001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24.31158233151001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-5.6843418860808015E-14</v>
      </c>
      <c r="BZ70" s="13">
        <f>BY70*VLOOKUP('Données projet'!$B$12,Paramètres!$A$1:$I$89,3,0)*VLOOKUP('Données projet'!$B$12,Paramètres!$A$1:$I$89,5,0)</f>
        <v>-5.1431925385259088E-14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397.12030701006762</v>
      </c>
      <c r="CE70" s="59">
        <f t="shared" si="94"/>
        <v>476.47513516380047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68.428598865001703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68.428598865001703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110.43805901666033</v>
      </c>
      <c r="CZ70" s="59">
        <f t="shared" si="96"/>
        <v>319.51880962151881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16.188175398730365</v>
      </c>
      <c r="DG70" s="21">
        <f>EXP(-LN(2)/25)*DG69+(1-EXP(-LN(2)/25))/(LN(2)/25)*Calculateur!DB70*Calculateur!DD70*VLOOKUP('Données projet'!$B$13,Paramètres!$A$1:$I$89,3,0)*0.475*44/12</f>
        <v>4.9648927108403766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21.153068109570743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3.3000000000000003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12.100000000000001</v>
      </c>
      <c r="H71" s="67">
        <f t="shared" si="56"/>
        <v>208.26666666666665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414.37917672189968</v>
      </c>
      <c r="T71" s="59">
        <f t="shared" si="88"/>
        <v>546.83385887302961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227.77808351792999</v>
      </c>
      <c r="AA71" s="21">
        <f>EXP(-LN(2)/25)*AA70+(1-EXP(-LN(2)/25))/(LN(2)/25)*Calculateur!V71*Calculateur!X71*VLOOKUP('Données projet'!$B$9,Paramètres!$A$1:$I$89,3,0)*0.475*44/12</f>
        <v>43.637047654808811</v>
      </c>
      <c r="AB71" s="21">
        <f>EXP(-LN(2)/2)*AB70+(1-EXP(-LN(2)/2))/(LN(2)/2)*V71*Y71*VLOOKUP('Données projet'!$B$9,Paramètres!$A$1:$I$89,3,0)*0.475*44/12</f>
        <v>0.32205855273246026</v>
      </c>
      <c r="AC71" s="22">
        <f t="shared" si="57"/>
        <v>271.7371897254713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7.0940586738288402E-14</v>
      </c>
      <c r="AK71" s="13">
        <f t="shared" si="89"/>
        <v>1.1091816830583241E-12</v>
      </c>
      <c r="AL71" s="20">
        <f t="shared" si="58"/>
        <v>2.0553796198957668E-12</v>
      </c>
      <c r="AM71" s="59">
        <f t="shared" si="59"/>
        <v>274.92794685729979</v>
      </c>
      <c r="AN71" s="59">
        <f ca="1">AVERAGE(OFFSET($AM$3,0,0,'Données projet'!$E$10+1,1))-AVERAGE(OFFSET($H$3,0,0,'Données projet'!$E$10+1,1))</f>
        <v>296.20984079604017</v>
      </c>
      <c r="AO71" s="59">
        <f t="shared" si="90"/>
        <v>351.8406329895206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171.52902318082502</v>
      </c>
      <c r="AV71" s="21">
        <f>EXP(-LN(2)/25)*AV70+(1-EXP(-LN(2)/25))/(LN(2)/25)*Calculateur!AQ71*Calculateur!AS71*VLOOKUP('Données projet'!$B$10,Paramètres!$A$1:$I$89,3,0)*0.475*44/12</f>
        <v>34.861504103622501</v>
      </c>
      <c r="AW71" s="21">
        <f>EXP(-LN(2)/2)*AW70+(1-EXP(-LN(2)/2))/(LN(2)/2)*AQ71*AT71*VLOOKUP('Données projet'!$B$10,Paramètres!$A$1:$I$89,3,0)*0.475*44/12</f>
        <v>1.5184632768468027</v>
      </c>
      <c r="AX71" s="21">
        <f t="shared" si="60"/>
        <v>207.90899056129433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>
        <f>VLOOKUP(A71,'Données projet'!$A$87:$I$107,2,0)</f>
        <v>294.10000000000002</v>
      </c>
      <c r="BB71" s="12">
        <f>VLOOKUP(A71,'Données projet'!$A$87:$I$107,9,0)</f>
        <v>11.550000000000011</v>
      </c>
      <c r="BC71" s="12">
        <f t="array" ref="BC71">INDEX(BB:BB,MIN(IF(ISNUMBER(BB71:BB267),ROW(BB71:BB267),"")))</f>
        <v>11.550000000000011</v>
      </c>
      <c r="BD71" s="12">
        <f>IF('Données projet'!$A$88&gt;35,BD70+BC71-BL70,IF(A71&lt;'Données projet'!$A$88,$BA$205^A71,IF(A71='Données projet'!$A$88,'Données projet'!$B$88,BD70+BC71-BL70)))</f>
        <v>294.10000000000008</v>
      </c>
      <c r="BE71" s="13">
        <f>BD71*VLOOKUP('Données projet'!$B$11,Paramètres!$A$1:$I$89,3,0)*VLOOKUP('Données projet'!$B$11,Paramètres!$A$1:$I$89,5,0)</f>
        <v>256.92576000000008</v>
      </c>
      <c r="BF71" s="13">
        <f t="shared" si="91"/>
        <v>62.066621272552609</v>
      </c>
      <c r="BG71" s="20">
        <f t="shared" si="61"/>
        <v>555.57839738302926</v>
      </c>
      <c r="BH71" s="59">
        <f t="shared" si="62"/>
        <v>830.50634424032705</v>
      </c>
      <c r="BI71" s="59">
        <f ca="1">AVERAGE(OFFSET($BH$3,0,0,'Données projet'!$E$11+1,1))-AVERAGE(OFFSET($H$3,0,0,'Données projet'!$E$11+1,1))</f>
        <v>385.40047672167555</v>
      </c>
      <c r="BJ71" s="59">
        <f t="shared" si="92"/>
        <v>286.49293757741611</v>
      </c>
      <c r="BK71" s="15">
        <f>IF(ISNA(VLOOKUP(A71,'Données projet'!$A$87:$I$107,3,0)),0,VLOOKUP(A71,'Données projet'!$A$87:$I$107,3,0))</f>
        <v>12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0.215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23.834847030590119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23.834847030590119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-5.6843418860808015E-14</v>
      </c>
      <c r="BZ71" s="13">
        <f>BY71*VLOOKUP('Données projet'!$B$12,Paramètres!$A$1:$I$89,3,0)*VLOOKUP('Données projet'!$B$12,Paramètres!$A$1:$I$89,5,0)</f>
        <v>-5.1431925385259088E-14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397.12030701006762</v>
      </c>
      <c r="CE71" s="59">
        <f t="shared" si="94"/>
        <v>476.47513516380047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67.086755778583111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67.086755778583111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110.43805901666033</v>
      </c>
      <c r="CZ71" s="59">
        <f t="shared" si="96"/>
        <v>319.51880962151881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15.870735152973298</v>
      </c>
      <c r="DG71" s="21">
        <f>EXP(-LN(2)/25)*DG70+(1-EXP(-LN(2)/25))/(LN(2)/25)*Calculateur!DB71*Calculateur!DD71*VLOOKUP('Données projet'!$B$13,Paramètres!$A$1:$I$89,3,0)*0.475*44/12</f>
        <v>4.8291274585700865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20.699862611543384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3.3000000000000003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12.100000000000001</v>
      </c>
      <c r="H72" s="67">
        <f t="shared" si="56"/>
        <v>208.26666666666665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414.37917672189968</v>
      </c>
      <c r="T72" s="59">
        <f t="shared" si="88"/>
        <v>546.83385887302961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223.31149423105603</v>
      </c>
      <c r="AA72" s="21">
        <f>EXP(-LN(2)/25)*AA71+(1-EXP(-LN(2)/25))/(LN(2)/25)*Calculateur!V72*Calculateur!X72*VLOOKUP('Données projet'!$B$9,Paramètres!$A$1:$I$89,3,0)*0.475*44/12</f>
        <v>42.443790291915462</v>
      </c>
      <c r="AB72" s="21">
        <f>EXP(-LN(2)/2)*AB71+(1-EXP(-LN(2)/2))/(LN(2)/2)*V72*Y72*VLOOKUP('Données projet'!$B$9,Paramètres!$A$1:$I$89,3,0)*0.475*44/12</f>
        <v>0.22772978657624796</v>
      </c>
      <c r="AC72" s="22">
        <f t="shared" si="57"/>
        <v>265.98301430954774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7.0940586738288402E-14</v>
      </c>
      <c r="AK72" s="13">
        <f t="shared" si="89"/>
        <v>1.1091816830583241E-12</v>
      </c>
      <c r="AL72" s="20">
        <f t="shared" si="58"/>
        <v>2.0553796198957668E-12</v>
      </c>
      <c r="AM72" s="59">
        <f t="shared" si="59"/>
        <v>275.24723916437932</v>
      </c>
      <c r="AN72" s="59">
        <f ca="1">AVERAGE(OFFSET($AM$3,0,0,'Données projet'!$E$10+1,1))-AVERAGE(OFFSET($H$3,0,0,'Données projet'!$E$10+1,1))</f>
        <v>296.20984079604017</v>
      </c>
      <c r="AO72" s="59">
        <f t="shared" si="90"/>
        <v>351.8406329895206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168.16544365862259</v>
      </c>
      <c r="AV72" s="21">
        <f>EXP(-LN(2)/25)*AV71+(1-EXP(-LN(2)/25))/(LN(2)/25)*Calculateur!AQ72*Calculateur!AS72*VLOOKUP('Données projet'!$B$10,Paramètres!$A$1:$I$89,3,0)*0.475*44/12</f>
        <v>33.908214440622118</v>
      </c>
      <c r="AW72" s="21">
        <f>EXP(-LN(2)/2)*AW71+(1-EXP(-LN(2)/2))/(LN(2)/2)*AQ72*AT72*VLOOKUP('Données projet'!$B$10,Paramètres!$A$1:$I$89,3,0)*0.475*44/12</f>
        <v>1.0737156800411201</v>
      </c>
      <c r="AX72" s="21">
        <f t="shared" si="60"/>
        <v>203.14737377928583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12.169999999999987</v>
      </c>
      <c r="BD72" s="12">
        <f>IF('Données projet'!$A$88&gt;35,BD71+BC72-BL71,IF(A72&lt;'Données projet'!$A$88,$BA$205^A72,IF(A72='Données projet'!$A$88,'Données projet'!$B$88,BD71+BC72-BL71)))</f>
        <v>306.2700000000001</v>
      </c>
      <c r="BE72" s="13">
        <f>BD72*VLOOKUP('Données projet'!$B$11,Paramètres!$A$1:$I$89,3,0)*VLOOKUP('Données projet'!$B$11,Paramètres!$A$1:$I$89,5,0)</f>
        <v>267.55747200000008</v>
      </c>
      <c r="BF72" s="13">
        <f t="shared" si="91"/>
        <v>64.330629357776289</v>
      </c>
      <c r="BG72" s="20">
        <f t="shared" si="61"/>
        <v>578.03844319812708</v>
      </c>
      <c r="BH72" s="59">
        <f t="shared" si="62"/>
        <v>853.2856823625043</v>
      </c>
      <c r="BI72" s="59">
        <f ca="1">AVERAGE(OFFSET($BH$3,0,0,'Données projet'!$E$11+1,1))-AVERAGE(OFFSET($H$3,0,0,'Données projet'!$E$11+1,1))</f>
        <v>385.40047672167555</v>
      </c>
      <c r="BJ72" s="59">
        <f t="shared" si="92"/>
        <v>286.49293757741611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23.367460218141446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23.367460218141446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-5.6843418860808015E-14</v>
      </c>
      <c r="BZ72" s="13">
        <f>BY72*VLOOKUP('Données projet'!$B$12,Paramètres!$A$1:$I$89,3,0)*VLOOKUP('Données projet'!$B$12,Paramètres!$A$1:$I$89,5,0)</f>
        <v>-5.1431925385259088E-14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397.12030701006762</v>
      </c>
      <c r="CE72" s="59">
        <f t="shared" si="94"/>
        <v>476.47513516380047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65.77122541664572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65.77122541664572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110.43805901666033</v>
      </c>
      <c r="CZ72" s="59">
        <f t="shared" si="96"/>
        <v>319.51880962151881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15.559519716816094</v>
      </c>
      <c r="DG72" s="21">
        <f>EXP(-LN(2)/25)*DG71+(1-EXP(-LN(2)/25))/(LN(2)/25)*Calculateur!DB72*Calculateur!DD72*VLOOKUP('Données projet'!$B$13,Paramètres!$A$1:$I$89,3,0)*0.475*44/12</f>
        <v>4.6970747142627118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20.256594431078806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3.3000000000000003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12.100000000000001</v>
      </c>
      <c r="H73" s="67">
        <f t="shared" si="56"/>
        <v>208.26666666666665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414.37917672189968</v>
      </c>
      <c r="T73" s="59">
        <f t="shared" si="88"/>
        <v>546.83385887302961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218.93249203574723</v>
      </c>
      <c r="AA73" s="21">
        <f>EXP(-LN(2)/25)*AA72+(1-EXP(-LN(2)/25))/(LN(2)/25)*Calculateur!V73*Calculateur!X73*VLOOKUP('Données projet'!$B$9,Paramètres!$A$1:$I$89,3,0)*0.475*44/12</f>
        <v>41.28316261436111</v>
      </c>
      <c r="AB73" s="21">
        <f>EXP(-LN(2)/2)*AB72+(1-EXP(-LN(2)/2))/(LN(2)/2)*V73*Y73*VLOOKUP('Données projet'!$B$9,Paramètres!$A$1:$I$89,3,0)*0.475*44/12</f>
        <v>0.16102927636623013</v>
      </c>
      <c r="AC73" s="22">
        <f t="shared" si="57"/>
        <v>260.37668392647453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7.0940586738288402E-14</v>
      </c>
      <c r="AK73" s="13">
        <f t="shared" si="89"/>
        <v>1.1091816830583241E-12</v>
      </c>
      <c r="AL73" s="20">
        <f t="shared" si="58"/>
        <v>2.0553796198957668E-12</v>
      </c>
      <c r="AM73" s="59">
        <f t="shared" si="59"/>
        <v>275.56099246376164</v>
      </c>
      <c r="AN73" s="59">
        <f ca="1">AVERAGE(OFFSET($AM$3,0,0,'Données projet'!$E$10+1,1))-AVERAGE(OFFSET($H$3,0,0,'Données projet'!$E$10+1,1))</f>
        <v>296.20984079604017</v>
      </c>
      <c r="AO73" s="59">
        <f t="shared" si="90"/>
        <v>351.8406329895206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164.8678218792696</v>
      </c>
      <c r="AV73" s="21">
        <f>EXP(-LN(2)/25)*AV72+(1-EXP(-LN(2)/25))/(LN(2)/25)*Calculateur!AQ73*Calculateur!AS73*VLOOKUP('Données projet'!$B$10,Paramètres!$A$1:$I$89,3,0)*0.475*44/12</f>
        <v>32.980992533587809</v>
      </c>
      <c r="AW73" s="21">
        <f>EXP(-LN(2)/2)*AW72+(1-EXP(-LN(2)/2))/(LN(2)/2)*AQ73*AT73*VLOOKUP('Données projet'!$B$10,Paramètres!$A$1:$I$89,3,0)*0.475*44/12</f>
        <v>0.75923163842340136</v>
      </c>
      <c r="AX73" s="21">
        <f t="shared" si="60"/>
        <v>198.60804605128081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12.169999999999987</v>
      </c>
      <c r="BD73" s="12">
        <f>IF('Données projet'!$A$88&gt;35,BD72+BC73-BL72,IF(A73&lt;'Données projet'!$A$88,$BA$205^A73,IF(A73='Données projet'!$A$88,'Données projet'!$B$88,BD72+BC73-BL72)))</f>
        <v>318.44000000000005</v>
      </c>
      <c r="BE73" s="13">
        <f>BD73*VLOOKUP('Données projet'!$B$11,Paramètres!$A$1:$I$89,3,0)*VLOOKUP('Données projet'!$B$11,Paramètres!$A$1:$I$89,5,0)</f>
        <v>278.18918400000007</v>
      </c>
      <c r="BF73" s="13">
        <f t="shared" si="91"/>
        <v>66.584187021298376</v>
      </c>
      <c r="BG73" s="20">
        <f t="shared" si="61"/>
        <v>600.48028786209477</v>
      </c>
      <c r="BH73" s="59">
        <f t="shared" si="62"/>
        <v>876.04128032585436</v>
      </c>
      <c r="BI73" s="59">
        <f ca="1">AVERAGE(OFFSET($BH$3,0,0,'Données projet'!$E$11+1,1))-AVERAGE(OFFSET($H$3,0,0,'Données projet'!$E$11+1,1))</f>
        <v>385.40047672167555</v>
      </c>
      <c r="BJ73" s="59">
        <f t="shared" si="92"/>
        <v>286.49293757741611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22.909238576007084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22.909238576007084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-5.6843418860808015E-14</v>
      </c>
      <c r="BZ73" s="13">
        <f>BY73*VLOOKUP('Données projet'!$B$12,Paramètres!$A$1:$I$89,3,0)*VLOOKUP('Données projet'!$B$12,Paramètres!$A$1:$I$89,5,0)</f>
        <v>-5.1431925385259088E-14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397.12030701006762</v>
      </c>
      <c r="CE73" s="59">
        <f t="shared" si="94"/>
        <v>476.47513516380047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64.481491802711631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64.481491802711631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110.43805901666033</v>
      </c>
      <c r="CZ73" s="59">
        <f t="shared" si="96"/>
        <v>319.51880962151881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15.254407025539262</v>
      </c>
      <c r="DG73" s="21">
        <f>EXP(-LN(2)/25)*DG72+(1-EXP(-LN(2)/25))/(LN(2)/25)*Calculateur!DB73*Calculateur!DD73*VLOOKUP('Données projet'!$B$13,Paramètres!$A$1:$I$89,3,0)*0.475*44/12</f>
        <v>4.5686329591927741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19.823039984732034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3.3000000000000003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12.100000000000001</v>
      </c>
      <c r="H74" s="67">
        <f t="shared" si="56"/>
        <v>208.26666666666665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414.37917672189968</v>
      </c>
      <c r="T74" s="59">
        <f t="shared" si="88"/>
        <v>546.83385887302961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214.63935940256081</v>
      </c>
      <c r="AA74" s="21">
        <f>EXP(-LN(2)/25)*AA73+(1-EXP(-LN(2)/25))/(LN(2)/25)*Calculateur!V74*Calculateur!X74*VLOOKUP('Données projet'!$B$9,Paramètres!$A$1:$I$89,3,0)*0.475*44/12</f>
        <v>40.154272361684235</v>
      </c>
      <c r="AB74" s="21">
        <f>EXP(-LN(2)/2)*AB73+(1-EXP(-LN(2)/2))/(LN(2)/2)*V74*Y74*VLOOKUP('Données projet'!$B$9,Paramètres!$A$1:$I$89,3,0)*0.475*44/12</f>
        <v>0.11386489328812398</v>
      </c>
      <c r="AC74" s="22">
        <f t="shared" si="57"/>
        <v>254.90749665753319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7.0940586738288402E-14</v>
      </c>
      <c r="AK74" s="13">
        <f t="shared" si="89"/>
        <v>1.1091816830583241E-12</v>
      </c>
      <c r="AL74" s="20">
        <f t="shared" si="58"/>
        <v>2.0553796198957668E-12</v>
      </c>
      <c r="AM74" s="59">
        <f t="shared" si="59"/>
        <v>275.86930284484703</v>
      </c>
      <c r="AN74" s="59">
        <f ca="1">AVERAGE(OFFSET($AM$3,0,0,'Données projet'!$E$10+1,1))-AVERAGE(OFFSET($H$3,0,0,'Données projet'!$E$10+1,1))</f>
        <v>296.20984079604017</v>
      </c>
      <c r="AO74" s="59">
        <f t="shared" si="90"/>
        <v>351.8406329895206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161.63486445165904</v>
      </c>
      <c r="AV74" s="21">
        <f>EXP(-LN(2)/25)*AV73+(1-EXP(-LN(2)/25))/(LN(2)/25)*Calculateur!AQ74*Calculateur!AS74*VLOOKUP('Données projet'!$B$10,Paramètres!$A$1:$I$89,3,0)*0.475*44/12</f>
        <v>32.079125558361831</v>
      </c>
      <c r="AW74" s="21">
        <f>EXP(-LN(2)/2)*AW73+(1-EXP(-LN(2)/2))/(LN(2)/2)*AQ74*AT74*VLOOKUP('Données projet'!$B$10,Paramètres!$A$1:$I$89,3,0)*0.475*44/12</f>
        <v>0.53685784002056003</v>
      </c>
      <c r="AX74" s="21">
        <f t="shared" si="60"/>
        <v>194.25084785004142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12.169999999999987</v>
      </c>
      <c r="BD74" s="12">
        <f>IF('Données projet'!$A$88&gt;35,BD73+BC74-BL73,IF(A74&lt;'Données projet'!$A$88,$BA$205^A74,IF(A74='Données projet'!$A$88,'Données projet'!$B$88,BD73+BC74-BL73)))</f>
        <v>330.61</v>
      </c>
      <c r="BE74" s="13">
        <f>BD74*VLOOKUP('Données projet'!$B$11,Paramètres!$A$1:$I$89,3,0)*VLOOKUP('Données projet'!$B$11,Paramètres!$A$1:$I$89,5,0)</f>
        <v>288.82089600000006</v>
      </c>
      <c r="BF74" s="13">
        <f t="shared" si="91"/>
        <v>68.827739372025562</v>
      </c>
      <c r="BG74" s="20">
        <f t="shared" si="61"/>
        <v>622.90470660627795</v>
      </c>
      <c r="BH74" s="59">
        <f t="shared" si="62"/>
        <v>898.77400945112299</v>
      </c>
      <c r="BI74" s="59">
        <f ca="1">AVERAGE(OFFSET($BH$3,0,0,'Données projet'!$E$11+1,1))-AVERAGE(OFFSET($H$3,0,0,'Données projet'!$E$11+1,1))</f>
        <v>385.40047672167555</v>
      </c>
      <c r="BJ74" s="59">
        <f t="shared" si="92"/>
        <v>286.49293757741611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22.460002380787373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22.460002380787373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-5.6843418860808015E-14</v>
      </c>
      <c r="BZ74" s="13">
        <f>BY74*VLOOKUP('Données projet'!$B$12,Paramètres!$A$1:$I$89,3,0)*VLOOKUP('Données projet'!$B$12,Paramètres!$A$1:$I$89,5,0)</f>
        <v>-5.1431925385259088E-14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397.12030701006762</v>
      </c>
      <c r="CE74" s="59">
        <f t="shared" si="94"/>
        <v>476.47513516380047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63.217049078286955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63.217049078286955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110.43805901666033</v>
      </c>
      <c r="CZ74" s="59">
        <f t="shared" si="96"/>
        <v>319.51880962151881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14.955277408038002</v>
      </c>
      <c r="DG74" s="21">
        <f>EXP(-LN(2)/25)*DG73+(1-EXP(-LN(2)/25))/(LN(2)/25)*Calculateur!DB74*Calculateur!DD74*VLOOKUP('Données projet'!$B$13,Paramètres!$A$1:$I$89,3,0)*0.475*44/12</f>
        <v>4.4437034506696822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19.398980858707684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3.3000000000000003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12.100000000000001</v>
      </c>
      <c r="H75" s="67">
        <f t="shared" si="56"/>
        <v>208.26666666666665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414.37917672189968</v>
      </c>
      <c r="T75" s="59">
        <f t="shared" si="88"/>
        <v>546.83385887302961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210.43041248175885</v>
      </c>
      <c r="AA75" s="21">
        <f>EXP(-LN(2)/25)*AA74+(1-EXP(-LN(2)/25))/(LN(2)/25)*Calculateur!V75*Calculateur!X75*VLOOKUP('Données projet'!$B$9,Paramètres!$A$1:$I$89,3,0)*0.475*44/12</f>
        <v>39.056251672332571</v>
      </c>
      <c r="AB75" s="21">
        <f>EXP(-LN(2)/2)*AB74+(1-EXP(-LN(2)/2))/(LN(2)/2)*V75*Y75*VLOOKUP('Données projet'!$B$9,Paramètres!$A$1:$I$89,3,0)*0.475*44/12</f>
        <v>8.0514638183115064E-2</v>
      </c>
      <c r="AC75" s="22">
        <f t="shared" si="57"/>
        <v>249.56717879227452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7.0940586738288402E-14</v>
      </c>
      <c r="AK75" s="13">
        <f t="shared" si="89"/>
        <v>1.1091816830583241E-12</v>
      </c>
      <c r="AL75" s="20">
        <f t="shared" si="58"/>
        <v>2.0553796198957668E-12</v>
      </c>
      <c r="AM75" s="59">
        <f t="shared" si="59"/>
        <v>276.17226473009924</v>
      </c>
      <c r="AN75" s="59">
        <f ca="1">AVERAGE(OFFSET($AM$3,0,0,'Données projet'!$E$10+1,1))-AVERAGE(OFFSET($H$3,0,0,'Données projet'!$E$10+1,1))</f>
        <v>296.20984079604017</v>
      </c>
      <c r="AO75" s="59">
        <f t="shared" si="90"/>
        <v>351.8406329895206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158.46530334729462</v>
      </c>
      <c r="AV75" s="21">
        <f>EXP(-LN(2)/25)*AV74+(1-EXP(-LN(2)/25))/(LN(2)/25)*Calculateur!AQ75*Calculateur!AS75*VLOOKUP('Données projet'!$B$10,Paramètres!$A$1:$I$89,3,0)*0.475*44/12</f>
        <v>31.201920183000531</v>
      </c>
      <c r="AW75" s="21">
        <f>EXP(-LN(2)/2)*AW74+(1-EXP(-LN(2)/2))/(LN(2)/2)*AQ75*AT75*VLOOKUP('Données projet'!$B$10,Paramètres!$A$1:$I$89,3,0)*0.475*44/12</f>
        <v>0.37961581921170068</v>
      </c>
      <c r="AX75" s="21">
        <f t="shared" si="60"/>
        <v>190.04683934950685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342.78</v>
      </c>
      <c r="BB75" s="12">
        <f>VLOOKUP(A75,'Données projet'!$A$87:$I$107,9,0)</f>
        <v>12.169999999999987</v>
      </c>
      <c r="BC75" s="12">
        <f t="array" ref="BC75">INDEX(BB:BB,MIN(IF(ISNUMBER(BB75:BB271),ROW(BB75:BB271),"")))</f>
        <v>12.169999999999987</v>
      </c>
      <c r="BD75" s="12">
        <f>IF('Données projet'!$A$88&gt;35,BD74+BC75-BL74,IF(A75&lt;'Données projet'!$A$88,$BA$205^A75,IF(A75='Données projet'!$A$88,'Données projet'!$B$88,BD74+BC75-BL74)))</f>
        <v>342.78</v>
      </c>
      <c r="BE75" s="13">
        <f>BD75*VLOOKUP('Données projet'!$B$11,Paramètres!$A$1:$I$89,3,0)*VLOOKUP('Données projet'!$B$11,Paramètres!$A$1:$I$89,5,0)</f>
        <v>299.45260800000005</v>
      </c>
      <c r="BF75" s="13">
        <f t="shared" si="91"/>
        <v>71.061696892414005</v>
      </c>
      <c r="BG75" s="20">
        <f t="shared" si="61"/>
        <v>645.31241435428785</v>
      </c>
      <c r="BH75" s="59">
        <f t="shared" si="62"/>
        <v>921.48467908438511</v>
      </c>
      <c r="BI75" s="59">
        <f ca="1">AVERAGE(OFFSET($BH$3,0,0,'Données projet'!$E$11+1,1))-AVERAGE(OFFSET($H$3,0,0,'Données projet'!$E$11+1,1))</f>
        <v>385.40047672167555</v>
      </c>
      <c r="BJ75" s="59">
        <f t="shared" si="92"/>
        <v>286.49293757741611</v>
      </c>
      <c r="BK75" s="15">
        <f>IF(ISNA(VLOOKUP(A75,'Données projet'!$A$87:$I$107,3,0)),0,VLOOKUP(A75,'Données projet'!$A$87:$I$107,3,0))</f>
        <v>13</v>
      </c>
      <c r="BL75" s="15">
        <f>IF(ISNA(VLOOKUP(A75,'Données projet'!$A$87:$I$107,4,0)),0,VLOOKUP(A75,'Données projet'!$A$87:$I$107,4,0))</f>
        <v>58.96</v>
      </c>
      <c r="BM75" s="16">
        <f>IF(ISNA(VLOOKUP(A75,'Données projet'!$A$87:$I$107,5,0)),0%,VLOOKUP(A75,'Données projet'!$A$87:$I$107,5,0)*VLOOKUP('Données projet'!$B$11,Paramètres!$A$1:$I$89,7,0))</f>
        <v>0.25800000000000001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36.710086902087852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36.710086902087852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-5.6843418860808015E-14</v>
      </c>
      <c r="BZ75" s="13">
        <f>BY75*VLOOKUP('Données projet'!$B$12,Paramètres!$A$1:$I$89,3,0)*VLOOKUP('Données projet'!$B$12,Paramètres!$A$1:$I$89,5,0)</f>
        <v>-5.1431925385259088E-14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397.12030701006762</v>
      </c>
      <c r="CE75" s="59">
        <f t="shared" si="94"/>
        <v>476.47513516380047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61.977401304454339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61.977401304454339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110.43805901666033</v>
      </c>
      <c r="CZ75" s="59">
        <f t="shared" si="96"/>
        <v>319.51880962151881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14.662013539884891</v>
      </c>
      <c r="DG75" s="21">
        <f>EXP(-LN(2)/25)*DG74+(1-EXP(-LN(2)/25))/(LN(2)/25)*Calculateur!DB75*Calculateur!DD75*VLOOKUP('Données projet'!$B$13,Paramètres!$A$1:$I$89,3,0)*0.475*44/12</f>
        <v>4.3221901461269114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18.984203686011803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3.3000000000000003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12.100000000000001</v>
      </c>
      <c r="H76" s="67">
        <f t="shared" si="56"/>
        <v>208.26666666666665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414.37917672189968</v>
      </c>
      <c r="T76" s="59">
        <f t="shared" si="88"/>
        <v>546.83385887302961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206.30400044286966</v>
      </c>
      <c r="AA76" s="21">
        <f>EXP(-LN(2)/25)*AA75+(1-EXP(-LN(2)/25))/(LN(2)/25)*Calculateur!V76*Calculateur!X76*VLOOKUP('Données projet'!$B$9,Paramètres!$A$1:$I$89,3,0)*0.475*44/12</f>
        <v>37.988256416473625</v>
      </c>
      <c r="AB76" s="21">
        <f>EXP(-LN(2)/2)*AB75+(1-EXP(-LN(2)/2))/(LN(2)/2)*V76*Y76*VLOOKUP('Données projet'!$B$9,Paramètres!$A$1:$I$89,3,0)*0.475*44/12</f>
        <v>5.6932446644061989E-2</v>
      </c>
      <c r="AC76" s="22">
        <f t="shared" si="57"/>
        <v>244.34918930598735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7.0940586738288402E-14</v>
      </c>
      <c r="AK76" s="13">
        <f t="shared" si="89"/>
        <v>1.1091816830583241E-12</v>
      </c>
      <c r="AL76" s="20">
        <f t="shared" si="58"/>
        <v>2.0553796198957668E-12</v>
      </c>
      <c r="AM76" s="59">
        <f t="shared" si="59"/>
        <v>276.46997090396377</v>
      </c>
      <c r="AN76" s="59">
        <f ca="1">AVERAGE(OFFSET($AM$3,0,0,'Données projet'!$E$10+1,1))-AVERAGE(OFFSET($H$3,0,0,'Données projet'!$E$10+1,1))</f>
        <v>296.20984079604017</v>
      </c>
      <c r="AO76" s="59">
        <f t="shared" si="90"/>
        <v>351.8406329895206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155.35789540294539</v>
      </c>
      <c r="AV76" s="21">
        <f>EXP(-LN(2)/25)*AV75+(1-EXP(-LN(2)/25))/(LN(2)/25)*Calculateur!AQ76*Calculateur!AS76*VLOOKUP('Données projet'!$B$10,Paramètres!$A$1:$I$89,3,0)*0.475*44/12</f>
        <v>30.348702034758713</v>
      </c>
      <c r="AW76" s="21">
        <f>EXP(-LN(2)/2)*AW75+(1-EXP(-LN(2)/2))/(LN(2)/2)*AQ76*AT76*VLOOKUP('Données projet'!$B$10,Paramètres!$A$1:$I$89,3,0)*0.475*44/12</f>
        <v>0.26842892001028001</v>
      </c>
      <c r="AX76" s="21">
        <f t="shared" si="60"/>
        <v>185.97502635771437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10.656666666666675</v>
      </c>
      <c r="BD76" s="12">
        <f>IF('Données projet'!$A$88&gt;35,BD75+BC76-BL75,IF(A76&lt;'Données projet'!$A$88,$BA$205^A76,IF(A76='Données projet'!$A$88,'Données projet'!$B$88,BD75+BC76-BL75)))</f>
        <v>294.47666666666669</v>
      </c>
      <c r="BE76" s="13">
        <f>BD76*VLOOKUP('Données projet'!$B$11,Paramètres!$A$1:$I$89,3,0)*VLOOKUP('Données projet'!$B$11,Paramètres!$A$1:$I$89,5,0)</f>
        <v>257.25481600000006</v>
      </c>
      <c r="BF76" s="13">
        <f t="shared" si="91"/>
        <v>62.136854660397667</v>
      </c>
      <c r="BG76" s="20">
        <f t="shared" si="61"/>
        <v>556.27382640019266</v>
      </c>
      <c r="BH76" s="59">
        <f t="shared" si="62"/>
        <v>832.74379730415444</v>
      </c>
      <c r="BI76" s="59">
        <f ca="1">AVERAGE(OFFSET($BH$3,0,0,'Données projet'!$E$11+1,1))-AVERAGE(OFFSET($H$3,0,0,'Données projet'!$E$11+1,1))</f>
        <v>385.40047672167555</v>
      </c>
      <c r="BJ76" s="59">
        <f t="shared" si="92"/>
        <v>286.49293757741611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35.990224488879996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35.990224488879996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-5.6843418860808015E-14</v>
      </c>
      <c r="BZ76" s="13">
        <f>BY76*VLOOKUP('Données projet'!$B$12,Paramètres!$A$1:$I$89,3,0)*VLOOKUP('Données projet'!$B$12,Paramètres!$A$1:$I$89,5,0)</f>
        <v>-5.1431925385259088E-14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397.12030701006762</v>
      </c>
      <c r="CE76" s="59">
        <f t="shared" si="94"/>
        <v>476.47513516380047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60.7620622673561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60.7620622673561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110.43805901666033</v>
      </c>
      <c r="CZ76" s="59">
        <f t="shared" si="96"/>
        <v>319.51880962151881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14.374500397312964</v>
      </c>
      <c r="DG76" s="21">
        <f>EXP(-LN(2)/25)*DG75+(1-EXP(-LN(2)/25))/(LN(2)/25)*Calculateur!DB76*Calculateur!DD76*VLOOKUP('Données projet'!$B$13,Paramètres!$A$1:$I$89,3,0)*0.475*44/12</f>
        <v>4.2039996292869697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18.578500026599933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3.3000000000000003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12.100000000000001</v>
      </c>
      <c r="H77" s="67">
        <f t="shared" si="56"/>
        <v>208.26666666666665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414.37917672189968</v>
      </c>
      <c r="T77" s="59">
        <f t="shared" si="88"/>
        <v>546.83385887302961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202.25850482720028</v>
      </c>
      <c r="AA77" s="21">
        <f>EXP(-LN(2)/25)*AA76+(1-EXP(-LN(2)/25))/(LN(2)/25)*Calculateur!V77*Calculateur!X77*VLOOKUP('Données projet'!$B$9,Paramètres!$A$1:$I$89,3,0)*0.475*44/12</f>
        <v>36.94946554704957</v>
      </c>
      <c r="AB77" s="21">
        <f>EXP(-LN(2)/2)*AB76+(1-EXP(-LN(2)/2))/(LN(2)/2)*V77*Y77*VLOOKUP('Données projet'!$B$9,Paramètres!$A$1:$I$89,3,0)*0.475*44/12</f>
        <v>4.0257319091557532E-2</v>
      </c>
      <c r="AC77" s="22">
        <f t="shared" si="57"/>
        <v>239.24822769334139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7.0940586738288402E-14</v>
      </c>
      <c r="AK77" s="13">
        <f t="shared" si="89"/>
        <v>1.1091816830583241E-12</v>
      </c>
      <c r="AL77" s="20">
        <f t="shared" si="58"/>
        <v>2.0553796198957668E-12</v>
      </c>
      <c r="AM77" s="59">
        <f t="shared" si="59"/>
        <v>276.76251254128294</v>
      </c>
      <c r="AN77" s="59">
        <f ca="1">AVERAGE(OFFSET($AM$3,0,0,'Données projet'!$E$10+1,1))-AVERAGE(OFFSET($H$3,0,0,'Données projet'!$E$10+1,1))</f>
        <v>296.20984079604017</v>
      </c>
      <c r="AO77" s="59">
        <f t="shared" si="90"/>
        <v>351.8406329895206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152.31142183305315</v>
      </c>
      <c r="AV77" s="21">
        <f>EXP(-LN(2)/25)*AV76+(1-EXP(-LN(2)/25))/(LN(2)/25)*Calculateur!AQ77*Calculateur!AS77*VLOOKUP('Données projet'!$B$10,Paramètres!$A$1:$I$89,3,0)*0.475*44/12</f>
        <v>29.518815181649359</v>
      </c>
      <c r="AW77" s="21">
        <f>EXP(-LN(2)/2)*AW76+(1-EXP(-LN(2)/2))/(LN(2)/2)*AQ77*AT77*VLOOKUP('Données projet'!$B$10,Paramètres!$A$1:$I$89,3,0)*0.475*44/12</f>
        <v>0.18980790960585034</v>
      </c>
      <c r="AX77" s="21">
        <f t="shared" si="60"/>
        <v>182.02004492430837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10.656666666666675</v>
      </c>
      <c r="BD77" s="12">
        <f>IF('Données projet'!$A$88&gt;35,BD76+BC77-BL76,IF(A77&lt;'Données projet'!$A$88,$BA$205^A77,IF(A77='Données projet'!$A$88,'Données projet'!$B$88,BD76+BC77-BL76)))</f>
        <v>305.13333333333338</v>
      </c>
      <c r="BE77" s="13">
        <f>BD77*VLOOKUP('Données projet'!$B$11,Paramètres!$A$1:$I$89,3,0)*VLOOKUP('Données projet'!$B$11,Paramètres!$A$1:$I$89,5,0)</f>
        <v>266.56448000000006</v>
      </c>
      <c r="BF77" s="13">
        <f t="shared" si="91"/>
        <v>64.119622728481616</v>
      </c>
      <c r="BG77" s="20">
        <f t="shared" si="61"/>
        <v>575.9414789187723</v>
      </c>
      <c r="BH77" s="59">
        <f t="shared" si="62"/>
        <v>852.7039914600532</v>
      </c>
      <c r="BI77" s="59">
        <f ca="1">AVERAGE(OFFSET($BH$3,0,0,'Données projet'!$E$11+1,1))-AVERAGE(OFFSET($H$3,0,0,'Données projet'!$E$11+1,1))</f>
        <v>385.40047672167555</v>
      </c>
      <c r="BJ77" s="59">
        <f t="shared" si="92"/>
        <v>286.49293757741611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35.284478138522431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35.284478138522431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-5.6843418860808015E-14</v>
      </c>
      <c r="BZ77" s="13">
        <f>BY77*VLOOKUP('Données projet'!$B$12,Paramètres!$A$1:$I$89,3,0)*VLOOKUP('Données projet'!$B$12,Paramètres!$A$1:$I$89,5,0)</f>
        <v>-5.1431925385259088E-14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397.12030701006762</v>
      </c>
      <c r="CE77" s="59">
        <f t="shared" si="94"/>
        <v>476.47513516380047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59.570555287491743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59.570555287491743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110.43805901666033</v>
      </c>
      <c r="CZ77" s="59">
        <f t="shared" si="96"/>
        <v>319.51880962151881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14.092625212101172</v>
      </c>
      <c r="DG77" s="21">
        <f>EXP(-LN(2)/25)*DG76+(1-EXP(-LN(2)/25))/(LN(2)/25)*Calculateur!DB77*Calculateur!DD77*VLOOKUP('Données projet'!$B$13,Paramètres!$A$1:$I$89,3,0)*0.475*44/12</f>
        <v>4.0890410383453855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18.181666250446558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3.3000000000000003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12.100000000000001</v>
      </c>
      <c r="H78" s="67">
        <f t="shared" si="56"/>
        <v>208.26666666666665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414.37917672189968</v>
      </c>
      <c r="T78" s="59">
        <f t="shared" si="88"/>
        <v>546.83385887302961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198.29233891304551</v>
      </c>
      <c r="AA78" s="21">
        <f>EXP(-LN(2)/25)*AA77+(1-EXP(-LN(2)/25))/(LN(2)/25)*Calculateur!V78*Calculateur!X78*VLOOKUP('Données projet'!$B$9,Paramètres!$A$1:$I$89,3,0)*0.475*44/12</f>
        <v>35.939080468577558</v>
      </c>
      <c r="AB78" s="21">
        <f>EXP(-LN(2)/2)*AB77+(1-EXP(-LN(2)/2))/(LN(2)/2)*V78*Y78*VLOOKUP('Données projet'!$B$9,Paramètres!$A$1:$I$89,3,0)*0.475*44/12</f>
        <v>2.8466223322030994E-2</v>
      </c>
      <c r="AC78" s="22">
        <f t="shared" si="57"/>
        <v>234.25988560494511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7.0940586738288402E-14</v>
      </c>
      <c r="AK78" s="13">
        <f t="shared" si="89"/>
        <v>1.1091816830583241E-12</v>
      </c>
      <c r="AL78" s="20">
        <f t="shared" si="58"/>
        <v>2.0553796198957668E-12</v>
      </c>
      <c r="AM78" s="59">
        <f t="shared" si="59"/>
        <v>277.04997923521978</v>
      </c>
      <c r="AN78" s="59">
        <f ca="1">AVERAGE(OFFSET($AM$3,0,0,'Données projet'!$E$10+1,1))-AVERAGE(OFFSET($H$3,0,0,'Données projet'!$E$10+1,1))</f>
        <v>296.20984079604017</v>
      </c>
      <c r="AO78" s="59">
        <f t="shared" si="90"/>
        <v>351.8406329895206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149.32468775170111</v>
      </c>
      <c r="AV78" s="21">
        <f>EXP(-LN(2)/25)*AV77+(1-EXP(-LN(2)/25))/(LN(2)/25)*Calculateur!AQ78*Calculateur!AS78*VLOOKUP('Données projet'!$B$10,Paramètres!$A$1:$I$89,3,0)*0.475*44/12</f>
        <v>28.711621628180133</v>
      </c>
      <c r="AW78" s="21">
        <f>EXP(-LN(2)/2)*AW77+(1-EXP(-LN(2)/2))/(LN(2)/2)*AQ78*AT78*VLOOKUP('Données projet'!$B$10,Paramètres!$A$1:$I$89,3,0)*0.475*44/12</f>
        <v>0.13421446000514001</v>
      </c>
      <c r="AX78" s="21">
        <f t="shared" si="60"/>
        <v>178.17052383988639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315.79000000000002</v>
      </c>
      <c r="BB78" s="12">
        <f>VLOOKUP(A78,'Données projet'!$A$87:$I$107,9,0)</f>
        <v>10.656666666666675</v>
      </c>
      <c r="BC78" s="12">
        <f t="array" ref="BC78">INDEX(BB:BB,MIN(IF(ISNUMBER(BB78:BB274),ROW(BB78:BB274),"")))</f>
        <v>10.656666666666675</v>
      </c>
      <c r="BD78" s="12">
        <f>IF('Données projet'!$A$88&gt;35,BD77+BC78-BL77,IF(A78&lt;'Données projet'!$A$88,$BA$205^A78,IF(A78='Données projet'!$A$88,'Données projet'!$B$88,BD77+BC78-BL77)))</f>
        <v>315.79000000000008</v>
      </c>
      <c r="BE78" s="13">
        <f>BD78*VLOOKUP('Données projet'!$B$11,Paramètres!$A$1:$I$89,3,0)*VLOOKUP('Données projet'!$B$11,Paramètres!$A$1:$I$89,5,0)</f>
        <v>275.87414400000011</v>
      </c>
      <c r="BF78" s="13">
        <f t="shared" si="91"/>
        <v>66.094345029703845</v>
      </c>
      <c r="BG78" s="20">
        <f t="shared" si="61"/>
        <v>595.59511839340109</v>
      </c>
      <c r="BH78" s="59">
        <f t="shared" si="62"/>
        <v>872.64509762861883</v>
      </c>
      <c r="BI78" s="59">
        <f ca="1">AVERAGE(OFFSET($BH$3,0,0,'Données projet'!$E$11+1,1))-AVERAGE(OFFSET($H$3,0,0,'Données projet'!$E$11+1,1))</f>
        <v>385.40047672167555</v>
      </c>
      <c r="BJ78" s="59">
        <f t="shared" si="92"/>
        <v>286.49293757741611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34.59257104363261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34.59257104363261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-5.6843418860808015E-14</v>
      </c>
      <c r="BZ78" s="13">
        <f>BY78*VLOOKUP('Données projet'!$B$12,Paramètres!$A$1:$I$89,3,0)*VLOOKUP('Données projet'!$B$12,Paramètres!$A$1:$I$89,5,0)</f>
        <v>-5.1431925385259088E-14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397.12030701006762</v>
      </c>
      <c r="CE78" s="59">
        <f t="shared" si="94"/>
        <v>476.47513516380047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58.402413032755028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58.402413032755028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110.43805901666033</v>
      </c>
      <c r="CZ78" s="59">
        <f t="shared" si="96"/>
        <v>319.51880962151881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13.816277427344497</v>
      </c>
      <c r="DG78" s="21">
        <f>EXP(-LN(2)/25)*DG77+(1-EXP(-LN(2)/25))/(LN(2)/25)*Calculateur!DB78*Calculateur!DD78*VLOOKUP('Données projet'!$B$13,Paramètres!$A$1:$I$89,3,0)*0.475*44/12</f>
        <v>3.9772259961185084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17.793503423463005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3.3000000000000003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12.100000000000001</v>
      </c>
      <c r="H79" s="67">
        <f t="shared" si="56"/>
        <v>208.26666666666665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414.37917672189968</v>
      </c>
      <c r="T79" s="59">
        <f t="shared" si="88"/>
        <v>546.83385887302961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194.40394709334495</v>
      </c>
      <c r="AA79" s="21">
        <f>EXP(-LN(2)/25)*AA78+(1-EXP(-LN(2)/25))/(LN(2)/25)*Calculateur!V79*Calculateur!X79*VLOOKUP('Données projet'!$B$9,Paramètres!$A$1:$I$89,3,0)*0.475*44/12</f>
        <v>34.956324423210205</v>
      </c>
      <c r="AB79" s="21">
        <f>EXP(-LN(2)/2)*AB78+(1-EXP(-LN(2)/2))/(LN(2)/2)*V79*Y79*VLOOKUP('Données projet'!$B$9,Paramètres!$A$1:$I$89,3,0)*0.475*44/12</f>
        <v>2.0128659545778766E-2</v>
      </c>
      <c r="AC79" s="22">
        <f t="shared" si="57"/>
        <v>229.38040017610092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7.0940586738288402E-14</v>
      </c>
      <c r="AK79" s="13">
        <f t="shared" si="89"/>
        <v>1.1091816830583241E-12</v>
      </c>
      <c r="AL79" s="20">
        <f t="shared" si="58"/>
        <v>2.0553796198957668E-12</v>
      </c>
      <c r="AM79" s="59">
        <f t="shared" si="59"/>
        <v>277.33245902469605</v>
      </c>
      <c r="AN79" s="59">
        <f ca="1">AVERAGE(OFFSET($AM$3,0,0,'Données projet'!$E$10+1,1))-AVERAGE(OFFSET($H$3,0,0,'Données projet'!$E$10+1,1))</f>
        <v>296.20984079604017</v>
      </c>
      <c r="AO79" s="59">
        <f t="shared" si="90"/>
        <v>351.8406329895206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146.39652170395647</v>
      </c>
      <c r="AV79" s="21">
        <f>EXP(-LN(2)/25)*AV78+(1-EXP(-LN(2)/25))/(LN(2)/25)*Calculateur!AQ79*Calculateur!AS79*VLOOKUP('Données projet'!$B$10,Paramètres!$A$1:$I$89,3,0)*0.475*44/12</f>
        <v>27.926500824878985</v>
      </c>
      <c r="AW79" s="21">
        <f>EXP(-LN(2)/2)*AW78+(1-EXP(-LN(2)/2))/(LN(2)/2)*AQ79*AT79*VLOOKUP('Données projet'!$B$10,Paramètres!$A$1:$I$89,3,0)*0.475*44/12</f>
        <v>9.4903954802925169E-2</v>
      </c>
      <c r="AX79" s="21">
        <f t="shared" si="60"/>
        <v>174.41792648363838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11.201666666666663</v>
      </c>
      <c r="BD79" s="12">
        <f>IF('Données projet'!$A$88&gt;35,BD78+BC79-BL78,IF(A79&lt;'Données projet'!$A$88,$BA$205^A79,IF(A79='Données projet'!$A$88,'Données projet'!$B$88,BD78+BC79-BL78)))</f>
        <v>326.99166666666673</v>
      </c>
      <c r="BE79" s="13">
        <f>BD79*VLOOKUP('Données projet'!$B$11,Paramètres!$A$1:$I$89,3,0)*VLOOKUP('Données projet'!$B$11,Paramètres!$A$1:$I$89,5,0)</f>
        <v>285.65992000000011</v>
      </c>
      <c r="BF79" s="13">
        <f t="shared" si="91"/>
        <v>68.161715991791326</v>
      </c>
      <c r="BG79" s="20">
        <f t="shared" si="61"/>
        <v>616.23934935237003</v>
      </c>
      <c r="BH79" s="59">
        <f t="shared" si="62"/>
        <v>893.57180837706403</v>
      </c>
      <c r="BI79" s="59">
        <f ca="1">AVERAGE(OFFSET($BH$3,0,0,'Données projet'!$E$11+1,1))-AVERAGE(OFFSET($H$3,0,0,'Données projet'!$E$11+1,1))</f>
        <v>385.40047672167555</v>
      </c>
      <c r="BJ79" s="59">
        <f t="shared" si="92"/>
        <v>286.49293757741611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33.914231824851917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33.914231824851917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-5.6843418860808015E-14</v>
      </c>
      <c r="BZ79" s="13">
        <f>BY79*VLOOKUP('Données projet'!$B$12,Paramètres!$A$1:$I$89,3,0)*VLOOKUP('Données projet'!$B$12,Paramètres!$A$1:$I$89,5,0)</f>
        <v>-5.1431925385259088E-14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397.12030701006762</v>
      </c>
      <c r="CE79" s="59">
        <f t="shared" si="94"/>
        <v>476.47513516380047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57.257177335137278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57.257177335137278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110.43805901666033</v>
      </c>
      <c r="CZ79" s="59">
        <f t="shared" si="96"/>
        <v>319.51880962151881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13.545348654091395</v>
      </c>
      <c r="DG79" s="21">
        <f>EXP(-LN(2)/25)*DG78+(1-EXP(-LN(2)/25))/(LN(2)/25)*Calculateur!DB79*Calculateur!DD79*VLOOKUP('Données projet'!$B$13,Paramètres!$A$1:$I$89,3,0)*0.475*44/12</f>
        <v>3.8684685421014229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17.413817196192817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3.3000000000000003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12.100000000000001</v>
      </c>
      <c r="H80" s="67">
        <f t="shared" si="56"/>
        <v>208.26666666666665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414.37917672189968</v>
      </c>
      <c r="T80" s="59">
        <f t="shared" si="88"/>
        <v>546.83385887302961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190.59180426554391</v>
      </c>
      <c r="AA80" s="21">
        <f>EXP(-LN(2)/25)*AA79+(1-EXP(-LN(2)/25))/(LN(2)/25)*Calculateur!V80*Calculateur!X80*VLOOKUP('Données projet'!$B$9,Paramètres!$A$1:$I$89,3,0)*0.475*44/12</f>
        <v>34.000441893584316</v>
      </c>
      <c r="AB80" s="21">
        <f>EXP(-LN(2)/2)*AB79+(1-EXP(-LN(2)/2))/(LN(2)/2)*V80*Y80*VLOOKUP('Données projet'!$B$9,Paramètres!$A$1:$I$89,3,0)*0.475*44/12</f>
        <v>1.4233111661015497E-2</v>
      </c>
      <c r="AC80" s="22">
        <f t="shared" si="57"/>
        <v>224.60647927078924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7.0940586738288402E-14</v>
      </c>
      <c r="AK80" s="13">
        <f t="shared" si="89"/>
        <v>1.1091816830583241E-12</v>
      </c>
      <c r="AL80" s="20">
        <f t="shared" si="58"/>
        <v>2.0553796198957668E-12</v>
      </c>
      <c r="AM80" s="59">
        <f t="shared" si="59"/>
        <v>277.61003842135511</v>
      </c>
      <c r="AN80" s="59">
        <f ca="1">AVERAGE(OFFSET($AM$3,0,0,'Données projet'!$E$10+1,1))-AVERAGE(OFFSET($H$3,0,0,'Données projet'!$E$10+1,1))</f>
        <v>296.20984079604017</v>
      </c>
      <c r="AO80" s="59">
        <f t="shared" si="90"/>
        <v>351.8406329895206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143.52577520640315</v>
      </c>
      <c r="AV80" s="21">
        <f>EXP(-LN(2)/25)*AV79+(1-EXP(-LN(2)/25))/(LN(2)/25)*Calculateur!AQ80*Calculateur!AS80*VLOOKUP('Données projet'!$B$10,Paramètres!$A$1:$I$89,3,0)*0.475*44/12</f>
        <v>27.162849191231818</v>
      </c>
      <c r="AW80" s="21">
        <f>EXP(-LN(2)/2)*AW79+(1-EXP(-LN(2)/2))/(LN(2)/2)*AQ80*AT80*VLOOKUP('Données projet'!$B$10,Paramètres!$A$1:$I$89,3,0)*0.475*44/12</f>
        <v>6.7107230002570004E-2</v>
      </c>
      <c r="AX80" s="21">
        <f t="shared" si="60"/>
        <v>170.75573162763754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11.201666666666663</v>
      </c>
      <c r="BD80" s="12">
        <f>IF('Données projet'!$A$88&gt;35,BD79+BC80-BL79,IF(A80&lt;'Données projet'!$A$88,$BA$205^A80,IF(A80='Données projet'!$A$88,'Données projet'!$B$88,BD79+BC80-BL79)))</f>
        <v>338.19333333333338</v>
      </c>
      <c r="BE80" s="13">
        <f>BD80*VLOOKUP('Données projet'!$B$11,Paramètres!$A$1:$I$89,3,0)*VLOOKUP('Données projet'!$B$11,Paramètres!$A$1:$I$89,5,0)</f>
        <v>295.44569600000005</v>
      </c>
      <c r="BF80" s="13">
        <f t="shared" si="91"/>
        <v>70.220858059067069</v>
      </c>
      <c r="BG80" s="20">
        <f t="shared" si="61"/>
        <v>636.86924831954195</v>
      </c>
      <c r="BH80" s="59">
        <f t="shared" si="62"/>
        <v>914.47928674089508</v>
      </c>
      <c r="BI80" s="59">
        <f ca="1">AVERAGE(OFFSET($BH$3,0,0,'Données projet'!$E$11+1,1))-AVERAGE(OFFSET($H$3,0,0,'Données projet'!$E$11+1,1))</f>
        <v>385.40047672167555</v>
      </c>
      <c r="BJ80" s="59">
        <f t="shared" si="92"/>
        <v>286.49293757741611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33.249194424405445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33.249194424405445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-5.6843418860808015E-14</v>
      </c>
      <c r="BZ80" s="13">
        <f>BY80*VLOOKUP('Données projet'!$B$12,Paramètres!$A$1:$I$89,3,0)*VLOOKUP('Données projet'!$B$12,Paramètres!$A$1:$I$89,5,0)</f>
        <v>-5.1431925385259088E-14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397.12030701006762</v>
      </c>
      <c r="CE80" s="59">
        <f t="shared" si="94"/>
        <v>476.47513516380047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56.13439901102501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56.13439901102501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110.43805901666033</v>
      </c>
      <c r="CZ80" s="59">
        <f t="shared" si="96"/>
        <v>319.51880962151881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13.279732628831551</v>
      </c>
      <c r="DG80" s="21">
        <f>EXP(-LN(2)/25)*DG79+(1-EXP(-LN(2)/25))/(LN(2)/25)*Calculateur!DB80*Calculateur!DD80*VLOOKUP('Données projet'!$B$13,Paramètres!$A$1:$I$89,3,0)*0.475*44/12</f>
        <v>3.7626850663837406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17.042417695215292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3.3000000000000003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12.100000000000001</v>
      </c>
      <c r="H81" s="67">
        <f t="shared" si="56"/>
        <v>208.26666666666665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414.37917672189968</v>
      </c>
      <c r="T81" s="59">
        <f t="shared" si="88"/>
        <v>546.83385887302961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186.85441523341851</v>
      </c>
      <c r="AA81" s="21">
        <f>EXP(-LN(2)/25)*AA80+(1-EXP(-LN(2)/25))/(LN(2)/25)*Calculateur!V81*Calculateur!X81*VLOOKUP('Données projet'!$B$9,Paramètres!$A$1:$I$89,3,0)*0.475*44/12</f>
        <v>33.070698021998723</v>
      </c>
      <c r="AB81" s="21">
        <f>EXP(-LN(2)/2)*AB80+(1-EXP(-LN(2)/2))/(LN(2)/2)*V81*Y81*VLOOKUP('Données projet'!$B$9,Paramètres!$A$1:$I$89,3,0)*0.475*44/12</f>
        <v>1.0064329772889383E-2</v>
      </c>
      <c r="AC81" s="22">
        <f t="shared" si="57"/>
        <v>219.9351775851901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7.0940586738288402E-14</v>
      </c>
      <c r="AK81" s="13">
        <f t="shared" si="89"/>
        <v>1.1091816830583241E-12</v>
      </c>
      <c r="AL81" s="20">
        <f t="shared" si="58"/>
        <v>2.0553796198957668E-12</v>
      </c>
      <c r="AM81" s="59">
        <f t="shared" si="59"/>
        <v>277.88280243605669</v>
      </c>
      <c r="AN81" s="59">
        <f ca="1">AVERAGE(OFFSET($AM$3,0,0,'Données projet'!$E$10+1,1))-AVERAGE(OFFSET($H$3,0,0,'Données projet'!$E$10+1,1))</f>
        <v>296.20984079604017</v>
      </c>
      <c r="AO81" s="59">
        <f t="shared" si="90"/>
        <v>351.8406329895206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140.71132229668441</v>
      </c>
      <c r="AV81" s="21">
        <f>EXP(-LN(2)/25)*AV80+(1-EXP(-LN(2)/25))/(LN(2)/25)*Calculateur!AQ81*Calculateur!AS81*VLOOKUP('Données projet'!$B$10,Paramètres!$A$1:$I$89,3,0)*0.475*44/12</f>
        <v>26.420079651665425</v>
      </c>
      <c r="AW81" s="21">
        <f>EXP(-LN(2)/2)*AW80+(1-EXP(-LN(2)/2))/(LN(2)/2)*AQ81*AT81*VLOOKUP('Données projet'!$B$10,Paramètres!$A$1:$I$89,3,0)*0.475*44/12</f>
        <v>4.7451977401462585E-2</v>
      </c>
      <c r="AX81" s="21">
        <f t="shared" si="60"/>
        <v>167.1788539257513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11.201666666666663</v>
      </c>
      <c r="BD81" s="12">
        <f>IF('Données projet'!$A$88&gt;35,BD80+BC81-BL80,IF(A81&lt;'Données projet'!$A$88,$BA$205^A81,IF(A81='Données projet'!$A$88,'Données projet'!$B$88,BD80+BC81-BL80)))</f>
        <v>349.39500000000004</v>
      </c>
      <c r="BE81" s="13">
        <f>BD81*VLOOKUP('Données projet'!$B$11,Paramètres!$A$1:$I$89,3,0)*VLOOKUP('Données projet'!$B$11,Paramètres!$A$1:$I$89,5,0)</f>
        <v>305.23147200000005</v>
      </c>
      <c r="BF81" s="13">
        <f t="shared" si="91"/>
        <v>72.272075042411686</v>
      </c>
      <c r="BG81" s="20">
        <f t="shared" si="61"/>
        <v>657.48534443220046</v>
      </c>
      <c r="BH81" s="59">
        <f t="shared" si="62"/>
        <v>935.36814686825505</v>
      </c>
      <c r="BI81" s="59">
        <f ca="1">AVERAGE(OFFSET($BH$3,0,0,'Données projet'!$E$11+1,1))-AVERAGE(OFFSET($H$3,0,0,'Données projet'!$E$11+1,1))</f>
        <v>385.40047672167555</v>
      </c>
      <c r="BJ81" s="59">
        <f t="shared" si="92"/>
        <v>286.49293757741611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32.597198001748971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32.597198001748971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-5.6843418860808015E-14</v>
      </c>
      <c r="BZ81" s="13">
        <f>BY81*VLOOKUP('Données projet'!$B$12,Paramètres!$A$1:$I$89,3,0)*VLOOKUP('Données projet'!$B$12,Paramètres!$A$1:$I$89,5,0)</f>
        <v>-5.1431925385259088E-14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397.12030701006762</v>
      </c>
      <c r="CE81" s="59">
        <f t="shared" si="94"/>
        <v>476.47513516380047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55.033637685021425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55.033637685021425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110.43805901666033</v>
      </c>
      <c r="CZ81" s="59">
        <f t="shared" si="96"/>
        <v>319.51880962151881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13.019325171817275</v>
      </c>
      <c r="DG81" s="21">
        <f>EXP(-LN(2)/25)*DG80+(1-EXP(-LN(2)/25))/(LN(2)/25)*Calculateur!DB81*Calculateur!DD81*VLOOKUP('Données projet'!$B$13,Paramètres!$A$1:$I$89,3,0)*0.475*44/12</f>
        <v>3.6597942453724692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16.679119417189746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3.3000000000000003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12.100000000000001</v>
      </c>
      <c r="H82" s="67">
        <f t="shared" si="56"/>
        <v>208.26666666666665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414.37917672189968</v>
      </c>
      <c r="T82" s="59">
        <f t="shared" si="88"/>
        <v>546.83385887302961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183.19031412063086</v>
      </c>
      <c r="AA82" s="21">
        <f>EXP(-LN(2)/25)*AA81+(1-EXP(-LN(2)/25))/(LN(2)/25)*Calculateur!V82*Calculateur!X82*VLOOKUP('Données projet'!$B$9,Paramètres!$A$1:$I$89,3,0)*0.475*44/12</f>
        <v>32.166378045474744</v>
      </c>
      <c r="AB82" s="21">
        <f>EXP(-LN(2)/2)*AB81+(1-EXP(-LN(2)/2))/(LN(2)/2)*V82*Y82*VLOOKUP('Données projet'!$B$9,Paramètres!$A$1:$I$89,3,0)*0.475*44/12</f>
        <v>7.1165558305077486E-3</v>
      </c>
      <c r="AC82" s="22">
        <f t="shared" si="57"/>
        <v>215.36380872193612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7.0940586738288402E-14</v>
      </c>
      <c r="AK82" s="13">
        <f t="shared" si="89"/>
        <v>1.1091816830583241E-12</v>
      </c>
      <c r="AL82" s="20">
        <f t="shared" si="58"/>
        <v>2.0553796198957668E-12</v>
      </c>
      <c r="AM82" s="59">
        <f t="shared" si="59"/>
        <v>278.15083460491223</v>
      </c>
      <c r="AN82" s="59">
        <f ca="1">AVERAGE(OFFSET($AM$3,0,0,'Données projet'!$E$10+1,1))-AVERAGE(OFFSET($H$3,0,0,'Données projet'!$E$10+1,1))</f>
        <v>296.20984079604017</v>
      </c>
      <c r="AO82" s="59">
        <f t="shared" si="90"/>
        <v>351.8406329895206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137.95205909187848</v>
      </c>
      <c r="AV82" s="21">
        <f>EXP(-LN(2)/25)*AV81+(1-EXP(-LN(2)/25))/(LN(2)/25)*Calculateur!AQ82*Calculateur!AS82*VLOOKUP('Données projet'!$B$10,Paramètres!$A$1:$I$89,3,0)*0.475*44/12</f>
        <v>25.697621184219027</v>
      </c>
      <c r="AW82" s="21">
        <f>EXP(-LN(2)/2)*AW81+(1-EXP(-LN(2)/2))/(LN(2)/2)*AQ82*AT82*VLOOKUP('Données projet'!$B$10,Paramètres!$A$1:$I$89,3,0)*0.475*44/12</f>
        <v>3.3553615001285002E-2</v>
      </c>
      <c r="AX82" s="21">
        <f t="shared" si="60"/>
        <v>163.68323389109881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11.201666666666663</v>
      </c>
      <c r="BD82" s="12">
        <f>IF('Données projet'!$A$88&gt;35,BD81+BC82-BL81,IF(A82&lt;'Données projet'!$A$88,$BA$205^A82,IF(A82='Données projet'!$A$88,'Données projet'!$B$88,BD81+BC82-BL81)))</f>
        <v>360.59666666666669</v>
      </c>
      <c r="BE82" s="13">
        <f>BD82*VLOOKUP('Données projet'!$B$11,Paramètres!$A$1:$I$89,3,0)*VLOOKUP('Données projet'!$B$11,Paramètres!$A$1:$I$89,5,0)</f>
        <v>315.01724800000005</v>
      </c>
      <c r="BF82" s="13">
        <f t="shared" si="91"/>
        <v>74.315650166186686</v>
      </c>
      <c r="BG82" s="20">
        <f t="shared" si="61"/>
        <v>678.08813097277516</v>
      </c>
      <c r="BH82" s="59">
        <f t="shared" si="62"/>
        <v>956.23896557768535</v>
      </c>
      <c r="BI82" s="59">
        <f ca="1">AVERAGE(OFFSET($BH$3,0,0,'Données projet'!$E$11+1,1))-AVERAGE(OFFSET($H$3,0,0,'Données projet'!$E$11+1,1))</f>
        <v>385.40047672167555</v>
      </c>
      <c r="BJ82" s="59">
        <f t="shared" si="92"/>
        <v>286.49293757741611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31.957986831262239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31.957986831262239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-5.6843418860808015E-14</v>
      </c>
      <c r="BZ82" s="13">
        <f>BY82*VLOOKUP('Données projet'!$B$12,Paramètres!$A$1:$I$89,3,0)*VLOOKUP('Données projet'!$B$12,Paramètres!$A$1:$I$89,5,0)</f>
        <v>-5.1431925385259088E-14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397.12030701006762</v>
      </c>
      <c r="CE82" s="59">
        <f t="shared" si="94"/>
        <v>476.47513516380047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53.954461617222655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53.954461617222655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110.43805901666033</v>
      </c>
      <c r="CZ82" s="59">
        <f t="shared" si="96"/>
        <v>319.51880962151881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12.764024146202184</v>
      </c>
      <c r="DG82" s="21">
        <f>EXP(-LN(2)/25)*DG81+(1-EXP(-LN(2)/25))/(LN(2)/25)*Calculateur!DB82*Calculateur!DD82*VLOOKUP('Données projet'!$B$13,Paramètres!$A$1:$I$89,3,0)*0.475*44/12</f>
        <v>3.5597169792725443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16.323741125474729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3.3000000000000003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12.100000000000001</v>
      </c>
      <c r="H83" s="67">
        <f t="shared" si="56"/>
        <v>208.26666666666665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414.37917672189968</v>
      </c>
      <c r="T83" s="59">
        <f t="shared" si="88"/>
        <v>546.83385887302961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179.59806379578399</v>
      </c>
      <c r="AA83" s="21">
        <f>EXP(-LN(2)/25)*AA82+(1-EXP(-LN(2)/25))/(LN(2)/25)*Calculateur!V83*Calculateur!X83*VLOOKUP('Données projet'!$B$9,Paramètres!$A$1:$I$89,3,0)*0.475*44/12</f>
        <v>31.286786746264934</v>
      </c>
      <c r="AB83" s="21">
        <f>EXP(-LN(2)/2)*AB82+(1-EXP(-LN(2)/2))/(LN(2)/2)*V83*Y83*VLOOKUP('Données projet'!$B$9,Paramètres!$A$1:$I$89,3,0)*0.475*44/12</f>
        <v>5.0321648864446915E-3</v>
      </c>
      <c r="AC83" s="22">
        <f t="shared" si="57"/>
        <v>210.88988270693537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7.0940586738288402E-14</v>
      </c>
      <c r="AK83" s="13">
        <f t="shared" si="89"/>
        <v>1.1091816830583241E-12</v>
      </c>
      <c r="AL83" s="20">
        <f t="shared" si="58"/>
        <v>2.0553796198957668E-12</v>
      </c>
      <c r="AM83" s="59">
        <f t="shared" si="59"/>
        <v>278.4142170148682</v>
      </c>
      <c r="AN83" s="59">
        <f ca="1">AVERAGE(OFFSET($AM$3,0,0,'Données projet'!$E$10+1,1))-AVERAGE(OFFSET($H$3,0,0,'Données projet'!$E$10+1,1))</f>
        <v>296.20984079604017</v>
      </c>
      <c r="AO83" s="59">
        <f t="shared" si="90"/>
        <v>351.8406329895206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135.24690335553441</v>
      </c>
      <c r="AV83" s="21">
        <f>EXP(-LN(2)/25)*AV82+(1-EXP(-LN(2)/25))/(LN(2)/25)*Calculateur!AQ83*Calculateur!AS83*VLOOKUP('Données projet'!$B$10,Paramètres!$A$1:$I$89,3,0)*0.475*44/12</f>
        <v>24.994918381557394</v>
      </c>
      <c r="AW83" s="21">
        <f>EXP(-LN(2)/2)*AW82+(1-EXP(-LN(2)/2))/(LN(2)/2)*AQ83*AT83*VLOOKUP('Données projet'!$B$10,Paramètres!$A$1:$I$89,3,0)*0.475*44/12</f>
        <v>2.3725988700731292E-2</v>
      </c>
      <c r="AX83" s="21">
        <f t="shared" si="60"/>
        <v>160.26554772579254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11.201666666666663</v>
      </c>
      <c r="BD83" s="12">
        <f>IF('Données projet'!$A$88&gt;35,BD82+BC83-BL82,IF(A83&lt;'Données projet'!$A$88,$BA$205^A83,IF(A83='Données projet'!$A$88,'Données projet'!$B$88,BD82+BC83-BL82)))</f>
        <v>371.79833333333335</v>
      </c>
      <c r="BE83" s="13">
        <f>BD83*VLOOKUP('Données projet'!$B$11,Paramètres!$A$1:$I$89,3,0)*VLOOKUP('Données projet'!$B$11,Paramètres!$A$1:$I$89,5,0)</f>
        <v>324.80302400000005</v>
      </c>
      <c r="BF83" s="13">
        <f t="shared" si="91"/>
        <v>76.351848058892287</v>
      </c>
      <c r="BG83" s="20">
        <f t="shared" si="61"/>
        <v>698.67806883590413</v>
      </c>
      <c r="BH83" s="59">
        <f t="shared" si="62"/>
        <v>977.09228585077028</v>
      </c>
      <c r="BI83" s="59">
        <f ca="1">AVERAGE(OFFSET($BH$3,0,0,'Données projet'!$E$11+1,1))-AVERAGE(OFFSET($H$3,0,0,'Données projet'!$E$11+1,1))</f>
        <v>385.40047672167555</v>
      </c>
      <c r="BJ83" s="59">
        <f t="shared" si="92"/>
        <v>286.49293757741611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31.331310201948433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31.331310201948433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-5.6843418860808015E-14</v>
      </c>
      <c r="BZ83" s="13">
        <f>BY83*VLOOKUP('Données projet'!$B$12,Paramètres!$A$1:$I$89,3,0)*VLOOKUP('Données projet'!$B$12,Paramètres!$A$1:$I$89,5,0)</f>
        <v>-5.1431925385259088E-14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397.12030701006762</v>
      </c>
      <c r="CE83" s="59">
        <f t="shared" si="94"/>
        <v>476.47513516380047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52.896447533881016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52.896447533881016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110.43805901666033</v>
      </c>
      <c r="CZ83" s="59">
        <f t="shared" si="96"/>
        <v>319.51880962151881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12.513729417981155</v>
      </c>
      <c r="DG83" s="21">
        <f>EXP(-LN(2)/25)*DG82+(1-EXP(-LN(2)/25))/(LN(2)/25)*Calculateur!DB83*Calculateur!DD83*VLOOKUP('Données projet'!$B$13,Paramètres!$A$1:$I$89,3,0)*0.475*44/12</f>
        <v>3.4623763312769564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15.976105749258112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3.3000000000000003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12.100000000000001</v>
      </c>
      <c r="H84" s="67">
        <f t="shared" si="56"/>
        <v>208.26666666666665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414.37917672189968</v>
      </c>
      <c r="T84" s="59">
        <f t="shared" si="88"/>
        <v>546.83385887302961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176.076255308751</v>
      </c>
      <c r="AA84" s="21">
        <f>EXP(-LN(2)/25)*AA83+(1-EXP(-LN(2)/25))/(LN(2)/25)*Calculateur!V84*Calculateur!X84*VLOOKUP('Données projet'!$B$9,Paramètres!$A$1:$I$89,3,0)*0.475*44/12</f>
        <v>30.431247917387712</v>
      </c>
      <c r="AB84" s="21">
        <f>EXP(-LN(2)/2)*AB83+(1-EXP(-LN(2)/2))/(LN(2)/2)*V84*Y84*VLOOKUP('Données projet'!$B$9,Paramètres!$A$1:$I$89,3,0)*0.475*44/12</f>
        <v>3.5582779152538743E-3</v>
      </c>
      <c r="AC84" s="22">
        <f t="shared" si="57"/>
        <v>206.51106150405397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7.0940586738288402E-14</v>
      </c>
      <c r="AK84" s="13">
        <f t="shared" si="89"/>
        <v>1.1091816830583241E-12</v>
      </c>
      <c r="AL84" s="20">
        <f t="shared" si="58"/>
        <v>2.0553796198957668E-12</v>
      </c>
      <c r="AM84" s="59">
        <f t="shared" si="59"/>
        <v>278.67303032884632</v>
      </c>
      <c r="AN84" s="59">
        <f ca="1">AVERAGE(OFFSET($AM$3,0,0,'Données projet'!$E$10+1,1))-AVERAGE(OFFSET($H$3,0,0,'Données projet'!$E$10+1,1))</f>
        <v>296.20984079604017</v>
      </c>
      <c r="AO84" s="59">
        <f t="shared" si="90"/>
        <v>351.8406329895206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132.59479407319799</v>
      </c>
      <c r="AV84" s="21">
        <f>EXP(-LN(2)/25)*AV83+(1-EXP(-LN(2)/25))/(LN(2)/25)*Calculateur!AQ84*Calculateur!AS84*VLOOKUP('Données projet'!$B$10,Paramètres!$A$1:$I$89,3,0)*0.475*44/12</f>
        <v>24.311431023988074</v>
      </c>
      <c r="AW84" s="21">
        <f>EXP(-LN(2)/2)*AW83+(1-EXP(-LN(2)/2))/(LN(2)/2)*AQ84*AT84*VLOOKUP('Données projet'!$B$10,Paramètres!$A$1:$I$89,3,0)*0.475*44/12</f>
        <v>1.6776807500642501E-2</v>
      </c>
      <c r="AX84" s="21">
        <f t="shared" si="60"/>
        <v>156.92300190468669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>
        <f>VLOOKUP(A84,'Données projet'!$A$87:$I$107,2,0)</f>
        <v>383</v>
      </c>
      <c r="BB84" s="12">
        <f>VLOOKUP(A84,'Données projet'!$A$87:$I$107,9,0)</f>
        <v>11.201666666666663</v>
      </c>
      <c r="BC84" s="12">
        <f t="array" ref="BC84">INDEX(BB:BB,MIN(IF(ISNUMBER(BB84:BB280),ROW(BB84:BB280),"")))</f>
        <v>11.201666666666663</v>
      </c>
      <c r="BD84" s="12">
        <f>IF('Données projet'!$A$88&gt;35,BD83+BC84-BL83,IF(A84&lt;'Données projet'!$A$88,$BA$205^A84,IF(A84='Données projet'!$A$88,'Données projet'!$B$88,BD83+BC84-BL83)))</f>
        <v>383</v>
      </c>
      <c r="BE84" s="13">
        <f>BD84*VLOOKUP('Données projet'!$B$11,Paramètres!$A$1:$I$89,3,0)*VLOOKUP('Données projet'!$B$11,Paramètres!$A$1:$I$89,5,0)</f>
        <v>334.58880000000005</v>
      </c>
      <c r="BF84" s="13">
        <f t="shared" si="91"/>
        <v>78.380916497184003</v>
      </c>
      <c r="BG84" s="20">
        <f t="shared" si="61"/>
        <v>719.25558956592886</v>
      </c>
      <c r="BH84" s="59">
        <f t="shared" si="62"/>
        <v>997.92861989477319</v>
      </c>
      <c r="BI84" s="59">
        <f ca="1">AVERAGE(OFFSET($BH$3,0,0,'Données projet'!$E$11+1,1))-AVERAGE(OFFSET($H$3,0,0,'Données projet'!$E$11+1,1))</f>
        <v>385.40047672167555</v>
      </c>
      <c r="BJ84" s="59">
        <f t="shared" si="92"/>
        <v>286.49293757741611</v>
      </c>
      <c r="BK84" s="15">
        <f>IF(ISNA(VLOOKUP(A84,'Données projet'!$A$87:$I$107,3,0)),0,VLOOKUP(A84,'Données projet'!$A$87:$I$107,3,0))</f>
        <v>15</v>
      </c>
      <c r="BL84" s="15">
        <f>IF(ISNA(VLOOKUP(A84,'Données projet'!$A$87:$I$107,4,0)),0,VLOOKUP(A84,'Données projet'!$A$87:$I$107,4,0))</f>
        <v>77.44</v>
      </c>
      <c r="BM84" s="16">
        <f>IF(ISNA(VLOOKUP(A84,'Données projet'!$A$87:$I$107,5,0)),0%,VLOOKUP(A84,'Données projet'!$A$87:$I$107,5,0)*VLOOKUP('Données projet'!$B$11,Paramètres!$A$1:$I$89,7,0))</f>
        <v>0.34400000000000003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56.443589169827412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56.443589169827412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-5.6843418860808015E-14</v>
      </c>
      <c r="BZ84" s="13">
        <f>BY84*VLOOKUP('Données projet'!$B$12,Paramètres!$A$1:$I$89,3,0)*VLOOKUP('Données projet'!$B$12,Paramètres!$A$1:$I$89,5,0)</f>
        <v>-5.1431925385259088E-14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397.12030701006762</v>
      </c>
      <c r="CE84" s="59">
        <f t="shared" si="94"/>
        <v>476.47513516380047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51.859180461388831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51.859180461388831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110.43805901666033</v>
      </c>
      <c r="CZ84" s="59">
        <f t="shared" si="96"/>
        <v>319.51880962151881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12.268342816715831</v>
      </c>
      <c r="DG84" s="21">
        <f>EXP(-LN(2)/25)*DG83+(1-EXP(-LN(2)/25))/(LN(2)/25)*Calculateur!DB84*Calculateur!DD84*VLOOKUP('Données projet'!$B$13,Paramètres!$A$1:$I$89,3,0)*0.475*44/12</f>
        <v>3.3676974684197303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15.636040285135561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3.3000000000000003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12.100000000000001</v>
      </c>
      <c r="H85" s="67">
        <f t="shared" si="56"/>
        <v>208.26666666666665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414.37917672189968</v>
      </c>
      <c r="T85" s="59">
        <f t="shared" si="88"/>
        <v>546.83385887302961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172.62350733805766</v>
      </c>
      <c r="AA85" s="21">
        <f>EXP(-LN(2)/25)*AA84+(1-EXP(-LN(2)/25))/(LN(2)/25)*Calculateur!V85*Calculateur!X85*VLOOKUP('Données projet'!$B$9,Paramètres!$A$1:$I$89,3,0)*0.475*44/12</f>
        <v>29.599103842776969</v>
      </c>
      <c r="AB85" s="21">
        <f>EXP(-LN(2)/2)*AB84+(1-EXP(-LN(2)/2))/(LN(2)/2)*V85*Y85*VLOOKUP('Données projet'!$B$9,Paramètres!$A$1:$I$89,3,0)*0.475*44/12</f>
        <v>2.5160824432223458E-3</v>
      </c>
      <c r="AC85" s="22">
        <f t="shared" si="57"/>
        <v>202.22512726327787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7.0940586738288402E-14</v>
      </c>
      <c r="AK85" s="13">
        <f t="shared" si="89"/>
        <v>1.1091816830583241E-12</v>
      </c>
      <c r="AL85" s="20">
        <f t="shared" si="58"/>
        <v>2.0553796198957668E-12</v>
      </c>
      <c r="AM85" s="59">
        <f t="shared" si="59"/>
        <v>278.92735381044685</v>
      </c>
      <c r="AN85" s="59">
        <f ca="1">AVERAGE(OFFSET($AM$3,0,0,'Données projet'!$E$10+1,1))-AVERAGE(OFFSET($H$3,0,0,'Données projet'!$E$10+1,1))</f>
        <v>296.20984079604017</v>
      </c>
      <c r="AO85" s="59">
        <f t="shared" si="90"/>
        <v>351.8406329895206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129.99469103626123</v>
      </c>
      <c r="AV85" s="21">
        <f>EXP(-LN(2)/25)*AV84+(1-EXP(-LN(2)/25))/(LN(2)/25)*Calculateur!AQ85*Calculateur!AS85*VLOOKUP('Données projet'!$B$10,Paramètres!$A$1:$I$89,3,0)*0.475*44/12</f>
        <v>23.646633664154528</v>
      </c>
      <c r="AW85" s="21">
        <f>EXP(-LN(2)/2)*AW84+(1-EXP(-LN(2)/2))/(LN(2)/2)*AQ85*AT85*VLOOKUP('Données projet'!$B$10,Paramètres!$A$1:$I$89,3,0)*0.475*44/12</f>
        <v>1.1862994350365646E-2</v>
      </c>
      <c r="AX85" s="21">
        <f t="shared" si="60"/>
        <v>153.65318769476613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10.385555555555552</v>
      </c>
      <c r="BD85" s="12">
        <f>IF('Données projet'!$A$88&gt;35,BD84+BC85-BL84,IF(A85&lt;'Données projet'!$A$88,$BA$205^A85,IF(A85='Données projet'!$A$88,'Données projet'!$B$88,BD84+BC85-BL84)))</f>
        <v>315.94555555555553</v>
      </c>
      <c r="BE85" s="13">
        <f>BD85*VLOOKUP('Données projet'!$B$11,Paramètres!$A$1:$I$89,3,0)*VLOOKUP('Données projet'!$B$11,Paramètres!$A$1:$I$89,5,0)</f>
        <v>276.01003733333334</v>
      </c>
      <c r="BF85" s="13">
        <f t="shared" si="91"/>
        <v>66.123112039074272</v>
      </c>
      <c r="BG85" s="20">
        <f t="shared" si="61"/>
        <v>595.88190182360995</v>
      </c>
      <c r="BH85" s="59">
        <f t="shared" si="62"/>
        <v>874.80925563405481</v>
      </c>
      <c r="BI85" s="59">
        <f ca="1">AVERAGE(OFFSET($BH$3,0,0,'Données projet'!$E$11+1,1))-AVERAGE(OFFSET($H$3,0,0,'Données projet'!$E$11+1,1))</f>
        <v>385.40047672167555</v>
      </c>
      <c r="BJ85" s="59">
        <f t="shared" si="92"/>
        <v>286.49293757741611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55.336764813397089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55.336764813397089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-5.6843418860808015E-14</v>
      </c>
      <c r="BZ85" s="13">
        <f>BY85*VLOOKUP('Données projet'!$B$12,Paramètres!$A$1:$I$89,3,0)*VLOOKUP('Données projet'!$B$12,Paramètres!$A$1:$I$89,5,0)</f>
        <v>-5.1431925385259088E-14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397.12030701006762</v>
      </c>
      <c r="CE85" s="59">
        <f t="shared" si="94"/>
        <v>476.47513516380047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50.842253563517779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50.842253563517779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110.43805901666033</v>
      </c>
      <c r="CZ85" s="59">
        <f t="shared" si="96"/>
        <v>319.51880962151881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12.027768097030272</v>
      </c>
      <c r="DG85" s="21">
        <f>EXP(-LN(2)/25)*DG84+(1-EXP(-LN(2)/25))/(LN(2)/25)*Calculateur!DB85*Calculateur!DD85*VLOOKUP('Données projet'!$B$13,Paramètres!$A$1:$I$89,3,0)*0.475*44/12</f>
        <v>3.27560760404628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15.303375701076552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3.3000000000000003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12.100000000000001</v>
      </c>
      <c r="H86" s="67">
        <f t="shared" si="56"/>
        <v>208.26666666666665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414.37917672189968</v>
      </c>
      <c r="T86" s="59">
        <f t="shared" si="88"/>
        <v>546.83385887302961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169.2384656491013</v>
      </c>
      <c r="AA86" s="21">
        <f>EXP(-LN(2)/25)*AA85+(1-EXP(-LN(2)/25))/(LN(2)/25)*Calculateur!V86*Calculateur!X86*VLOOKUP('Données projet'!$B$9,Paramètres!$A$1:$I$89,3,0)*0.475*44/12</f>
        <v>28.789714791647011</v>
      </c>
      <c r="AB86" s="21">
        <f>EXP(-LN(2)/2)*AB85+(1-EXP(-LN(2)/2))/(LN(2)/2)*V86*Y86*VLOOKUP('Données projet'!$B$9,Paramètres!$A$1:$I$89,3,0)*0.475*44/12</f>
        <v>1.7791389576269372E-3</v>
      </c>
      <c r="AC86" s="22">
        <f t="shared" si="57"/>
        <v>198.02995957970595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7.0940586738288402E-14</v>
      </c>
      <c r="AK86" s="13">
        <f t="shared" si="89"/>
        <v>1.1091816830583241E-12</v>
      </c>
      <c r="AL86" s="20">
        <f t="shared" si="58"/>
        <v>2.0553796198957668E-12</v>
      </c>
      <c r="AM86" s="59">
        <f t="shared" si="59"/>
        <v>279.17726534822367</v>
      </c>
      <c r="AN86" s="59">
        <f ca="1">AVERAGE(OFFSET($AM$3,0,0,'Données projet'!$E$10+1,1))-AVERAGE(OFFSET($H$3,0,0,'Données projet'!$E$10+1,1))</f>
        <v>296.20984079604017</v>
      </c>
      <c r="AO86" s="59">
        <f t="shared" si="90"/>
        <v>351.8406329895206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127.44557443397255</v>
      </c>
      <c r="AV86" s="21">
        <f>EXP(-LN(2)/25)*AV85+(1-EXP(-LN(2)/25))/(LN(2)/25)*Calculateur!AQ86*Calculateur!AS86*VLOOKUP('Données projet'!$B$10,Paramètres!$A$1:$I$89,3,0)*0.475*44/12</f>
        <v>23.000015223085803</v>
      </c>
      <c r="AW86" s="21">
        <f>EXP(-LN(2)/2)*AW85+(1-EXP(-LN(2)/2))/(LN(2)/2)*AQ86*AT86*VLOOKUP('Données projet'!$B$10,Paramètres!$A$1:$I$89,3,0)*0.475*44/12</f>
        <v>8.3884037503212504E-3</v>
      </c>
      <c r="AX86" s="21">
        <f t="shared" si="60"/>
        <v>150.45397806080868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10.385555555555552</v>
      </c>
      <c r="BD86" s="12">
        <f>IF('Données projet'!$A$88&gt;35,BD85+BC86-BL85,IF(A86&lt;'Données projet'!$A$88,$BA$205^A86,IF(A86='Données projet'!$A$88,'Données projet'!$B$88,BD85+BC86-BL85)))</f>
        <v>326.33111111111106</v>
      </c>
      <c r="BE86" s="13">
        <f>BD86*VLOOKUP('Données projet'!$B$11,Paramètres!$A$1:$I$89,3,0)*VLOOKUP('Données projet'!$B$11,Paramètres!$A$1:$I$89,5,0)</f>
        <v>285.08285866666665</v>
      </c>
      <c r="BF86" s="13">
        <f t="shared" si="91"/>
        <v>68.040035772829285</v>
      </c>
      <c r="BG86" s="20">
        <f t="shared" si="61"/>
        <v>615.02237448212202</v>
      </c>
      <c r="BH86" s="59">
        <f t="shared" si="62"/>
        <v>894.19963983034359</v>
      </c>
      <c r="BI86" s="59">
        <f ca="1">AVERAGE(OFFSET($BH$3,0,0,'Données projet'!$E$11+1,1))-AVERAGE(OFFSET($H$3,0,0,'Données projet'!$E$11+1,1))</f>
        <v>385.40047672167555</v>
      </c>
      <c r="BJ86" s="59">
        <f t="shared" si="92"/>
        <v>286.49293757741611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54.251644607500168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54.251644607500168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-5.6843418860808015E-14</v>
      </c>
      <c r="BZ86" s="13">
        <f>BY86*VLOOKUP('Données projet'!$B$12,Paramètres!$A$1:$I$89,3,0)*VLOOKUP('Données projet'!$B$12,Paramètres!$A$1:$I$89,5,0)</f>
        <v>-5.1431925385259088E-14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397.12030701006762</v>
      </c>
      <c r="CE86" s="59">
        <f t="shared" si="94"/>
        <v>476.47513516380047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49.845267981849815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49.845267981849815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110.43805901666033</v>
      </c>
      <c r="CZ86" s="59">
        <f t="shared" si="96"/>
        <v>319.51880962151881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11.791910900861657</v>
      </c>
      <c r="DG86" s="21">
        <f>EXP(-LN(2)/25)*DG85+(1-EXP(-LN(2)/25))/(LN(2)/25)*Calculateur!DB86*Calculateur!DD86*VLOOKUP('Données projet'!$B$13,Paramètres!$A$1:$I$89,3,0)*0.475*44/12</f>
        <v>3.1860359418569173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14.977946842718573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3.3000000000000003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12.100000000000001</v>
      </c>
      <c r="H87" s="67">
        <f t="shared" si="56"/>
        <v>208.26666666666665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414.37917672189968</v>
      </c>
      <c r="T87" s="59">
        <f t="shared" si="88"/>
        <v>546.83385887302961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165.91980256299382</v>
      </c>
      <c r="AA87" s="21">
        <f>EXP(-LN(2)/25)*AA86+(1-EXP(-LN(2)/25))/(LN(2)/25)*Calculateur!V87*Calculateur!X87*VLOOKUP('Données projet'!$B$9,Paramètres!$A$1:$I$89,3,0)*0.475*44/12</f>
        <v>28.002458526684123</v>
      </c>
      <c r="AB87" s="21">
        <f>EXP(-LN(2)/2)*AB86+(1-EXP(-LN(2)/2))/(LN(2)/2)*V87*Y87*VLOOKUP('Données projet'!$B$9,Paramètres!$A$1:$I$89,3,0)*0.475*44/12</f>
        <v>1.2580412216111729E-3</v>
      </c>
      <c r="AC87" s="22">
        <f t="shared" si="57"/>
        <v>193.92351913089954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7.0940586738288402E-14</v>
      </c>
      <c r="AK87" s="13">
        <f t="shared" si="89"/>
        <v>1.1091816830583241E-12</v>
      </c>
      <c r="AL87" s="20">
        <f t="shared" si="58"/>
        <v>2.0553796198957668E-12</v>
      </c>
      <c r="AM87" s="59">
        <f t="shared" si="59"/>
        <v>279.42284147953859</v>
      </c>
      <c r="AN87" s="59">
        <f ca="1">AVERAGE(OFFSET($AM$3,0,0,'Données projet'!$E$10+1,1))-AVERAGE(OFFSET($H$3,0,0,'Données projet'!$E$10+1,1))</f>
        <v>296.20984079604017</v>
      </c>
      <c r="AO87" s="59">
        <f t="shared" si="90"/>
        <v>351.8406329895206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124.94644445344714</v>
      </c>
      <c r="AV87" s="21">
        <f>EXP(-LN(2)/25)*AV86+(1-EXP(-LN(2)/25))/(LN(2)/25)*Calculateur!AQ87*Calculateur!AS87*VLOOKUP('Données projet'!$B$10,Paramètres!$A$1:$I$89,3,0)*0.475*44/12</f>
        <v>22.371078597292289</v>
      </c>
      <c r="AW87" s="21">
        <f>EXP(-LN(2)/2)*AW86+(1-EXP(-LN(2)/2))/(LN(2)/2)*AQ87*AT87*VLOOKUP('Données projet'!$B$10,Paramètres!$A$1:$I$89,3,0)*0.475*44/12</f>
        <v>5.9314971751828231E-3</v>
      </c>
      <c r="AX87" s="21">
        <f t="shared" si="60"/>
        <v>147.32345454791459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10.385555555555552</v>
      </c>
      <c r="BD87" s="12">
        <f>IF('Données projet'!$A$88&gt;35,BD86+BC87-BL86,IF(A87&lt;'Données projet'!$A$88,$BA$205^A87,IF(A87='Données projet'!$A$88,'Données projet'!$B$88,BD86+BC87-BL86)))</f>
        <v>336.71666666666658</v>
      </c>
      <c r="BE87" s="13">
        <f>BD87*VLOOKUP('Données projet'!$B$11,Paramètres!$A$1:$I$89,3,0)*VLOOKUP('Données projet'!$B$11,Paramètres!$A$1:$I$89,5,0)</f>
        <v>294.15567999999996</v>
      </c>
      <c r="BF87" s="13">
        <f t="shared" si="91"/>
        <v>69.949870222729103</v>
      </c>
      <c r="BG87" s="20">
        <f t="shared" si="61"/>
        <v>634.15049997125311</v>
      </c>
      <c r="BH87" s="59">
        <f t="shared" si="62"/>
        <v>913.57334145078971</v>
      </c>
      <c r="BI87" s="59">
        <f ca="1">AVERAGE(OFFSET($BH$3,0,0,'Données projet'!$E$11+1,1))-AVERAGE(OFFSET($H$3,0,0,'Données projet'!$E$11+1,1))</f>
        <v>385.40047672167555</v>
      </c>
      <c r="BJ87" s="59">
        <f t="shared" si="92"/>
        <v>286.49293757741611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53.187802946982913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53.187802946982913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-5.6843418860808015E-14</v>
      </c>
      <c r="BZ87" s="13">
        <f>BY87*VLOOKUP('Données projet'!$B$12,Paramètres!$A$1:$I$89,3,0)*VLOOKUP('Données projet'!$B$12,Paramètres!$A$1:$I$89,5,0)</f>
        <v>-5.1431925385259088E-14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397.12030701006762</v>
      </c>
      <c r="CE87" s="59">
        <f t="shared" si="94"/>
        <v>476.47513516380047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48.867832679337198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48.867832679337198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110.43805901666033</v>
      </c>
      <c r="CZ87" s="59">
        <f t="shared" si="96"/>
        <v>319.51880962151881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11.560678720451223</v>
      </c>
      <c r="DG87" s="21">
        <f>EXP(-LN(2)/25)*DG86+(1-EXP(-LN(2)/25))/(LN(2)/25)*Calculateur!DB87*Calculateur!DD87*VLOOKUP('Données projet'!$B$13,Paramètres!$A$1:$I$89,3,0)*0.475*44/12</f>
        <v>3.0989136214804915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14.659592341931715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3.3000000000000003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12.100000000000001</v>
      </c>
      <c r="H88" s="67">
        <f t="shared" si="56"/>
        <v>208.26666666666665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414.37917672189968</v>
      </c>
      <c r="T88" s="59">
        <f t="shared" si="88"/>
        <v>546.83385887302961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162.6662164358203</v>
      </c>
      <c r="AA88" s="21">
        <f>EXP(-LN(2)/25)*AA87+(1-EXP(-LN(2)/25))/(LN(2)/25)*Calculateur!V88*Calculateur!X88*VLOOKUP('Données projet'!$B$9,Paramètres!$A$1:$I$89,3,0)*0.475*44/12</f>
        <v>27.236729825686652</v>
      </c>
      <c r="AB88" s="21">
        <f>EXP(-LN(2)/2)*AB87+(1-EXP(-LN(2)/2))/(LN(2)/2)*V88*Y88*VLOOKUP('Données projet'!$B$9,Paramètres!$A$1:$I$89,3,0)*0.475*44/12</f>
        <v>8.8956947881346858E-4</v>
      </c>
      <c r="AC88" s="22">
        <f t="shared" si="57"/>
        <v>189.90383583098574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7.0940586738288402E-14</v>
      </c>
      <c r="AK88" s="13">
        <f t="shared" si="89"/>
        <v>1.1091816830583241E-12</v>
      </c>
      <c r="AL88" s="20">
        <f t="shared" si="58"/>
        <v>2.0553796198957668E-12</v>
      </c>
      <c r="AM88" s="59">
        <f t="shared" si="59"/>
        <v>279.66415741400118</v>
      </c>
      <c r="AN88" s="59">
        <f ca="1">AVERAGE(OFFSET($AM$3,0,0,'Données projet'!$E$10+1,1))-AVERAGE(OFFSET($H$3,0,0,'Données projet'!$E$10+1,1))</f>
        <v>296.20984079604017</v>
      </c>
      <c r="AO88" s="59">
        <f t="shared" si="90"/>
        <v>351.8406329895206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122.49632088752107</v>
      </c>
      <c r="AV88" s="21">
        <f>EXP(-LN(2)/25)*AV87+(1-EXP(-LN(2)/25))/(LN(2)/25)*Calculateur!AQ88*Calculateur!AS88*VLOOKUP('Données projet'!$B$10,Paramètres!$A$1:$I$89,3,0)*0.475*44/12</f>
        <v>21.759340276605439</v>
      </c>
      <c r="AW88" s="21">
        <f>EXP(-LN(2)/2)*AW87+(1-EXP(-LN(2)/2))/(LN(2)/2)*AQ88*AT88*VLOOKUP('Données projet'!$B$10,Paramètres!$A$1:$I$89,3,0)*0.475*44/12</f>
        <v>4.1942018751606252E-3</v>
      </c>
      <c r="AX88" s="21">
        <f t="shared" si="60"/>
        <v>144.25985536600166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10.385555555555552</v>
      </c>
      <c r="BD88" s="12">
        <f>IF('Données projet'!$A$88&gt;35,BD87+BC88-BL87,IF(A88&lt;'Données projet'!$A$88,$BA$205^A88,IF(A88='Données projet'!$A$88,'Données projet'!$B$88,BD87+BC88-BL87)))</f>
        <v>347.10222222222211</v>
      </c>
      <c r="BE88" s="13">
        <f>BD88*VLOOKUP('Données projet'!$B$11,Paramètres!$A$1:$I$89,3,0)*VLOOKUP('Données projet'!$B$11,Paramètres!$A$1:$I$89,5,0)</f>
        <v>303.22850133333327</v>
      </c>
      <c r="BF88" s="13">
        <f t="shared" si="91"/>
        <v>71.852859140479481</v>
      </c>
      <c r="BG88" s="20">
        <f t="shared" si="61"/>
        <v>653.26670282522389</v>
      </c>
      <c r="BH88" s="59">
        <f t="shared" si="62"/>
        <v>932.93086023922297</v>
      </c>
      <c r="BI88" s="59">
        <f ca="1">AVERAGE(OFFSET($BH$3,0,0,'Données projet'!$E$11+1,1))-AVERAGE(OFFSET($H$3,0,0,'Données projet'!$E$11+1,1))</f>
        <v>385.40047672167555</v>
      </c>
      <c r="BJ88" s="59">
        <f t="shared" si="92"/>
        <v>286.49293757741611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52.14482257254906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52.14482257254906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-5.6843418860808015E-14</v>
      </c>
      <c r="BZ88" s="13">
        <f>BY88*VLOOKUP('Données projet'!$B$12,Paramètres!$A$1:$I$89,3,0)*VLOOKUP('Données projet'!$B$12,Paramètres!$A$1:$I$89,5,0)</f>
        <v>-5.1431925385259088E-14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397.12030701006762</v>
      </c>
      <c r="CE88" s="59">
        <f t="shared" si="94"/>
        <v>476.47513516380047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47.909564286930191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47.909564286930191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110.43805901666033</v>
      </c>
      <c r="CZ88" s="59">
        <f t="shared" si="96"/>
        <v>319.51880962151881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11.333980862060935</v>
      </c>
      <c r="DG88" s="21">
        <f>EXP(-LN(2)/25)*DG87+(1-EXP(-LN(2)/25))/(LN(2)/25)*Calculateur!DB88*Calculateur!DD88*VLOOKUP('Données projet'!$B$13,Paramètres!$A$1:$I$89,3,0)*0.475*44/12</f>
        <v>3.0141736655363229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14.348154527597258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3.3000000000000003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12.100000000000001</v>
      </c>
      <c r="H89" s="67">
        <f t="shared" si="56"/>
        <v>208.26666666666665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414.37917672189968</v>
      </c>
      <c r="T89" s="59">
        <f t="shared" si="88"/>
        <v>546.83385887302961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159.47643114810907</v>
      </c>
      <c r="AA89" s="21">
        <f>EXP(-LN(2)/25)*AA88+(1-EXP(-LN(2)/25))/(LN(2)/25)*Calculateur!V89*Calculateur!X89*VLOOKUP('Données projet'!$B$9,Paramètres!$A$1:$I$89,3,0)*0.475*44/12</f>
        <v>26.491940016285881</v>
      </c>
      <c r="AB89" s="21">
        <f>EXP(-LN(2)/2)*AB88+(1-EXP(-LN(2)/2))/(LN(2)/2)*V89*Y89*VLOOKUP('Données projet'!$B$9,Paramètres!$A$1:$I$89,3,0)*0.475*44/12</f>
        <v>6.2902061080558644E-4</v>
      </c>
      <c r="AC89" s="22">
        <f t="shared" si="57"/>
        <v>185.96900018500577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7.0940586738288402E-14</v>
      </c>
      <c r="AK89" s="13">
        <f t="shared" si="89"/>
        <v>1.1091816830583241E-12</v>
      </c>
      <c r="AL89" s="20">
        <f t="shared" si="58"/>
        <v>2.0553796198957668E-12</v>
      </c>
      <c r="AM89" s="59">
        <f t="shared" si="59"/>
        <v>279.90128705650244</v>
      </c>
      <c r="AN89" s="59">
        <f ca="1">AVERAGE(OFFSET($AM$3,0,0,'Données projet'!$E$10+1,1))-AVERAGE(OFFSET($H$3,0,0,'Données projet'!$E$10+1,1))</f>
        <v>296.20984079604017</v>
      </c>
      <c r="AO89" s="59">
        <f t="shared" si="90"/>
        <v>351.8406329895206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120.09424275029498</v>
      </c>
      <c r="AV89" s="21">
        <f>EXP(-LN(2)/25)*AV88+(1-EXP(-LN(2)/25))/(LN(2)/25)*Calculateur!AQ89*Calculateur!AS89*VLOOKUP('Données projet'!$B$10,Paramètres!$A$1:$I$89,3,0)*0.475*44/12</f>
        <v>21.164329972467691</v>
      </c>
      <c r="AW89" s="21">
        <f>EXP(-LN(2)/2)*AW88+(1-EXP(-LN(2)/2))/(LN(2)/2)*AQ89*AT89*VLOOKUP('Données projet'!$B$10,Paramètres!$A$1:$I$89,3,0)*0.475*44/12</f>
        <v>2.9657485875914115E-3</v>
      </c>
      <c r="AX89" s="21">
        <f t="shared" si="60"/>
        <v>141.26153847135026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10.385555555555552</v>
      </c>
      <c r="BD89" s="12">
        <f>IF('Données projet'!$A$88&gt;35,BD88+BC89-BL88,IF(A89&lt;'Données projet'!$A$88,$BA$205^A89,IF(A89='Données projet'!$A$88,'Données projet'!$B$88,BD88+BC89-BL88)))</f>
        <v>357.48777777777764</v>
      </c>
      <c r="BE89" s="13">
        <f>BD89*VLOOKUP('Données projet'!$B$11,Paramètres!$A$1:$I$89,3,0)*VLOOKUP('Données projet'!$B$11,Paramètres!$A$1:$I$89,5,0)</f>
        <v>312.30132266666658</v>
      </c>
      <c r="BF89" s="13">
        <f t="shared" si="91"/>
        <v>73.749230862269144</v>
      </c>
      <c r="BG89" s="20">
        <f t="shared" si="61"/>
        <v>672.37138072956304</v>
      </c>
      <c r="BH89" s="59">
        <f t="shared" si="62"/>
        <v>952.27266778606349</v>
      </c>
      <c r="BI89" s="59">
        <f ca="1">AVERAGE(OFFSET($BH$3,0,0,'Données projet'!$E$11+1,1))-AVERAGE(OFFSET($H$3,0,0,'Données projet'!$E$11+1,1))</f>
        <v>385.40047672167555</v>
      </c>
      <c r="BJ89" s="59">
        <f t="shared" si="92"/>
        <v>286.49293757741611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51.122294407102636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51.122294407102636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-5.6843418860808015E-14</v>
      </c>
      <c r="BZ89" s="13">
        <f>BY89*VLOOKUP('Données projet'!$B$12,Paramètres!$A$1:$I$89,3,0)*VLOOKUP('Données projet'!$B$12,Paramètres!$A$1:$I$89,5,0)</f>
        <v>-5.1431925385259088E-14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397.12030701006762</v>
      </c>
      <c r="CE89" s="59">
        <f t="shared" si="94"/>
        <v>476.47513516380047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46.970086953212281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46.970086953212281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110.43805901666033</v>
      </c>
      <c r="CZ89" s="59">
        <f t="shared" si="96"/>
        <v>319.51880962151881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11.111728410401639</v>
      </c>
      <c r="DG89" s="21">
        <f>EXP(-LN(2)/25)*DG88+(1-EXP(-LN(2)/25))/(LN(2)/25)*Calculateur!DB89*Calculateur!DD89*VLOOKUP('Données projet'!$B$13,Paramètres!$A$1:$I$89,3,0)*0.475*44/12</f>
        <v>2.9317509281437282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14.043479338545367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3.3000000000000003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12.100000000000001</v>
      </c>
      <c r="H90" s="67">
        <f t="shared" si="56"/>
        <v>208.26666666666665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414.37917672189968</v>
      </c>
      <c r="T90" s="59">
        <f t="shared" si="88"/>
        <v>546.83385887302961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156.34919560431294</v>
      </c>
      <c r="AA90" s="21">
        <f>EXP(-LN(2)/25)*AA89+(1-EXP(-LN(2)/25))/(LN(2)/25)*Calculateur!V90*Calculateur!X90*VLOOKUP('Données projet'!$B$9,Paramètres!$A$1:$I$89,3,0)*0.475*44/12</f>
        <v>25.767516523389965</v>
      </c>
      <c r="AB90" s="21">
        <f>EXP(-LN(2)/2)*AB89+(1-EXP(-LN(2)/2))/(LN(2)/2)*V90*Y90*VLOOKUP('Données projet'!$B$9,Paramètres!$A$1:$I$89,3,0)*0.475*44/12</f>
        <v>4.4478473940673429E-4</v>
      </c>
      <c r="AC90" s="22">
        <f t="shared" si="57"/>
        <v>182.11715691244231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7.0940586738288402E-14</v>
      </c>
      <c r="AK90" s="13">
        <f t="shared" si="89"/>
        <v>1.1091816830583241E-12</v>
      </c>
      <c r="AL90" s="20">
        <f t="shared" si="58"/>
        <v>2.0553796198957668E-12</v>
      </c>
      <c r="AM90" s="59">
        <f t="shared" si="59"/>
        <v>280.13430302984875</v>
      </c>
      <c r="AN90" s="59">
        <f ca="1">AVERAGE(OFFSET($AM$3,0,0,'Données projet'!$E$10+1,1))-AVERAGE(OFFSET($H$3,0,0,'Données projet'!$E$10+1,1))</f>
        <v>296.20984079604017</v>
      </c>
      <c r="AO90" s="59">
        <f t="shared" si="90"/>
        <v>351.8406329895206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117.73926790021692</v>
      </c>
      <c r="AV90" s="21">
        <f>EXP(-LN(2)/25)*AV89+(1-EXP(-LN(2)/25))/(LN(2)/25)*Calculateur!AQ90*Calculateur!AS90*VLOOKUP('Données projet'!$B$10,Paramètres!$A$1:$I$89,3,0)*0.475*44/12</f>
        <v>20.585590256386819</v>
      </c>
      <c r="AW90" s="21">
        <f>EXP(-LN(2)/2)*AW89+(1-EXP(-LN(2)/2))/(LN(2)/2)*AQ90*AT90*VLOOKUP('Données projet'!$B$10,Paramètres!$A$1:$I$89,3,0)*0.475*44/12</f>
        <v>2.0971009375803126E-3</v>
      </c>
      <c r="AX90" s="21">
        <f t="shared" si="60"/>
        <v>138.32695525754133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10.385555555555552</v>
      </c>
      <c r="BD90" s="12">
        <f>IF('Données projet'!$A$88&gt;35,BD89+BC90-BL89,IF(A90&lt;'Données projet'!$A$88,$BA$205^A90,IF(A90='Données projet'!$A$88,'Données projet'!$B$88,BD89+BC90-BL89)))</f>
        <v>367.87333333333316</v>
      </c>
      <c r="BE90" s="13">
        <f>BD90*VLOOKUP('Données projet'!$B$11,Paramètres!$A$1:$I$89,3,0)*VLOOKUP('Données projet'!$B$11,Paramètres!$A$1:$I$89,5,0)</f>
        <v>321.37414399999989</v>
      </c>
      <c r="BF90" s="13">
        <f t="shared" si="91"/>
        <v>75.63919970286959</v>
      </c>
      <c r="BG90" s="20">
        <f t="shared" si="61"/>
        <v>691.46490694916429</v>
      </c>
      <c r="BH90" s="59">
        <f t="shared" si="62"/>
        <v>971.59920997901099</v>
      </c>
      <c r="BI90" s="59">
        <f ca="1">AVERAGE(OFFSET($BH$3,0,0,'Données projet'!$E$11+1,1))-AVERAGE(OFFSET($H$3,0,0,'Données projet'!$E$11+1,1))</f>
        <v>385.40047672167555</v>
      </c>
      <c r="BJ90" s="59">
        <f t="shared" si="92"/>
        <v>286.49293757741611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50.119817395300025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50.119817395300025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-5.6843418860808015E-14</v>
      </c>
      <c r="BZ90" s="13">
        <f>BY90*VLOOKUP('Données projet'!$B$12,Paramètres!$A$1:$I$89,3,0)*VLOOKUP('Données projet'!$B$12,Paramètres!$A$1:$I$89,5,0)</f>
        <v>-5.1431925385259088E-14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397.12030701006762</v>
      </c>
      <c r="CE90" s="59">
        <f t="shared" si="94"/>
        <v>476.47513516380047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46.04903219698398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46.04903219698398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110.43805901666033</v>
      </c>
      <c r="CZ90" s="59">
        <f t="shared" si="96"/>
        <v>319.51880962151881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10.893834193758773</v>
      </c>
      <c r="DG90" s="21">
        <f>EXP(-LN(2)/25)*DG89+(1-EXP(-LN(2)/25))/(LN(2)/25)*Calculateur!DB90*Calculateur!DD90*VLOOKUP('Données projet'!$B$13,Paramètres!$A$1:$I$89,3,0)*0.475*44/12</f>
        <v>2.851582044839557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13.745416238598329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3.3000000000000003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12.100000000000001</v>
      </c>
      <c r="H91" s="67">
        <f t="shared" si="56"/>
        <v>208.26666666666665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414.37917672189968</v>
      </c>
      <c r="T91" s="59">
        <f t="shared" si="88"/>
        <v>546.83385887302961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153.28328324210531</v>
      </c>
      <c r="AA91" s="21">
        <f>EXP(-LN(2)/25)*AA90+(1-EXP(-LN(2)/25))/(LN(2)/25)*Calculateur!V91*Calculateur!X91*VLOOKUP('Données projet'!$B$9,Paramètres!$A$1:$I$89,3,0)*0.475*44/12</f>
        <v>25.062902429003064</v>
      </c>
      <c r="AB91" s="21">
        <f>EXP(-LN(2)/2)*AB90+(1-EXP(-LN(2)/2))/(LN(2)/2)*V91*Y91*VLOOKUP('Données projet'!$B$9,Paramètres!$A$1:$I$89,3,0)*0.475*44/12</f>
        <v>3.1451030540279322E-4</v>
      </c>
      <c r="AC91" s="22">
        <f t="shared" si="57"/>
        <v>178.34650018141377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7.0940586738288402E-14</v>
      </c>
      <c r="AK91" s="13">
        <f t="shared" si="89"/>
        <v>1.1091816830583241E-12</v>
      </c>
      <c r="AL91" s="20">
        <f t="shared" si="58"/>
        <v>2.0553796198957668E-12</v>
      </c>
      <c r="AM91" s="59">
        <f t="shared" si="59"/>
        <v>280.36327669700319</v>
      </c>
      <c r="AN91" s="59">
        <f ca="1">AVERAGE(OFFSET($AM$3,0,0,'Données projet'!$E$10+1,1))-AVERAGE(OFFSET($H$3,0,0,'Données projet'!$E$10+1,1))</f>
        <v>296.20984079604017</v>
      </c>
      <c r="AO91" s="59">
        <f t="shared" si="90"/>
        <v>351.8406329895206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115.43047267055606</v>
      </c>
      <c r="AV91" s="21">
        <f>EXP(-LN(2)/25)*AV90+(1-EXP(-LN(2)/25))/(LN(2)/25)*Calculateur!AQ91*Calculateur!AS91*VLOOKUP('Données projet'!$B$10,Paramètres!$A$1:$I$89,3,0)*0.475*44/12</f>
        <v>20.022676208276778</v>
      </c>
      <c r="AW91" s="21">
        <f>EXP(-LN(2)/2)*AW90+(1-EXP(-LN(2)/2))/(LN(2)/2)*AQ91*AT91*VLOOKUP('Données projet'!$B$10,Paramètres!$A$1:$I$89,3,0)*0.475*44/12</f>
        <v>1.4828742937957058E-3</v>
      </c>
      <c r="AX91" s="21">
        <f t="shared" si="60"/>
        <v>135.45463175312665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10.385555555555552</v>
      </c>
      <c r="BD91" s="12">
        <f>IF('Données projet'!$A$88&gt;35,BD90+BC91-BL90,IF(A91&lt;'Données projet'!$A$88,$BA$205^A91,IF(A91='Données projet'!$A$88,'Données projet'!$B$88,BD90+BC91-BL90)))</f>
        <v>378.25888888888869</v>
      </c>
      <c r="BE91" s="13">
        <f>BD91*VLOOKUP('Données projet'!$B$11,Paramètres!$A$1:$I$89,3,0)*VLOOKUP('Données projet'!$B$11,Paramètres!$A$1:$I$89,5,0)</f>
        <v>330.4469653333332</v>
      </c>
      <c r="BF91" s="13">
        <f t="shared" si="91"/>
        <v>77.52296718788044</v>
      </c>
      <c r="BG91" s="20">
        <f t="shared" si="61"/>
        <v>710.54763247444714</v>
      </c>
      <c r="BH91" s="59">
        <f t="shared" si="62"/>
        <v>990.91090917144834</v>
      </c>
      <c r="BI91" s="59">
        <f ca="1">AVERAGE(OFFSET($BH$3,0,0,'Données projet'!$E$11+1,1))-AVERAGE(OFFSET($H$3,0,0,'Données projet'!$E$11+1,1))</f>
        <v>385.40047672167555</v>
      </c>
      <c r="BJ91" s="59">
        <f t="shared" si="92"/>
        <v>286.49293757741611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49.136998346248262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49.136998346248262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-5.6843418860808015E-14</v>
      </c>
      <c r="BZ91" s="13">
        <f>BY91*VLOOKUP('Données projet'!$B$12,Paramètres!$A$1:$I$89,3,0)*VLOOKUP('Données projet'!$B$12,Paramètres!$A$1:$I$89,5,0)</f>
        <v>-5.1431925385259088E-14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397.12030701006762</v>
      </c>
      <c r="CE91" s="59">
        <f t="shared" si="94"/>
        <v>476.47513516380047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45.14603876273739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45.14603876273739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110.43805901666033</v>
      </c>
      <c r="CZ91" s="59">
        <f t="shared" si="96"/>
        <v>319.51880962151881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10.680212749801923</v>
      </c>
      <c r="DG91" s="21">
        <f>EXP(-LN(2)/25)*DG90+(1-EXP(-LN(2)/25))/(LN(2)/25)*Calculateur!DB91*Calculateur!DD91*VLOOKUP('Données projet'!$B$13,Paramètres!$A$1:$I$89,3,0)*0.475*44/12</f>
        <v>2.7736053838652368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13.453818133667159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3.3000000000000003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12.100000000000001</v>
      </c>
      <c r="H92" s="67">
        <f t="shared" si="56"/>
        <v>208.26666666666665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414.37917672189968</v>
      </c>
      <c r="T92" s="59">
        <f t="shared" si="88"/>
        <v>546.83385887302961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150.27749155129868</v>
      </c>
      <c r="AA92" s="21">
        <f>EXP(-LN(2)/25)*AA91+(1-EXP(-LN(2)/25))/(LN(2)/25)*Calculateur!V92*Calculateur!X92*VLOOKUP('Données projet'!$B$9,Paramètres!$A$1:$I$89,3,0)*0.475*44/12</f>
        <v>24.377556044081217</v>
      </c>
      <c r="AB92" s="21">
        <f>EXP(-LN(2)/2)*AB91+(1-EXP(-LN(2)/2))/(LN(2)/2)*V92*Y92*VLOOKUP('Données projet'!$B$9,Paramètres!$A$1:$I$89,3,0)*0.475*44/12</f>
        <v>2.2239236970336714E-4</v>
      </c>
      <c r="AC92" s="22">
        <f t="shared" si="57"/>
        <v>174.65526998774959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7.0940586738288402E-14</v>
      </c>
      <c r="AK92" s="13">
        <f t="shared" si="89"/>
        <v>1.1091816830583241E-12</v>
      </c>
      <c r="AL92" s="20">
        <f t="shared" si="58"/>
        <v>2.0553796198957668E-12</v>
      </c>
      <c r="AM92" s="59">
        <f t="shared" si="59"/>
        <v>280.58827818294094</v>
      </c>
      <c r="AN92" s="59">
        <f ca="1">AVERAGE(OFFSET($AM$3,0,0,'Données projet'!$E$10+1,1))-AVERAGE(OFFSET($H$3,0,0,'Données projet'!$E$10+1,1))</f>
        <v>296.20984079604017</v>
      </c>
      <c r="AO92" s="59">
        <f t="shared" si="90"/>
        <v>351.8406329895206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113.1669515071228</v>
      </c>
      <c r="AV92" s="21">
        <f>EXP(-LN(2)/25)*AV91+(1-EXP(-LN(2)/25))/(LN(2)/25)*Calculateur!AQ92*Calculateur!AS92*VLOOKUP('Données projet'!$B$10,Paramètres!$A$1:$I$89,3,0)*0.475*44/12</f>
        <v>19.475155074414669</v>
      </c>
      <c r="AW92" s="21">
        <f>EXP(-LN(2)/2)*AW91+(1-EXP(-LN(2)/2))/(LN(2)/2)*AQ92*AT92*VLOOKUP('Données projet'!$B$10,Paramètres!$A$1:$I$89,3,0)*0.475*44/12</f>
        <v>1.0485504687901563E-3</v>
      </c>
      <c r="AX92" s="21">
        <f t="shared" si="60"/>
        <v>132.64315513200626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10.385555555555552</v>
      </c>
      <c r="BD92" s="12">
        <f>IF('Données projet'!$A$88&gt;35,BD91+BC92-BL91,IF(A92&lt;'Données projet'!$A$88,$BA$205^A92,IF(A92='Données projet'!$A$88,'Données projet'!$B$88,BD91+BC92-BL91)))</f>
        <v>388.64444444444422</v>
      </c>
      <c r="BE92" s="13">
        <f>BD92*VLOOKUP('Données projet'!$B$11,Paramètres!$A$1:$I$89,3,0)*VLOOKUP('Données projet'!$B$11,Paramètres!$A$1:$I$89,5,0)</f>
        <v>339.5197866666665</v>
      </c>
      <c r="BF92" s="13">
        <f t="shared" si="91"/>
        <v>79.400723146837407</v>
      </c>
      <c r="BG92" s="20">
        <f t="shared" si="61"/>
        <v>729.61988792518605</v>
      </c>
      <c r="BH92" s="59">
        <f t="shared" si="62"/>
        <v>1010.2081661081249</v>
      </c>
      <c r="BI92" s="59">
        <f ca="1">AVERAGE(OFFSET($BH$3,0,0,'Données projet'!$E$11+1,1))-AVERAGE(OFFSET($H$3,0,0,'Données projet'!$E$11+1,1))</f>
        <v>385.40047672167555</v>
      </c>
      <c r="BJ92" s="59">
        <f t="shared" si="92"/>
        <v>286.49293757741611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48.173451779287973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48.173451779287973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-5.6843418860808015E-14</v>
      </c>
      <c r="BZ92" s="13">
        <f>BY92*VLOOKUP('Données projet'!$B$12,Paramètres!$A$1:$I$89,3,0)*VLOOKUP('Données projet'!$B$12,Paramètres!$A$1:$I$89,5,0)</f>
        <v>-5.1431925385259088E-14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397.12030701006762</v>
      </c>
      <c r="CE92" s="59">
        <f t="shared" si="94"/>
        <v>476.47513516380047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44.260752478964768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44.260752478964768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110.43805901666033</v>
      </c>
      <c r="CZ92" s="59">
        <f t="shared" si="96"/>
        <v>319.51880962151881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10.470780292064852</v>
      </c>
      <c r="DG92" s="21">
        <f>EXP(-LN(2)/25)*DG91+(1-EXP(-LN(2)/25))/(LN(2)/25)*Calculateur!DB92*Calculateur!DD92*VLOOKUP('Données projet'!$B$13,Paramètres!$A$1:$I$89,3,0)*0.475*44/12</f>
        <v>2.6977609987858737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13.168541290850726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3.3000000000000003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12.100000000000001</v>
      </c>
      <c r="H93" s="67">
        <f t="shared" si="56"/>
        <v>208.26666666666665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414.37917672189968</v>
      </c>
      <c r="T93" s="59">
        <f t="shared" si="88"/>
        <v>546.83385887302961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147.33064160219686</v>
      </c>
      <c r="AA93" s="21">
        <f>EXP(-LN(2)/25)*AA92+(1-EXP(-LN(2)/25))/(LN(2)/25)*Calculateur!V93*Calculateur!X93*VLOOKUP('Données projet'!$B$9,Paramètres!$A$1:$I$89,3,0)*0.475*44/12</f>
        <v>23.710950492095858</v>
      </c>
      <c r="AB93" s="21">
        <f>EXP(-LN(2)/2)*AB92+(1-EXP(-LN(2)/2))/(LN(2)/2)*V93*Y93*VLOOKUP('Données projet'!$B$9,Paramètres!$A$1:$I$89,3,0)*0.475*44/12</f>
        <v>1.5725515270139661E-4</v>
      </c>
      <c r="AC93" s="22">
        <f t="shared" si="57"/>
        <v>171.04174934944544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7.0940586738288402E-14</v>
      </c>
      <c r="AK93" s="13">
        <f t="shared" si="89"/>
        <v>1.1091816830583241E-12</v>
      </c>
      <c r="AL93" s="20">
        <f t="shared" si="58"/>
        <v>2.0553796198957668E-12</v>
      </c>
      <c r="AM93" s="59">
        <f t="shared" si="59"/>
        <v>280.80937639612569</v>
      </c>
      <c r="AN93" s="59">
        <f ca="1">AVERAGE(OFFSET($AM$3,0,0,'Données projet'!$E$10+1,1))-AVERAGE(OFFSET($H$3,0,0,'Données projet'!$E$10+1,1))</f>
        <v>296.20984079604017</v>
      </c>
      <c r="AO93" s="59">
        <f t="shared" si="90"/>
        <v>351.8406329895206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110.94781661309288</v>
      </c>
      <c r="AV93" s="21">
        <f>EXP(-LN(2)/25)*AV92+(1-EXP(-LN(2)/25))/(LN(2)/25)*Calculateur!AQ93*Calculateur!AS93*VLOOKUP('Données projet'!$B$10,Paramètres!$A$1:$I$89,3,0)*0.475*44/12</f>
        <v>18.942605934750905</v>
      </c>
      <c r="AW93" s="21">
        <f>EXP(-LN(2)/2)*AW92+(1-EXP(-LN(2)/2))/(LN(2)/2)*AQ93*AT93*VLOOKUP('Données projet'!$B$10,Paramètres!$A$1:$I$89,3,0)*0.475*44/12</f>
        <v>7.4143714689785289E-4</v>
      </c>
      <c r="AX93" s="21">
        <f t="shared" si="60"/>
        <v>129.8911639849907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399.03</v>
      </c>
      <c r="BB93" s="12">
        <f>VLOOKUP(A93,'Données projet'!$A$87:$I$107,9,0)</f>
        <v>10.385555555555552</v>
      </c>
      <c r="BC93" s="12">
        <f t="array" ref="BC93">INDEX(BB:BB,MIN(IF(ISNUMBER(BB93:BB289),ROW(BB93:BB289),"")))</f>
        <v>10.385555555555552</v>
      </c>
      <c r="BD93" s="12">
        <f>IF('Données projet'!$A$88&gt;35,BD92+BC93-BL92,IF(A93&lt;'Données projet'!$A$88,$BA$205^A93,IF(A93='Données projet'!$A$88,'Données projet'!$B$88,BD92+BC93-BL92)))</f>
        <v>399.02999999999975</v>
      </c>
      <c r="BE93" s="13">
        <f>BD93*VLOOKUP('Données projet'!$B$11,Paramètres!$A$1:$I$89,3,0)*VLOOKUP('Données projet'!$B$11,Paramètres!$A$1:$I$89,5,0)</f>
        <v>348.59260799999981</v>
      </c>
      <c r="BF93" s="13">
        <f t="shared" si="91"/>
        <v>81.272646686193639</v>
      </c>
      <c r="BG93" s="20">
        <f t="shared" si="61"/>
        <v>748.68198524512025</v>
      </c>
      <c r="BH93" s="59">
        <f t="shared" si="62"/>
        <v>1029.4913616412439</v>
      </c>
      <c r="BI93" s="59">
        <f ca="1">AVERAGE(OFFSET($BH$3,0,0,'Données projet'!$E$11+1,1))-AVERAGE(OFFSET($H$3,0,0,'Données projet'!$E$11+1,1))</f>
        <v>385.40047672167555</v>
      </c>
      <c r="BJ93" s="59">
        <f t="shared" si="92"/>
        <v>286.49293757741611</v>
      </c>
      <c r="BK93" s="15">
        <f>IF(ISNA(VLOOKUP(A93,'Données projet'!$A$87:$I$107,3,0)),0,VLOOKUP(A93,'Données projet'!$A$87:$I$107,3,0))</f>
        <v>16</v>
      </c>
      <c r="BL93" s="15">
        <f>IF(ISNA(VLOOKUP(A93,'Données projet'!$A$87:$I$107,4,0)),0,VLOOKUP(A93,'Données projet'!$A$87:$I$107,4,0))</f>
        <v>399.03</v>
      </c>
      <c r="BM93" s="16">
        <f>IF(ISNA(VLOOKUP(A93,'Données projet'!$A$87:$I$107,5,0)),0%,VLOOKUP(A93,'Données projet'!$A$87:$I$107,5,0)*VLOOKUP('Données projet'!$B$11,Paramètres!$A$1:$I$89,7,0))</f>
        <v>0.34400000000000003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179.79222789064085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179.79222789064085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-5.6843418860808015E-14</v>
      </c>
      <c r="BZ93" s="13">
        <f>BY93*VLOOKUP('Données projet'!$B$12,Paramètres!$A$1:$I$89,3,0)*VLOOKUP('Données projet'!$B$12,Paramètres!$A$1:$I$89,5,0)</f>
        <v>-5.1431925385259088E-14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397.12030701006762</v>
      </c>
      <c r="CE93" s="59">
        <f t="shared" si="94"/>
        <v>476.47513516380047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43.392826119245612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43.392826119245612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110.43805901666033</v>
      </c>
      <c r="CZ93" s="59">
        <f t="shared" si="96"/>
        <v>319.51880962151881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10.26545467708282</v>
      </c>
      <c r="DG93" s="21">
        <f>EXP(-LN(2)/25)*DG92+(1-EXP(-LN(2)/25))/(LN(2)/25)*Calculateur!DB93*Calculateur!DD93*VLOOKUP('Données projet'!$B$13,Paramètres!$A$1:$I$89,3,0)*0.475*44/12</f>
        <v>2.6239905824049887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12.889445259487809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3.3000000000000003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12.100000000000001</v>
      </c>
      <c r="H94" s="67">
        <f t="shared" si="56"/>
        <v>208.26666666666665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414.37917672189968</v>
      </c>
      <c r="T94" s="59">
        <f t="shared" si="88"/>
        <v>546.83385887302961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144.44157758319594</v>
      </c>
      <c r="AA94" s="21">
        <f>EXP(-LN(2)/25)*AA93+(1-EXP(-LN(2)/25))/(LN(2)/25)*Calculateur!V94*Calculateur!X94*VLOOKUP('Données projet'!$B$9,Paramètres!$A$1:$I$89,3,0)*0.475*44/12</f>
        <v>23.062573303984802</v>
      </c>
      <c r="AB94" s="21">
        <f>EXP(-LN(2)/2)*AB93+(1-EXP(-LN(2)/2))/(LN(2)/2)*V94*Y94*VLOOKUP('Données projet'!$B$9,Paramètres!$A$1:$I$89,3,0)*0.475*44/12</f>
        <v>1.1119618485168357E-4</v>
      </c>
      <c r="AC94" s="22">
        <f t="shared" si="57"/>
        <v>167.5042620833656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7.0940586738288402E-14</v>
      </c>
      <c r="AK94" s="13">
        <f t="shared" si="89"/>
        <v>1.1091816830583241E-12</v>
      </c>
      <c r="AL94" s="20">
        <f t="shared" si="58"/>
        <v>2.0553796198957668E-12</v>
      </c>
      <c r="AM94" s="59">
        <f t="shared" si="59"/>
        <v>281.02663904961315</v>
      </c>
      <c r="AN94" s="59">
        <f ca="1">AVERAGE(OFFSET($AM$3,0,0,'Données projet'!$E$10+1,1))-AVERAGE(OFFSET($H$3,0,0,'Données projet'!$E$10+1,1))</f>
        <v>296.20984079604017</v>
      </c>
      <c r="AO94" s="59">
        <f t="shared" si="90"/>
        <v>351.8406329895206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108.77219760079626</v>
      </c>
      <c r="AV94" s="21">
        <f>EXP(-LN(2)/25)*AV93+(1-EXP(-LN(2)/25))/(LN(2)/25)*Calculateur!AQ94*Calculateur!AS94*VLOOKUP('Données projet'!$B$10,Paramètres!$A$1:$I$89,3,0)*0.475*44/12</f>
        <v>18.424619379316788</v>
      </c>
      <c r="AW94" s="21">
        <f>EXP(-LN(2)/2)*AW93+(1-EXP(-LN(2)/2))/(LN(2)/2)*AQ94*AT94*VLOOKUP('Données projet'!$B$10,Paramètres!$A$1:$I$89,3,0)*0.475*44/12</f>
        <v>5.2427523439507815E-4</v>
      </c>
      <c r="AX94" s="21">
        <f t="shared" si="60"/>
        <v>127.19734125534745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-1.9863364286720756E-13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385.40047672167555</v>
      </c>
      <c r="BJ94" s="59">
        <f t="shared" si="92"/>
        <v>286.49293757741611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176.26661196413613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176.26661196413613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-5.6843418860808015E-14</v>
      </c>
      <c r="BZ94" s="13">
        <f>BY94*VLOOKUP('Données projet'!$B$12,Paramètres!$A$1:$I$89,3,0)*VLOOKUP('Données projet'!$B$12,Paramètres!$A$1:$I$89,5,0)</f>
        <v>-5.1431925385259088E-14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397.12030701006762</v>
      </c>
      <c r="CE94" s="59">
        <f t="shared" si="94"/>
        <v>476.47513516380047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42.541919266057739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42.541919266057739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110.43805901666033</v>
      </c>
      <c r="CZ94" s="59">
        <f t="shared" si="96"/>
        <v>319.51880962151881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10.064155372174326</v>
      </c>
      <c r="DG94" s="21">
        <f>EXP(-LN(2)/25)*DG93+(1-EXP(-LN(2)/25))/(LN(2)/25)*Calculateur!DB94*Calculateur!DD94*VLOOKUP('Données projet'!$B$13,Paramètres!$A$1:$I$89,3,0)*0.475*44/12</f>
        <v>2.5522374219394566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12.616392794113782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3.3000000000000003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12.100000000000001</v>
      </c>
      <c r="H95" s="67">
        <f t="shared" si="56"/>
        <v>208.26666666666665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414.37917672189968</v>
      </c>
      <c r="T95" s="59">
        <f t="shared" si="88"/>
        <v>546.83385887302961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141.60916634745257</v>
      </c>
      <c r="AA95" s="21">
        <f>EXP(-LN(2)/25)*AA94+(1-EXP(-LN(2)/25))/(LN(2)/25)*Calculateur!V95*Calculateur!X95*VLOOKUP('Données projet'!$B$9,Paramètres!$A$1:$I$89,3,0)*0.475*44/12</f>
        <v>22.431926024179319</v>
      </c>
      <c r="AB95" s="21">
        <f>EXP(-LN(2)/2)*AB94+(1-EXP(-LN(2)/2))/(LN(2)/2)*V95*Y95*VLOOKUP('Données projet'!$B$9,Paramètres!$A$1:$I$89,3,0)*0.475*44/12</f>
        <v>7.8627576350698305E-5</v>
      </c>
      <c r="AC95" s="22">
        <f t="shared" si="57"/>
        <v>164.04117099920825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7.0940586738288402E-14</v>
      </c>
      <c r="AK95" s="13">
        <f t="shared" si="89"/>
        <v>1.1091816830583241E-12</v>
      </c>
      <c r="AL95" s="20">
        <f t="shared" si="58"/>
        <v>2.0553796198957668E-12</v>
      </c>
      <c r="AM95" s="59">
        <f t="shared" si="59"/>
        <v>281.24013268178913</v>
      </c>
      <c r="AN95" s="59">
        <f ca="1">AVERAGE(OFFSET($AM$3,0,0,'Données projet'!$E$10+1,1))-AVERAGE(OFFSET($H$3,0,0,'Données projet'!$E$10+1,1))</f>
        <v>296.20984079604017</v>
      </c>
      <c r="AO95" s="59">
        <f t="shared" si="90"/>
        <v>351.8406329895206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106.63924115033421</v>
      </c>
      <c r="AV95" s="21">
        <f>EXP(-LN(2)/25)*AV94+(1-EXP(-LN(2)/25))/(LN(2)/25)*Calculateur!AQ95*Calculateur!AS95*VLOOKUP('Données projet'!$B$10,Paramètres!$A$1:$I$89,3,0)*0.475*44/12</f>
        <v>17.920797193480748</v>
      </c>
      <c r="AW95" s="21">
        <f>EXP(-LN(2)/2)*AW94+(1-EXP(-LN(2)/2))/(LN(2)/2)*AQ95*AT95*VLOOKUP('Données projet'!$B$10,Paramètres!$A$1:$I$89,3,0)*0.475*44/12</f>
        <v>3.7071857344892644E-4</v>
      </c>
      <c r="AX95" s="21">
        <f t="shared" si="60"/>
        <v>124.56040906238842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-1.9863364286720756E-13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385.40047672167555</v>
      </c>
      <c r="BJ95" s="59">
        <f t="shared" si="92"/>
        <v>286.49293757741611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172.81013121553679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172.81013121553679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-5.6843418860808015E-14</v>
      </c>
      <c r="BZ95" s="13">
        <f>BY95*VLOOKUP('Données projet'!$B$12,Paramètres!$A$1:$I$89,3,0)*VLOOKUP('Données projet'!$B$12,Paramètres!$A$1:$I$89,5,0)</f>
        <v>-5.1431925385259088E-14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397.12030701006762</v>
      </c>
      <c r="CE95" s="59">
        <f t="shared" si="94"/>
        <v>476.47513516380047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41.707698177258948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41.707698177258948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110.43805901666033</v>
      </c>
      <c r="CZ95" s="59">
        <f t="shared" si="96"/>
        <v>319.51880962151881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9.8668034238546358</v>
      </c>
      <c r="DG95" s="21">
        <f>EXP(-LN(2)/25)*DG94+(1-EXP(-LN(2)/25))/(LN(2)/25)*Calculateur!DB95*Calculateur!DD95*VLOOKUP('Données projet'!$B$13,Paramètres!$A$1:$I$89,3,0)*0.475*44/12</f>
        <v>2.4824463554201892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12.349249779274825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3.3000000000000003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12.100000000000001</v>
      </c>
      <c r="H96" s="67">
        <f t="shared" si="56"/>
        <v>208.26666666666665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414.37917672189968</v>
      </c>
      <c r="T96" s="59">
        <f t="shared" si="88"/>
        <v>546.83385887302961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138.83229696844188</v>
      </c>
      <c r="AA96" s="21">
        <f>EXP(-LN(2)/25)*AA95+(1-EXP(-LN(2)/25))/(LN(2)/25)*Calculateur!V96*Calculateur!X96*VLOOKUP('Données projet'!$B$9,Paramètres!$A$1:$I$89,3,0)*0.475*44/12</f>
        <v>21.818523827404416</v>
      </c>
      <c r="AB96" s="21">
        <f>EXP(-LN(2)/2)*AB95+(1-EXP(-LN(2)/2))/(LN(2)/2)*V96*Y96*VLOOKUP('Données projet'!$B$9,Paramètres!$A$1:$I$89,3,0)*0.475*44/12</f>
        <v>5.5598092425841786E-5</v>
      </c>
      <c r="AC96" s="22">
        <f t="shared" si="57"/>
        <v>160.65087639393872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7.0940586738288402E-14</v>
      </c>
      <c r="AK96" s="13">
        <f t="shared" si="89"/>
        <v>1.1091816830583241E-12</v>
      </c>
      <c r="AL96" s="20">
        <f t="shared" si="58"/>
        <v>2.0553796198957668E-12</v>
      </c>
      <c r="AM96" s="59">
        <f t="shared" si="59"/>
        <v>281.44992267674712</v>
      </c>
      <c r="AN96" s="59">
        <f ca="1">AVERAGE(OFFSET($AM$3,0,0,'Données projet'!$E$10+1,1))-AVERAGE(OFFSET($H$3,0,0,'Données projet'!$E$10+1,1))</f>
        <v>296.20984079604017</v>
      </c>
      <c r="AO96" s="59">
        <f t="shared" si="90"/>
        <v>351.8406329895206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104.54811067489075</v>
      </c>
      <c r="AV96" s="21">
        <f>EXP(-LN(2)/25)*AV95+(1-EXP(-LN(2)/25))/(LN(2)/25)*Calculateur!AQ96*Calculateur!AS96*VLOOKUP('Données projet'!$B$10,Paramètres!$A$1:$I$89,3,0)*0.475*44/12</f>
        <v>17.43075205181125</v>
      </c>
      <c r="AW96" s="21">
        <f>EXP(-LN(2)/2)*AW95+(1-EXP(-LN(2)/2))/(LN(2)/2)*AQ96*AT96*VLOOKUP('Données projet'!$B$10,Paramètres!$A$1:$I$89,3,0)*0.475*44/12</f>
        <v>2.6213761719753908E-4</v>
      </c>
      <c r="AX96" s="21">
        <f t="shared" si="60"/>
        <v>121.9791248643192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-1.9863364286720756E-13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385.40047672167555</v>
      </c>
      <c r="BJ96" s="59">
        <f t="shared" si="92"/>
        <v>286.49293757741611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169.4214299461724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169.4214299461724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-5.6843418860808015E-14</v>
      </c>
      <c r="BZ96" s="13">
        <f>BY96*VLOOKUP('Données projet'!$B$12,Paramètres!$A$1:$I$89,3,0)*VLOOKUP('Données projet'!$B$12,Paramètres!$A$1:$I$89,5,0)</f>
        <v>-5.1431925385259088E-14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397.12030701006762</v>
      </c>
      <c r="CE96" s="59">
        <f t="shared" si="94"/>
        <v>476.47513516380047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40.889835655186879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40.889835655186879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110.43805901666033</v>
      </c>
      <c r="CZ96" s="59">
        <f t="shared" si="96"/>
        <v>319.51880962151881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9.6733214268686911</v>
      </c>
      <c r="DG96" s="21">
        <f>EXP(-LN(2)/25)*DG95+(1-EXP(-LN(2)/25))/(LN(2)/25)*Calculateur!DB96*Calculateur!DD96*VLOOKUP('Données projet'!$B$13,Paramètres!$A$1:$I$89,3,0)*0.475*44/12</f>
        <v>2.4145637292850441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12.087885156153735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3.3000000000000003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12.100000000000001</v>
      </c>
      <c r="H97" s="67">
        <f t="shared" si="56"/>
        <v>208.26666666666665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414.37917672189968</v>
      </c>
      <c r="T97" s="59">
        <f t="shared" si="88"/>
        <v>546.83385887302961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136.1098803042305</v>
      </c>
      <c r="AA97" s="21">
        <f>EXP(-LN(2)/25)*AA96+(1-EXP(-LN(2)/25))/(LN(2)/25)*Calculateur!V97*Calculateur!X97*VLOOKUP('Données projet'!$B$9,Paramètres!$A$1:$I$89,3,0)*0.475*44/12</f>
        <v>21.221895145957742</v>
      </c>
      <c r="AB97" s="21">
        <f>EXP(-LN(2)/2)*AB96+(1-EXP(-LN(2)/2))/(LN(2)/2)*V97*Y97*VLOOKUP('Données projet'!$B$9,Paramètres!$A$1:$I$89,3,0)*0.475*44/12</f>
        <v>3.9313788175349152E-5</v>
      </c>
      <c r="AC97" s="22">
        <f t="shared" si="57"/>
        <v>157.33181476397641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7.0940586738288402E-14</v>
      </c>
      <c r="AK97" s="13">
        <f t="shared" si="89"/>
        <v>1.1091816830583241E-12</v>
      </c>
      <c r="AL97" s="20">
        <f t="shared" si="58"/>
        <v>2.0553796198957668E-12</v>
      </c>
      <c r="AM97" s="59">
        <f t="shared" si="59"/>
        <v>281.65607328431281</v>
      </c>
      <c r="AN97" s="59">
        <f ca="1">AVERAGE(OFFSET($AM$3,0,0,'Données projet'!$E$10+1,1))-AVERAGE(OFFSET($H$3,0,0,'Données projet'!$E$10+1,1))</f>
        <v>296.20984079604017</v>
      </c>
      <c r="AO97" s="59">
        <f t="shared" si="90"/>
        <v>351.8406329895206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102.49798599260708</v>
      </c>
      <c r="AV97" s="21">
        <f>EXP(-LN(2)/25)*AV96+(1-EXP(-LN(2)/25))/(LN(2)/25)*Calculateur!AQ97*Calculateur!AS97*VLOOKUP('Données projet'!$B$10,Paramètres!$A$1:$I$89,3,0)*0.475*44/12</f>
        <v>16.954107220311059</v>
      </c>
      <c r="AW97" s="21">
        <f>EXP(-LN(2)/2)*AW96+(1-EXP(-LN(2)/2))/(LN(2)/2)*AQ97*AT97*VLOOKUP('Données projet'!$B$10,Paramètres!$A$1:$I$89,3,0)*0.475*44/12</f>
        <v>1.8535928672446322E-4</v>
      </c>
      <c r="AX97" s="21">
        <f t="shared" si="60"/>
        <v>119.45227857220486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-1.9863364286720756E-13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385.40047672167555</v>
      </c>
      <c r="BJ97" s="59">
        <f t="shared" si="92"/>
        <v>286.49293757741611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166.09917904179656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166.09917904179656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-5.6843418860808015E-14</v>
      </c>
      <c r="BZ97" s="13">
        <f>BY97*VLOOKUP('Données projet'!$B$12,Paramètres!$A$1:$I$89,3,0)*VLOOKUP('Données projet'!$B$12,Paramètres!$A$1:$I$89,5,0)</f>
        <v>-5.1431925385259088E-14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397.12030701006762</v>
      </c>
      <c r="CE97" s="59">
        <f t="shared" si="94"/>
        <v>476.47513516380047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40.088010918325757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40.088010918325757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110.43805901666033</v>
      </c>
      <c r="CZ97" s="59">
        <f t="shared" si="96"/>
        <v>319.51880962151881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9.4836334938312756</v>
      </c>
      <c r="DG97" s="21">
        <f>EXP(-LN(2)/25)*DG96+(1-EXP(-LN(2)/25))/(LN(2)/25)*Calculateur!DB97*Calculateur!DD97*VLOOKUP('Données projet'!$B$13,Paramètres!$A$1:$I$89,3,0)*0.475*44/12</f>
        <v>2.3485373571313568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11.832170850962633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3.3000000000000003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12.100000000000001</v>
      </c>
      <c r="H98" s="67">
        <f t="shared" si="56"/>
        <v>208.26666666666665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414.37917672189968</v>
      </c>
      <c r="T98" s="59">
        <f t="shared" si="88"/>
        <v>546.83385887302961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133.44084857029409</v>
      </c>
      <c r="AA98" s="21">
        <f>EXP(-LN(2)/25)*AA97+(1-EXP(-LN(2)/25))/(LN(2)/25)*Calculateur!V98*Calculateur!X98*VLOOKUP('Données projet'!$B$9,Paramètres!$A$1:$I$89,3,0)*0.475*44/12</f>
        <v>20.641581307180566</v>
      </c>
      <c r="AB98" s="21">
        <f>EXP(-LN(2)/2)*AB97+(1-EXP(-LN(2)/2))/(LN(2)/2)*V98*Y98*VLOOKUP('Données projet'!$B$9,Paramètres!$A$1:$I$89,3,0)*0.475*44/12</f>
        <v>2.7799046212920893E-5</v>
      </c>
      <c r="AC98" s="22">
        <f t="shared" si="57"/>
        <v>154.08245767652087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7.0940586738288402E-14</v>
      </c>
      <c r="AK98" s="13">
        <f t="shared" si="89"/>
        <v>1.1091816830583241E-12</v>
      </c>
      <c r="AL98" s="20">
        <f t="shared" si="58"/>
        <v>2.0553796198957668E-12</v>
      </c>
      <c r="AM98" s="59">
        <f t="shared" si="59"/>
        <v>281.85864763972091</v>
      </c>
      <c r="AN98" s="59">
        <f ca="1">AVERAGE(OFFSET($AM$3,0,0,'Données projet'!$E$10+1,1))-AVERAGE(OFFSET($H$3,0,0,'Données projet'!$E$10+1,1))</f>
        <v>296.20984079604017</v>
      </c>
      <c r="AO98" s="59">
        <f t="shared" si="90"/>
        <v>351.8406329895206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100.48806300489042</v>
      </c>
      <c r="AV98" s="21">
        <f>EXP(-LN(2)/25)*AV97+(1-EXP(-LN(2)/25))/(LN(2)/25)*Calculateur!AQ98*Calculateur!AS98*VLOOKUP('Données projet'!$B$10,Paramètres!$A$1:$I$89,3,0)*0.475*44/12</f>
        <v>16.490496266793905</v>
      </c>
      <c r="AW98" s="21">
        <f>EXP(-LN(2)/2)*AW97+(1-EXP(-LN(2)/2))/(LN(2)/2)*AQ98*AT98*VLOOKUP('Données projet'!$B$10,Paramètres!$A$1:$I$89,3,0)*0.475*44/12</f>
        <v>1.3106880859876954E-4</v>
      </c>
      <c r="AX98" s="21">
        <f t="shared" si="60"/>
        <v>116.97869034049293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-1.9863364286720756E-13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385.40047672167555</v>
      </c>
      <c r="BJ98" s="59">
        <f t="shared" si="92"/>
        <v>286.49293757741611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162.84207545128257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162.84207545128257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-5.6843418860808015E-14</v>
      </c>
      <c r="BZ98" s="13">
        <f>BY98*VLOOKUP('Données projet'!$B$12,Paramètres!$A$1:$I$89,3,0)*VLOOKUP('Données projet'!$B$12,Paramètres!$A$1:$I$89,5,0)</f>
        <v>-5.1431925385259088E-14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397.12030701006762</v>
      </c>
      <c r="CE98" s="59">
        <f t="shared" si="94"/>
        <v>476.47513516380047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39.301909475489687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39.301909475489687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110.43805901666033</v>
      </c>
      <c r="CZ98" s="59">
        <f t="shared" si="96"/>
        <v>319.51880962151881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9.2976652254625094</v>
      </c>
      <c r="DG98" s="21">
        <f>EXP(-LN(2)/25)*DG97+(1-EXP(-LN(2)/25))/(LN(2)/25)*Calculateur!DB98*Calculateur!DD98*VLOOKUP('Données projet'!$B$13,Paramètres!$A$1:$I$89,3,0)*0.475*44/12</f>
        <v>2.2843164795963879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11.581981705058897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3.3000000000000003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12.100000000000001</v>
      </c>
      <c r="H99" s="67">
        <f t="shared" si="56"/>
        <v>208.26666666666665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414.37917672189968</v>
      </c>
      <c r="T99" s="59">
        <f t="shared" si="88"/>
        <v>546.83385887302961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130.82415492071158</v>
      </c>
      <c r="AA99" s="21">
        <f>EXP(-LN(2)/25)*AA98+(1-EXP(-LN(2)/25))/(LN(2)/25)*Calculateur!V99*Calculateur!X99*VLOOKUP('Données projet'!$B$9,Paramètres!$A$1:$I$89,3,0)*0.475*44/12</f>
        <v>20.077136180842128</v>
      </c>
      <c r="AB99" s="21">
        <f>EXP(-LN(2)/2)*AB98+(1-EXP(-LN(2)/2))/(LN(2)/2)*V99*Y99*VLOOKUP('Données projet'!$B$9,Paramètres!$A$1:$I$89,3,0)*0.475*44/12</f>
        <v>1.9656894087674576E-5</v>
      </c>
      <c r="AC99" s="22">
        <f t="shared" si="57"/>
        <v>150.90131075844781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7.0940586738288402E-14</v>
      </c>
      <c r="AK99" s="13">
        <f t="shared" si="89"/>
        <v>1.1091816830583241E-12</v>
      </c>
      <c r="AL99" s="20">
        <f t="shared" si="58"/>
        <v>2.0553796198957668E-12</v>
      </c>
      <c r="AM99" s="59">
        <f t="shared" si="59"/>
        <v>282.05770778295107</v>
      </c>
      <c r="AN99" s="59">
        <f ca="1">AVERAGE(OFFSET($AM$3,0,0,'Données projet'!$E$10+1,1))-AVERAGE(OFFSET($H$3,0,0,'Données projet'!$E$10+1,1))</f>
        <v>296.20984079604017</v>
      </c>
      <c r="AO99" s="59">
        <f t="shared" si="90"/>
        <v>351.8406329895206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98.517553381030908</v>
      </c>
      <c r="AV99" s="21">
        <f>EXP(-LN(2)/25)*AV98+(1-EXP(-LN(2)/25))/(LN(2)/25)*Calculateur!AQ99*Calculateur!AS99*VLOOKUP('Données projet'!$B$10,Paramètres!$A$1:$I$89,3,0)*0.475*44/12</f>
        <v>16.039562779180915</v>
      </c>
      <c r="AW99" s="21">
        <f>EXP(-LN(2)/2)*AW98+(1-EXP(-LN(2)/2))/(LN(2)/2)*AQ99*AT99*VLOOKUP('Données projet'!$B$10,Paramètres!$A$1:$I$89,3,0)*0.475*44/12</f>
        <v>9.2679643362231611E-5</v>
      </c>
      <c r="AX99" s="21">
        <f t="shared" si="60"/>
        <v>114.55720883985518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-1.9863364286720756E-13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385.40047672167555</v>
      </c>
      <c r="BJ99" s="59">
        <f t="shared" si="92"/>
        <v>286.49293757741611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159.64884167554152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159.64884167554152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-5.6843418860808015E-14</v>
      </c>
      <c r="BZ99" s="13">
        <f>BY99*VLOOKUP('Données projet'!$B$12,Paramètres!$A$1:$I$89,3,0)*VLOOKUP('Données projet'!$B$12,Paramètres!$A$1:$I$89,5,0)</f>
        <v>-5.1431925385259088E-14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397.12030701006762</v>
      </c>
      <c r="CE99" s="59">
        <f t="shared" si="94"/>
        <v>476.47513516380047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38.531223002473098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38.531223002473098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110.43805901666033</v>
      </c>
      <c r="CZ99" s="59">
        <f t="shared" si="96"/>
        <v>319.51880962151881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9.1153436814070101</v>
      </c>
      <c r="DG99" s="21">
        <f>EXP(-LN(2)/25)*DG98+(1-EXP(-LN(2)/25))/(LN(2)/25)*Calculateur!DB99*Calculateur!DD99*VLOOKUP('Données projet'!$B$13,Paramètres!$A$1:$I$89,3,0)*0.475*44/12</f>
        <v>2.221851725334842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11.337195406741852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3.3000000000000003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12.100000000000001</v>
      </c>
      <c r="H100" s="67">
        <f t="shared" si="56"/>
        <v>208.26666666666665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414.37917672189968</v>
      </c>
      <c r="T100" s="59">
        <f t="shared" si="88"/>
        <v>546.83385887302961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128.25877303757184</v>
      </c>
      <c r="AA100" s="21">
        <f>EXP(-LN(2)/25)*AA99+(1-EXP(-LN(2)/25))/(LN(2)/25)*Calculateur!V100*Calculateur!X100*VLOOKUP('Données projet'!$B$9,Paramètres!$A$1:$I$89,3,0)*0.475*44/12</f>
        <v>19.528125836166296</v>
      </c>
      <c r="AB100" s="21">
        <f>EXP(-LN(2)/2)*AB99+(1-EXP(-LN(2)/2))/(LN(2)/2)*V100*Y100*VLOOKUP('Données projet'!$B$9,Paramètres!$A$1:$I$89,3,0)*0.475*44/12</f>
        <v>1.3899523106460447E-5</v>
      </c>
      <c r="AC100" s="22">
        <f t="shared" si="57"/>
        <v>147.78691277326126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7.0940586738288402E-14</v>
      </c>
      <c r="AK100" s="13">
        <f t="shared" si="89"/>
        <v>1.1091816830583241E-12</v>
      </c>
      <c r="AL100" s="20">
        <f t="shared" si="58"/>
        <v>2.0553796198957668E-12</v>
      </c>
      <c r="AM100" s="59">
        <f t="shared" si="59"/>
        <v>282.25331467772804</v>
      </c>
      <c r="AN100" s="59">
        <f ca="1">AVERAGE(OFFSET($AM$3,0,0,'Données projet'!$E$10+1,1))-AVERAGE(OFFSET($H$3,0,0,'Données projet'!$E$10+1,1))</f>
        <v>296.20984079604017</v>
      </c>
      <c r="AO100" s="59">
        <f t="shared" si="90"/>
        <v>351.8406329895206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96.58568424900308</v>
      </c>
      <c r="AV100" s="21">
        <f>EXP(-LN(2)/25)*AV99+(1-EXP(-LN(2)/25))/(LN(2)/25)*Calculateur!AQ100*Calculateur!AS100*VLOOKUP('Données projet'!$B$10,Paramètres!$A$1:$I$89,3,0)*0.475*44/12</f>
        <v>15.600960091500266</v>
      </c>
      <c r="AW100" s="21">
        <f>EXP(-LN(2)/2)*AW99+(1-EXP(-LN(2)/2))/(LN(2)/2)*AQ100*AT100*VLOOKUP('Données projet'!$B$10,Paramètres!$A$1:$I$89,3,0)*0.475*44/12</f>
        <v>6.5534404299384769E-5</v>
      </c>
      <c r="AX100" s="21">
        <f t="shared" si="60"/>
        <v>112.18670987490765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-1.9863364286720756E-13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385.40047672167555</v>
      </c>
      <c r="BJ100" s="59">
        <f t="shared" si="92"/>
        <v>286.49293757741611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156.51822526646248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156.51822526646248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-5.6843418860808015E-14</v>
      </c>
      <c r="BZ100" s="13">
        <f>BY100*VLOOKUP('Données projet'!$B$12,Paramètres!$A$1:$I$89,3,0)*VLOOKUP('Données projet'!$B$12,Paramètres!$A$1:$I$89,5,0)</f>
        <v>-5.1431925385259088E-14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397.12030701006762</v>
      </c>
      <c r="CE100" s="59">
        <f t="shared" si="94"/>
        <v>476.47513516380047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37.775649221120027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37.775649221120027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110.43805901666033</v>
      </c>
      <c r="CZ100" s="59">
        <f t="shared" si="96"/>
        <v>319.51880962151881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8.936597351625279</v>
      </c>
      <c r="DG100" s="21">
        <f>EXP(-LN(2)/25)*DG99+(1-EXP(-LN(2)/25))/(LN(2)/25)*Calculateur!DB100*Calculateur!DD100*VLOOKUP('Données projet'!$B$13,Paramètres!$A$1:$I$89,3,0)*0.475*44/12</f>
        <v>2.1610950730634566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11.097692424688736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3.3000000000000003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12.100000000000001</v>
      </c>
      <c r="H101" s="67">
        <f t="shared" si="56"/>
        <v>208.26666666666665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414.37917672189968</v>
      </c>
      <c r="T101" s="59">
        <f t="shared" si="88"/>
        <v>546.83385887302961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125.74369672843203</v>
      </c>
      <c r="AA101" s="21">
        <f>EXP(-LN(2)/25)*AA100+(1-EXP(-LN(2)/25))/(LN(2)/25)*Calculateur!V101*Calculateur!X101*VLOOKUP('Données projet'!$B$9,Paramètres!$A$1:$I$89,3,0)*0.475*44/12</f>
        <v>18.994128208236823</v>
      </c>
      <c r="AB101" s="21">
        <f>EXP(-LN(2)/2)*AB100+(1-EXP(-LN(2)/2))/(LN(2)/2)*V101*Y101*VLOOKUP('Données projet'!$B$9,Paramètres!$A$1:$I$89,3,0)*0.475*44/12</f>
        <v>9.8284470438372881E-6</v>
      </c>
      <c r="AC101" s="22">
        <f t="shared" si="57"/>
        <v>144.73783476511591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7.0940586738288402E-14</v>
      </c>
      <c r="AK101" s="13">
        <f t="shared" si="89"/>
        <v>1.1091816830583241E-12</v>
      </c>
      <c r="AL101" s="20">
        <f t="shared" si="58"/>
        <v>2.0553796198957668E-12</v>
      </c>
      <c r="AM101" s="59">
        <f t="shared" si="59"/>
        <v>282.44552823019211</v>
      </c>
      <c r="AN101" s="59">
        <f ca="1">AVERAGE(OFFSET($AM$3,0,0,'Données projet'!$E$10+1,1))-AVERAGE(OFFSET($H$3,0,0,'Données projet'!$E$10+1,1))</f>
        <v>296.20984079604017</v>
      </c>
      <c r="AO101" s="59">
        <f t="shared" si="90"/>
        <v>351.8406329895206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94.691697892330495</v>
      </c>
      <c r="AV101" s="21">
        <f>EXP(-LN(2)/25)*AV100+(1-EXP(-LN(2)/25))/(LN(2)/25)*Calculateur!AQ101*Calculateur!AS101*VLOOKUP('Données projet'!$B$10,Paramètres!$A$1:$I$89,3,0)*0.475*44/12</f>
        <v>15.174351017379356</v>
      </c>
      <c r="AW101" s="21">
        <f>EXP(-LN(2)/2)*AW100+(1-EXP(-LN(2)/2))/(LN(2)/2)*AQ101*AT101*VLOOKUP('Données projet'!$B$10,Paramètres!$A$1:$I$89,3,0)*0.475*44/12</f>
        <v>4.6339821681115805E-5</v>
      </c>
      <c r="AX101" s="21">
        <f t="shared" si="60"/>
        <v>109.86609524953153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-1.9863364286720756E-13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385.40047672167555</v>
      </c>
      <c r="BJ101" s="59">
        <f t="shared" si="92"/>
        <v>286.49293757741611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153.448998335678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153.448998335678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-5.6843418860808015E-14</v>
      </c>
      <c r="BZ101" s="13">
        <f>BY101*VLOOKUP('Données projet'!$B$12,Paramètres!$A$1:$I$89,3,0)*VLOOKUP('Données projet'!$B$12,Paramètres!$A$1:$I$89,5,0)</f>
        <v>-5.1431925385259088E-14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397.12030701006762</v>
      </c>
      <c r="CE101" s="59">
        <f t="shared" si="94"/>
        <v>476.47513516380047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37.034891780764788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37.034891780764788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110.43805901666033</v>
      </c>
      <c r="CZ101" s="59">
        <f t="shared" si="96"/>
        <v>319.51880962151881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8.7613561283460708</v>
      </c>
      <c r="DG101" s="21">
        <f>EXP(-LN(2)/25)*DG100+(1-EXP(-LN(2)/25))/(LN(2)/25)*Calculateur!DB101*Calculateur!DD101*VLOOKUP('Données projet'!$B$13,Paramètres!$A$1:$I$89,3,0)*0.475*44/12</f>
        <v>2.1019998146434857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10.863355942989557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3.3000000000000003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12.100000000000001</v>
      </c>
      <c r="H102" s="67">
        <f t="shared" si="56"/>
        <v>208.26666666666665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414.37917672189968</v>
      </c>
      <c r="T102" s="59">
        <f t="shared" si="88"/>
        <v>546.83385887302961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123.27793953166938</v>
      </c>
      <c r="AA102" s="21">
        <f>EXP(-LN(2)/25)*AA101+(1-EXP(-LN(2)/25))/(LN(2)/25)*Calculateur!V102*Calculateur!X102*VLOOKUP('Données projet'!$B$9,Paramètres!$A$1:$I$89,3,0)*0.475*44/12</f>
        <v>18.474732773524796</v>
      </c>
      <c r="AB102" s="21">
        <f>EXP(-LN(2)/2)*AB101+(1-EXP(-LN(2)/2))/(LN(2)/2)*V102*Y102*VLOOKUP('Données projet'!$B$9,Paramètres!$A$1:$I$89,3,0)*0.475*44/12</f>
        <v>6.9497615532302233E-6</v>
      </c>
      <c r="AC102" s="22">
        <f t="shared" si="57"/>
        <v>141.75267925495572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7.0940586738288402E-14</v>
      </c>
      <c r="AK102" s="13">
        <f t="shared" si="89"/>
        <v>1.1091816830583241E-12</v>
      </c>
      <c r="AL102" s="20">
        <f t="shared" si="58"/>
        <v>2.0553796198957668E-12</v>
      </c>
      <c r="AM102" s="59">
        <f t="shared" si="59"/>
        <v>282.63440730724602</v>
      </c>
      <c r="AN102" s="59">
        <f ca="1">AVERAGE(OFFSET($AM$3,0,0,'Données projet'!$E$10+1,1))-AVERAGE(OFFSET($H$3,0,0,'Données projet'!$E$10+1,1))</f>
        <v>296.20984079604017</v>
      </c>
      <c r="AO102" s="59">
        <f t="shared" si="90"/>
        <v>351.8406329895206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92.834851452894654</v>
      </c>
      <c r="AV102" s="21">
        <f>EXP(-LN(2)/25)*AV101+(1-EXP(-LN(2)/25))/(LN(2)/25)*Calculateur!AQ102*Calculateur!AS102*VLOOKUP('Données projet'!$B$10,Paramètres!$A$1:$I$89,3,0)*0.475*44/12</f>
        <v>14.759407590824679</v>
      </c>
      <c r="AW102" s="21">
        <f>EXP(-LN(2)/2)*AW101+(1-EXP(-LN(2)/2))/(LN(2)/2)*AQ102*AT102*VLOOKUP('Données projet'!$B$10,Paramètres!$A$1:$I$89,3,0)*0.475*44/12</f>
        <v>3.2767202149692385E-5</v>
      </c>
      <c r="AX102" s="21">
        <f t="shared" si="60"/>
        <v>107.59429181092148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-1.9863364286720756E-13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385.40047672167555</v>
      </c>
      <c r="BJ102" s="59">
        <f t="shared" si="92"/>
        <v>286.49293757741611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150.43995707296264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150.43995707296264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-5.6843418860808015E-14</v>
      </c>
      <c r="BZ102" s="13">
        <f>BY102*VLOOKUP('Données projet'!$B$12,Paramètres!$A$1:$I$89,3,0)*VLOOKUP('Données projet'!$B$12,Paramètres!$A$1:$I$89,5,0)</f>
        <v>-5.1431925385259088E-14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397.12030701006762</v>
      </c>
      <c r="CE102" s="59">
        <f t="shared" si="94"/>
        <v>476.47513516380047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36.308660141997493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36.308660141997493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110.43805901666033</v>
      </c>
      <c r="CZ102" s="59">
        <f t="shared" si="96"/>
        <v>319.51880962151881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8.5895512785687771</v>
      </c>
      <c r="DG102" s="21">
        <f>EXP(-LN(2)/25)*DG101+(1-EXP(-LN(2)/25))/(LN(2)/25)*Calculateur!DB102*Calculateur!DD102*VLOOKUP('Données projet'!$B$13,Paramètres!$A$1:$I$89,3,0)*0.475*44/12</f>
        <v>2.0445205191726936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10.63407179774147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3.3000000000000003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12.100000000000001</v>
      </c>
      <c r="H103" s="67">
        <f t="shared" si="56"/>
        <v>208.26666666666665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414.37917672189968</v>
      </c>
      <c r="T103" s="59">
        <f t="shared" si="88"/>
        <v>546.83385887302961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120.86053432957185</v>
      </c>
      <c r="AA103" s="21">
        <f>EXP(-LN(2)/25)*AA102+(1-EXP(-LN(2)/25))/(LN(2)/25)*Calculateur!V103*Calculateur!X103*VLOOKUP('Données projet'!$B$9,Paramètres!$A$1:$I$89,3,0)*0.475*44/12</f>
        <v>17.96954023428879</v>
      </c>
      <c r="AB103" s="21">
        <f>EXP(-LN(2)/2)*AB102+(1-EXP(-LN(2)/2))/(LN(2)/2)*V103*Y103*VLOOKUP('Données projet'!$B$9,Paramètres!$A$1:$I$89,3,0)*0.475*44/12</f>
        <v>4.9142235219186441E-6</v>
      </c>
      <c r="AC103" s="22">
        <f t="shared" si="57"/>
        <v>138.83007947808417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7.0940586738288402E-14</v>
      </c>
      <c r="AK103" s="13">
        <f t="shared" si="89"/>
        <v>1.1091816830583241E-12</v>
      </c>
      <c r="AL103" s="20">
        <f t="shared" si="58"/>
        <v>2.0553796198957668E-12</v>
      </c>
      <c r="AM103" s="59">
        <f t="shared" si="59"/>
        <v>282.82000975458345</v>
      </c>
      <c r="AN103" s="59">
        <f ca="1">AVERAGE(OFFSET($AM$3,0,0,'Données projet'!$E$10+1,1))-AVERAGE(OFFSET($H$3,0,0,'Données projet'!$E$10+1,1))</f>
        <v>296.20984079604017</v>
      </c>
      <c r="AO103" s="59">
        <f t="shared" si="90"/>
        <v>351.8406329895206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91.01441663957165</v>
      </c>
      <c r="AV103" s="21">
        <f>EXP(-LN(2)/25)*AV102+(1-EXP(-LN(2)/25))/(LN(2)/25)*Calculateur!AQ103*Calculateur!AS103*VLOOKUP('Données projet'!$B$10,Paramètres!$A$1:$I$89,3,0)*0.475*44/12</f>
        <v>14.355810814090066</v>
      </c>
      <c r="AW103" s="21">
        <f>EXP(-LN(2)/2)*AW102+(1-EXP(-LN(2)/2))/(LN(2)/2)*AQ103*AT103*VLOOKUP('Données projet'!$B$10,Paramètres!$A$1:$I$89,3,0)*0.475*44/12</f>
        <v>2.3169910840557903E-5</v>
      </c>
      <c r="AX103" s="21">
        <f t="shared" si="60"/>
        <v>105.37025062357256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-1.9863364286720756E-13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385.40047672167555</v>
      </c>
      <c r="BJ103" s="59">
        <f t="shared" si="92"/>
        <v>286.49293757741611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147.48992127407519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147.48992127407519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-5.6843418860808015E-14</v>
      </c>
      <c r="BZ103" s="13">
        <f>BY103*VLOOKUP('Données projet'!$B$12,Paramètres!$A$1:$I$89,3,0)*VLOOKUP('Données projet'!$B$12,Paramètres!$A$1:$I$89,5,0)</f>
        <v>-5.1431925385259088E-14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397.12030701006762</v>
      </c>
      <c r="CE103" s="59">
        <f t="shared" si="94"/>
        <v>476.47513516380047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35.59666946270886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35.59666946270886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110.43805901666033</v>
      </c>
      <c r="CZ103" s="59">
        <f t="shared" si="96"/>
        <v>319.51880962151881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8.4211154171050051</v>
      </c>
      <c r="DG103" s="21">
        <f>EXP(-LN(2)/25)*DG102+(1-EXP(-LN(2)/25))/(LN(2)/25)*Calculateur!DB103*Calculateur!DD103*VLOOKUP('Données projet'!$B$13,Paramètres!$A$1:$I$89,3,0)*0.475*44/12</f>
        <v>1.9886129980592551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10.40972841516426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3.3000000000000003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12.100000000000001</v>
      </c>
      <c r="H104" s="67">
        <f t="shared" si="56"/>
        <v>208.26666666666665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414.37917672189968</v>
      </c>
      <c r="T104" s="59">
        <f t="shared" si="88"/>
        <v>546.83385887302961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118.49053296901587</v>
      </c>
      <c r="AA104" s="21">
        <f>EXP(-LN(2)/25)*AA103+(1-EXP(-LN(2)/25))/(LN(2)/25)*Calculateur!V104*Calculateur!X104*VLOOKUP('Données projet'!$B$9,Paramètres!$A$1:$I$89,3,0)*0.475*44/12</f>
        <v>17.478162211605113</v>
      </c>
      <c r="AB104" s="21">
        <f>EXP(-LN(2)/2)*AB103+(1-EXP(-LN(2)/2))/(LN(2)/2)*V104*Y104*VLOOKUP('Données projet'!$B$9,Paramètres!$A$1:$I$89,3,0)*0.475*44/12</f>
        <v>3.4748807766151116E-6</v>
      </c>
      <c r="AC104" s="22">
        <f t="shared" si="57"/>
        <v>135.96869865550175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7.0940586738288402E-14</v>
      </c>
      <c r="AK104" s="13">
        <f t="shared" si="89"/>
        <v>1.1091816830583241E-12</v>
      </c>
      <c r="AL104" s="20">
        <f t="shared" si="58"/>
        <v>2.0553796198957668E-12</v>
      </c>
      <c r="AM104" s="59">
        <f t="shared" si="59"/>
        <v>283.00239241440448</v>
      </c>
      <c r="AN104" s="59">
        <f ca="1">AVERAGE(OFFSET($AM$3,0,0,'Données projet'!$E$10+1,1))-AVERAGE(OFFSET($H$3,0,0,'Données projet'!$E$10+1,1))</f>
        <v>296.20984079604017</v>
      </c>
      <c r="AO104" s="59">
        <f t="shared" si="90"/>
        <v>351.8406329895206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89.229679442582309</v>
      </c>
      <c r="AV104" s="21">
        <f>EXP(-LN(2)/25)*AV103+(1-EXP(-LN(2)/25))/(LN(2)/25)*Calculateur!AQ104*Calculateur!AS104*VLOOKUP('Données projet'!$B$10,Paramètres!$A$1:$I$89,3,0)*0.475*44/12</f>
        <v>13.963250412439493</v>
      </c>
      <c r="AW104" s="21">
        <f>EXP(-LN(2)/2)*AW103+(1-EXP(-LN(2)/2))/(LN(2)/2)*AQ104*AT104*VLOOKUP('Données projet'!$B$10,Paramètres!$A$1:$I$89,3,0)*0.475*44/12</f>
        <v>1.6383601074846192E-5</v>
      </c>
      <c r="AX104" s="21">
        <f t="shared" si="60"/>
        <v>103.19294623862288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-1.9863364286720756E-13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385.40047672167555</v>
      </c>
      <c r="BJ104" s="59">
        <f t="shared" si="92"/>
        <v>286.49293757741611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144.59773387785975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144.59773387785975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-5.1431925385259088E-14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397.12030701006762</v>
      </c>
      <c r="CE104" s="59">
        <f t="shared" si="94"/>
        <v>476.47513516380047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34.898640486369644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34.898640486369644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110.43805901666033</v>
      </c>
      <c r="CZ104" s="59">
        <f t="shared" si="96"/>
        <v>319.51880962151881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8.2559824801488055</v>
      </c>
      <c r="DG104" s="21">
        <f>EXP(-LN(2)/25)*DG103+(1-EXP(-LN(2)/25))/(LN(2)/25)*Calculateur!DB104*Calculateur!DD104*VLOOKUP('Données projet'!$B$13,Paramètres!$A$1:$I$89,3,0)*0.475*44/12</f>
        <v>1.9342342710507121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10.190216751199518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3.3000000000000003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12.100000000000001</v>
      </c>
      <c r="H105" s="67">
        <f t="shared" si="56"/>
        <v>208.26666666666665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414.37917672189968</v>
      </c>
      <c r="T105" s="59">
        <f t="shared" si="88"/>
        <v>546.83385887302961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116.16700588958231</v>
      </c>
      <c r="AA105" s="21">
        <f>EXP(-LN(2)/25)*AA104+(1-EXP(-LN(2)/25))/(LN(2)/25)*Calculateur!V105*Calculateur!X105*VLOOKUP('Données projet'!$B$9,Paramètres!$A$1:$I$89,3,0)*0.475*44/12</f>
        <v>17.000220946792169</v>
      </c>
      <c r="AB105" s="21">
        <f>EXP(-LN(2)/2)*AB104+(1-EXP(-LN(2)/2))/(LN(2)/2)*V105*Y105*VLOOKUP('Données projet'!$B$9,Paramètres!$A$1:$I$89,3,0)*0.475*44/12</f>
        <v>2.457111760959322E-6</v>
      </c>
      <c r="AC105" s="22">
        <f t="shared" si="57"/>
        <v>133.16722929348623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7.0940586738288402E-14</v>
      </c>
      <c r="AK105" s="13">
        <f t="shared" si="89"/>
        <v>1.1091816830583241E-12</v>
      </c>
      <c r="AL105" s="20">
        <f t="shared" si="58"/>
        <v>2.0553796198957668E-12</v>
      </c>
      <c r="AM105" s="59">
        <f t="shared" si="59"/>
        <v>283.18161114282412</v>
      </c>
      <c r="AN105" s="59">
        <f ca="1">AVERAGE(OFFSET($AM$3,0,0,'Données projet'!$E$10+1,1))-AVERAGE(OFFSET($H$3,0,0,'Données projet'!$E$10+1,1))</f>
        <v>296.20984079604017</v>
      </c>
      <c r="AO105" s="59">
        <f t="shared" si="90"/>
        <v>351.8406329895206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87.479939853443739</v>
      </c>
      <c r="AV105" s="21">
        <f>EXP(-LN(2)/25)*AV104+(1-EXP(-LN(2)/25))/(LN(2)/25)*Calculateur!AQ105*Calculateur!AS105*VLOOKUP('Données projet'!$B$10,Paramètres!$A$1:$I$89,3,0)*0.475*44/12</f>
        <v>13.581424595615909</v>
      </c>
      <c r="AW105" s="21">
        <f>EXP(-LN(2)/2)*AW104+(1-EXP(-LN(2)/2))/(LN(2)/2)*AQ105*AT105*VLOOKUP('Données projet'!$B$10,Paramètres!$A$1:$I$89,3,0)*0.475*44/12</f>
        <v>1.1584955420278951E-5</v>
      </c>
      <c r="AX105" s="21">
        <f t="shared" si="60"/>
        <v>101.06137603401507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-1.9863364286720756E-13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385.40047672167555</v>
      </c>
      <c r="BJ105" s="59">
        <f t="shared" si="92"/>
        <v>286.49293757741611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141.76226051242398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141.76226051242398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-5.1431925385259088E-14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397.12030701006762</v>
      </c>
      <c r="CE105" s="59">
        <f t="shared" si="94"/>
        <v>476.47513516380047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34.214299432500809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34.214299432500809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110.43805901666033</v>
      </c>
      <c r="CZ105" s="59">
        <f t="shared" si="96"/>
        <v>319.51880962151881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8.0940876993651703</v>
      </c>
      <c r="DG105" s="21">
        <f>EXP(-LN(2)/25)*DG104+(1-EXP(-LN(2)/25))/(LN(2)/25)*Calculateur!DB105*Calculateur!DD105*VLOOKUP('Données projet'!$B$13,Paramètres!$A$1:$I$89,3,0)*0.475*44/12</f>
        <v>1.8813425331918707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9.9754302325570414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3.3000000000000003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12.100000000000001</v>
      </c>
      <c r="H106" s="67">
        <f t="shared" si="56"/>
        <v>208.26666666666665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414.37917672189968</v>
      </c>
      <c r="T106" s="59">
        <f t="shared" si="88"/>
        <v>546.83385887302961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113.88904175896486</v>
      </c>
      <c r="AA106" s="21">
        <f>EXP(-LN(2)/25)*AA105+(1-EXP(-LN(2)/25))/(LN(2)/25)*Calculateur!V106*Calculateur!X106*VLOOKUP('Données projet'!$B$9,Paramètres!$A$1:$I$89,3,0)*0.475*44/12</f>
        <v>16.535349010999372</v>
      </c>
      <c r="AB106" s="21">
        <f>EXP(-LN(2)/2)*AB105+(1-EXP(-LN(2)/2))/(LN(2)/2)*V106*Y106*VLOOKUP('Données projet'!$B$9,Paramètres!$A$1:$I$89,3,0)*0.475*44/12</f>
        <v>1.7374403883075558E-6</v>
      </c>
      <c r="AC106" s="22">
        <f t="shared" si="57"/>
        <v>130.42439250740463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7.0940586738288402E-14</v>
      </c>
      <c r="AK106" s="13">
        <f t="shared" si="89"/>
        <v>1.1091816830583241E-12</v>
      </c>
      <c r="AL106" s="20">
        <f t="shared" si="58"/>
        <v>2.0553796198957668E-12</v>
      </c>
      <c r="AM106" s="59">
        <f t="shared" si="59"/>
        <v>283.35772082697878</v>
      </c>
      <c r="AN106" s="59">
        <f ca="1">AVERAGE(OFFSET($AM$3,0,0,'Données projet'!$E$10+1,1))-AVERAGE(OFFSET($H$3,0,0,'Données projet'!$E$10+1,1))</f>
        <v>296.20984079604017</v>
      </c>
      <c r="AO106" s="59">
        <f t="shared" si="90"/>
        <v>351.8406329895206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85.764511590412397</v>
      </c>
      <c r="AV106" s="21">
        <f>EXP(-LN(2)/25)*AV105+(1-EXP(-LN(2)/25))/(LN(2)/25)*Calculateur!AQ106*Calculateur!AS106*VLOOKUP('Données projet'!$B$10,Paramètres!$A$1:$I$89,3,0)*0.475*44/12</f>
        <v>13.210039825832713</v>
      </c>
      <c r="AW106" s="21">
        <f>EXP(-LN(2)/2)*AW105+(1-EXP(-LN(2)/2))/(LN(2)/2)*AQ106*AT106*VLOOKUP('Données projet'!$B$10,Paramètres!$A$1:$I$89,3,0)*0.475*44/12</f>
        <v>8.1918005374230961E-6</v>
      </c>
      <c r="AX106" s="21">
        <f t="shared" si="60"/>
        <v>98.974559608045638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-1.9863364286720756E-13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385.40047672167555</v>
      </c>
      <c r="BJ106" s="59">
        <f t="shared" si="92"/>
        <v>286.49293757741611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138.9823890502164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138.9823890502164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-5.1431925385259088E-14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397.12030701006762</v>
      </c>
      <c r="CE106" s="59">
        <f t="shared" si="94"/>
        <v>476.47513516380047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33.543377889291513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33.543377889291513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110.43805901666033</v>
      </c>
      <c r="CZ106" s="59">
        <f t="shared" si="96"/>
        <v>319.51880962151881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7.9353675764866365</v>
      </c>
      <c r="DG106" s="21">
        <f>EXP(-LN(2)/25)*DG105+(1-EXP(-LN(2)/25))/(LN(2)/25)*Calculateur!DB106*Calculateur!DD106*VLOOKUP('Données projet'!$B$13,Paramètres!$A$1:$I$89,3,0)*0.475*44/12</f>
        <v>1.8298971226862351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9.7652646991728709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3.3000000000000003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12.100000000000001</v>
      </c>
      <c r="H107" s="67">
        <f t="shared" si="56"/>
        <v>208.26666666666665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414.37917672189968</v>
      </c>
      <c r="T107" s="59">
        <f t="shared" si="88"/>
        <v>546.83385887302961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111.65574711552789</v>
      </c>
      <c r="AA107" s="21">
        <f>EXP(-LN(2)/25)*AA106+(1-EXP(-LN(2)/25))/(LN(2)/25)*Calculateur!V107*Calculateur!X107*VLOOKUP('Données projet'!$B$9,Paramètres!$A$1:$I$89,3,0)*0.475*44/12</f>
        <v>16.083189022737383</v>
      </c>
      <c r="AB107" s="21">
        <f>EXP(-LN(2)/2)*AB106+(1-EXP(-LN(2)/2))/(LN(2)/2)*V107*Y107*VLOOKUP('Données projet'!$B$9,Paramètres!$A$1:$I$89,3,0)*0.475*44/12</f>
        <v>1.228555880479661E-6</v>
      </c>
      <c r="AC107" s="22">
        <f t="shared" si="57"/>
        <v>127.73893736682115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7.0940586738288402E-14</v>
      </c>
      <c r="AK107" s="13">
        <f t="shared" si="89"/>
        <v>1.1091816830583241E-12</v>
      </c>
      <c r="AL107" s="20">
        <f t="shared" si="58"/>
        <v>2.0553796198957668E-12</v>
      </c>
      <c r="AM107" s="59">
        <f t="shared" si="59"/>
        <v>283.53077540183563</v>
      </c>
      <c r="AN107" s="59">
        <f ca="1">AVERAGE(OFFSET($AM$3,0,0,'Données projet'!$E$10+1,1))-AVERAGE(OFFSET($H$3,0,0,'Données projet'!$E$10+1,1))</f>
        <v>296.20984079604017</v>
      </c>
      <c r="AO107" s="59">
        <f t="shared" si="90"/>
        <v>351.8406329895206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84.082721829311183</v>
      </c>
      <c r="AV107" s="21">
        <f>EXP(-LN(2)/25)*AV106+(1-EXP(-LN(2)/25))/(LN(2)/25)*Calculateur!AQ107*Calculateur!AS107*VLOOKUP('Données projet'!$B$10,Paramètres!$A$1:$I$89,3,0)*0.475*44/12</f>
        <v>12.848810592109514</v>
      </c>
      <c r="AW107" s="21">
        <f>EXP(-LN(2)/2)*AW106+(1-EXP(-LN(2)/2))/(LN(2)/2)*AQ107*AT107*VLOOKUP('Données projet'!$B$10,Paramètres!$A$1:$I$89,3,0)*0.475*44/12</f>
        <v>5.7924777101394757E-6</v>
      </c>
      <c r="AX107" s="21">
        <f t="shared" si="60"/>
        <v>96.931538213898406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-1.9863364286720756E-13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385.40047672167555</v>
      </c>
      <c r="BJ107" s="59">
        <f t="shared" si="92"/>
        <v>286.49293757741611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136.25702917182855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136.25702917182855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-5.1431925385259088E-14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397.12030701006762</v>
      </c>
      <c r="CE107" s="59">
        <f t="shared" si="94"/>
        <v>476.47513516380047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32.885612708322817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32.885612708322817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110.43805901666033</v>
      </c>
      <c r="CZ107" s="59">
        <f t="shared" si="96"/>
        <v>319.51880962151881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7.7797598584080356</v>
      </c>
      <c r="DG107" s="21">
        <f>EXP(-LN(2)/25)*DG106+(1-EXP(-LN(2)/25))/(LN(2)/25)*Calculateur!DB107*Calculateur!DD107*VLOOKUP('Données projet'!$B$13,Paramètres!$A$1:$I$89,3,0)*0.475*44/12</f>
        <v>1.7798584896362726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9.5596183480443084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3.3000000000000003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12.100000000000001</v>
      </c>
      <c r="H108" s="67">
        <f t="shared" si="56"/>
        <v>208.26666666666665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414.37917672189968</v>
      </c>
      <c r="T108" s="59">
        <f t="shared" si="88"/>
        <v>546.83385887302961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109.46624601787349</v>
      </c>
      <c r="AA108" s="21">
        <f>EXP(-LN(2)/25)*AA107+(1-EXP(-LN(2)/25))/(LN(2)/25)*Calculateur!V108*Calculateur!X108*VLOOKUP('Données projet'!$B$9,Paramètres!$A$1:$I$89,3,0)*0.475*44/12</f>
        <v>15.643393373132477</v>
      </c>
      <c r="AB108" s="21">
        <f>EXP(-LN(2)/2)*AB107+(1-EXP(-LN(2)/2))/(LN(2)/2)*V108*Y108*VLOOKUP('Données projet'!$B$9,Paramètres!$A$1:$I$89,3,0)*0.475*44/12</f>
        <v>8.6872019415377791E-7</v>
      </c>
      <c r="AC108" s="22">
        <f t="shared" si="57"/>
        <v>125.10964025972616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7.0940586738288402E-14</v>
      </c>
      <c r="AK108" s="13">
        <f t="shared" si="89"/>
        <v>1.1091816830583241E-12</v>
      </c>
      <c r="AL108" s="20">
        <f t="shared" si="58"/>
        <v>2.0553796198957668E-12</v>
      </c>
      <c r="AM108" s="59">
        <f t="shared" si="59"/>
        <v>283.70082786671077</v>
      </c>
      <c r="AN108" s="59">
        <f ca="1">AVERAGE(OFFSET($AM$3,0,0,'Données projet'!$E$10+1,1))-AVERAGE(OFFSET($H$3,0,0,'Données projet'!$E$10+1,1))</f>
        <v>296.20984079604017</v>
      </c>
      <c r="AO108" s="59">
        <f t="shared" si="90"/>
        <v>351.8406329895206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82.4339109396347</v>
      </c>
      <c r="AV108" s="21">
        <f>EXP(-LN(2)/25)*AV107+(1-EXP(-LN(2)/25))/(LN(2)/25)*Calculateur!AQ108*Calculateur!AS108*VLOOKUP('Données projet'!$B$10,Paramètres!$A$1:$I$89,3,0)*0.475*44/12</f>
        <v>12.497459190778697</v>
      </c>
      <c r="AW108" s="21">
        <f>EXP(-LN(2)/2)*AW107+(1-EXP(-LN(2)/2))/(LN(2)/2)*AQ108*AT108*VLOOKUP('Données projet'!$B$10,Paramètres!$A$1:$I$89,3,0)*0.475*44/12</f>
        <v>4.0959002687115481E-6</v>
      </c>
      <c r="AX108" s="21">
        <f t="shared" si="60"/>
        <v>94.931374226313665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-1.9863364286720756E-13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385.40047672167555</v>
      </c>
      <c r="BJ108" s="59">
        <f t="shared" si="92"/>
        <v>286.49293757741611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133.58511193835051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133.58511193835051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-5.1431925385259088E-14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397.12030701006762</v>
      </c>
      <c r="CE108" s="59">
        <f t="shared" si="94"/>
        <v>476.47513516380047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32.240745901355773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32.240745901355773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110.43805901666033</v>
      </c>
      <c r="CZ108" s="59">
        <f t="shared" si="96"/>
        <v>319.51880962151881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7.6272035127696194</v>
      </c>
      <c r="DG108" s="21">
        <f>EXP(-LN(2)/25)*DG107+(1-EXP(-LN(2)/25))/(LN(2)/25)*Calculateur!DB108*Calculateur!DD108*VLOOKUP('Données projet'!$B$13,Paramètres!$A$1:$I$89,3,0)*0.475*44/12</f>
        <v>1.7311881656384787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9.3583916784080987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3.3000000000000003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12.100000000000001</v>
      </c>
      <c r="H109" s="67">
        <f t="shared" si="56"/>
        <v>208.26666666666665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414.37917672189968</v>
      </c>
      <c r="T109" s="59">
        <f t="shared" si="88"/>
        <v>546.83385887302961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107.31967970128028</v>
      </c>
      <c r="AA109" s="21">
        <f>EXP(-LN(2)/25)*AA108+(1-EXP(-LN(2)/25))/(LN(2)/25)*Calculateur!V109*Calculateur!X109*VLOOKUP('Données projet'!$B$9,Paramètres!$A$1:$I$89,3,0)*0.475*44/12</f>
        <v>15.215623958693866</v>
      </c>
      <c r="AB109" s="21">
        <f>EXP(-LN(2)/2)*AB108+(1-EXP(-LN(2)/2))/(LN(2)/2)*V109*Y109*VLOOKUP('Données projet'!$B$9,Paramètres!$A$1:$I$89,3,0)*0.475*44/12</f>
        <v>6.1427794023983051E-7</v>
      </c>
      <c r="AC109" s="22">
        <f t="shared" si="57"/>
        <v>122.53530427425208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7.0940586738288402E-14</v>
      </c>
      <c r="AK109" s="13">
        <f t="shared" si="89"/>
        <v>1.1091816830583241E-12</v>
      </c>
      <c r="AL109" s="20">
        <f t="shared" si="58"/>
        <v>2.0553796198957668E-12</v>
      </c>
      <c r="AM109" s="59">
        <f t="shared" si="59"/>
        <v>283.86793030150062</v>
      </c>
      <c r="AN109" s="59">
        <f ca="1">AVERAGE(OFFSET($AM$3,0,0,'Données projet'!$E$10+1,1))-AVERAGE(OFFSET($H$3,0,0,'Données projet'!$E$10+1,1))</f>
        <v>296.20984079604017</v>
      </c>
      <c r="AO109" s="59">
        <f t="shared" si="90"/>
        <v>351.8406329895206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80.817432225829421</v>
      </c>
      <c r="AV109" s="21">
        <f>EXP(-LN(2)/25)*AV108+(1-EXP(-LN(2)/25))/(LN(2)/25)*Calculateur!AQ109*Calculateur!AS109*VLOOKUP('Données projet'!$B$10,Paramètres!$A$1:$I$89,3,0)*0.475*44/12</f>
        <v>12.155715511994037</v>
      </c>
      <c r="AW109" s="21">
        <f>EXP(-LN(2)/2)*AW108+(1-EXP(-LN(2)/2))/(LN(2)/2)*AQ109*AT109*VLOOKUP('Données projet'!$B$10,Paramètres!$A$1:$I$89,3,0)*0.475*44/12</f>
        <v>2.8962388550697378E-6</v>
      </c>
      <c r="AX109" s="21">
        <f t="shared" si="60"/>
        <v>92.973150634062307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-1.9863364286720756E-13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385.40047672167555</v>
      </c>
      <c r="BJ109" s="59">
        <f t="shared" si="92"/>
        <v>286.49293757741611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130.96558937211236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130.96558937211236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-5.1431925385259088E-14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397.12030701006762</v>
      </c>
      <c r="CE109" s="59">
        <f t="shared" si="94"/>
        <v>476.47513516380047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31.608524539143438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31.608524539143438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110.43805901666033</v>
      </c>
      <c r="CZ109" s="59">
        <f t="shared" si="96"/>
        <v>319.51880962151881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7.4776387040189896</v>
      </c>
      <c r="DG109" s="21">
        <f>EXP(-LN(2)/25)*DG108+(1-EXP(-LN(2)/25))/(LN(2)/25)*Calculateur!DB109*Calculateur!DD109*VLOOKUP('Données projet'!$B$13,Paramètres!$A$1:$I$89,3,0)*0.475*44/12</f>
        <v>1.6838487342098656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9.1614874382288551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3.3000000000000003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12.100000000000001</v>
      </c>
      <c r="H110" s="67">
        <f t="shared" si="56"/>
        <v>208.26666666666665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414.37917672189968</v>
      </c>
      <c r="T110" s="59">
        <f t="shared" si="88"/>
        <v>546.83385887302961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105.2152062408793</v>
      </c>
      <c r="AA110" s="21">
        <f>EXP(-LN(2)/25)*AA109+(1-EXP(-LN(2)/25))/(LN(2)/25)*Calculateur!V110*Calculateur!X110*VLOOKUP('Données projet'!$B$9,Paramètres!$A$1:$I$89,3,0)*0.475*44/12</f>
        <v>14.799551921388494</v>
      </c>
      <c r="AB110" s="21">
        <f>EXP(-LN(2)/2)*AB109+(1-EXP(-LN(2)/2))/(LN(2)/2)*V110*Y110*VLOOKUP('Données projet'!$B$9,Paramètres!$A$1:$I$89,3,0)*0.475*44/12</f>
        <v>4.3436009707688895E-7</v>
      </c>
      <c r="AC110" s="22">
        <f t="shared" si="57"/>
        <v>120.0147585966279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7.0940586738288402E-14</v>
      </c>
      <c r="AK110" s="13">
        <f t="shared" si="89"/>
        <v>1.1091816830583241E-12</v>
      </c>
      <c r="AL110" s="20">
        <f t="shared" si="58"/>
        <v>2.0553796198957668E-12</v>
      </c>
      <c r="AM110" s="59">
        <f t="shared" si="59"/>
        <v>284.03213388263202</v>
      </c>
      <c r="AN110" s="59">
        <f ca="1">AVERAGE(OFFSET($AM$3,0,0,'Données projet'!$E$10+1,1))-AVERAGE(OFFSET($H$3,0,0,'Données projet'!$E$10+1,1))</f>
        <v>296.20984079604017</v>
      </c>
      <c r="AO110" s="59">
        <f t="shared" si="90"/>
        <v>351.8406329895206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79.232651673647212</v>
      </c>
      <c r="AV110" s="21">
        <f>EXP(-LN(2)/25)*AV109+(1-EXP(-LN(2)/25))/(LN(2)/25)*Calculateur!AQ110*Calculateur!AS110*VLOOKUP('Données projet'!$B$10,Paramètres!$A$1:$I$89,3,0)*0.475*44/12</f>
        <v>11.823316832077264</v>
      </c>
      <c r="AW110" s="21">
        <f>EXP(-LN(2)/2)*AW109+(1-EXP(-LN(2)/2))/(LN(2)/2)*AQ110*AT110*VLOOKUP('Données projet'!$B$10,Paramètres!$A$1:$I$89,3,0)*0.475*44/12</f>
        <v>2.047950134355774E-6</v>
      </c>
      <c r="AX110" s="21">
        <f t="shared" si="60"/>
        <v>91.055970553674612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-1.9863364286720756E-13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385.40047672167555</v>
      </c>
      <c r="BJ110" s="59">
        <f t="shared" si="92"/>
        <v>286.49293757741611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128.39743404564715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128.39743404564715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-5.1431925385259088E-14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397.12030701006762</v>
      </c>
      <c r="CE110" s="59">
        <f t="shared" si="94"/>
        <v>476.47513516380047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30.988700652227131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30.988700652227131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110.43805901666033</v>
      </c>
      <c r="CZ110" s="59">
        <f t="shared" si="96"/>
        <v>319.51880962151881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7.3310067699424346</v>
      </c>
      <c r="DG110" s="21">
        <f>EXP(-LN(2)/25)*DG109+(1-EXP(-LN(2)/25))/(LN(2)/25)*Calculateur!DB110*Calculateur!DD110*VLOOKUP('Données projet'!$B$13,Paramètres!$A$1:$I$89,3,0)*0.475*44/12</f>
        <v>1.6378038020231405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8.9688105719655749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3.3000000000000003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12.100000000000001</v>
      </c>
      <c r="H111" s="67">
        <f t="shared" si="56"/>
        <v>208.26666666666665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414.37917672189968</v>
      </c>
      <c r="T111" s="59">
        <f t="shared" si="88"/>
        <v>546.83385887302961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103.15200022143472</v>
      </c>
      <c r="AA111" s="21">
        <f>EXP(-LN(2)/25)*AA110+(1-EXP(-LN(2)/25))/(LN(2)/25)*Calculateur!V111*Calculateur!X111*VLOOKUP('Données projet'!$B$9,Paramètres!$A$1:$I$89,3,0)*0.475*44/12</f>
        <v>14.394857395823514</v>
      </c>
      <c r="AB111" s="21">
        <f>EXP(-LN(2)/2)*AB110+(1-EXP(-LN(2)/2))/(LN(2)/2)*V111*Y111*VLOOKUP('Données projet'!$B$9,Paramètres!$A$1:$I$89,3,0)*0.475*44/12</f>
        <v>3.0713897011991525E-7</v>
      </c>
      <c r="AC111" s="22">
        <f t="shared" si="57"/>
        <v>117.54685792439722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7.0940586738288402E-14</v>
      </c>
      <c r="AK111" s="13">
        <f t="shared" si="89"/>
        <v>1.1091816830583241E-12</v>
      </c>
      <c r="AL111" s="20">
        <f t="shared" si="58"/>
        <v>2.0553796198957668E-12</v>
      </c>
      <c r="AM111" s="59">
        <f t="shared" si="59"/>
        <v>284.19348889873498</v>
      </c>
      <c r="AN111" s="59">
        <f ca="1">AVERAGE(OFFSET($AM$3,0,0,'Données projet'!$E$10+1,1))-AVERAGE(OFFSET($H$3,0,0,'Données projet'!$E$10+1,1))</f>
        <v>296.20984079604017</v>
      </c>
      <c r="AO111" s="59">
        <f t="shared" si="90"/>
        <v>351.8406329895206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77.678947701472595</v>
      </c>
      <c r="AV111" s="21">
        <f>EXP(-LN(2)/25)*AV110+(1-EXP(-LN(2)/25))/(LN(2)/25)*Calculateur!AQ111*Calculateur!AS111*VLOOKUP('Données projet'!$B$10,Paramètres!$A$1:$I$89,3,0)*0.475*44/12</f>
        <v>11.500007611542902</v>
      </c>
      <c r="AW111" s="21">
        <f>EXP(-LN(2)/2)*AW110+(1-EXP(-LN(2)/2))/(LN(2)/2)*AQ111*AT111*VLOOKUP('Données projet'!$B$10,Paramètres!$A$1:$I$89,3,0)*0.475*44/12</f>
        <v>1.4481194275348689E-6</v>
      </c>
      <c r="AX111" s="21">
        <f t="shared" si="60"/>
        <v>89.178956761134927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-1.9863364286720756E-13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385.40047672167555</v>
      </c>
      <c r="BJ111" s="59">
        <f t="shared" si="92"/>
        <v>286.49293757741611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125.87963867871383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125.87963867871383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-5.1431925385259088E-14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397.12030701006762</v>
      </c>
      <c r="CE111" s="59">
        <f t="shared" si="94"/>
        <v>476.47513516380047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30.381031133678011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30.381031133678011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110.43805901666033</v>
      </c>
      <c r="CZ111" s="59">
        <f t="shared" si="96"/>
        <v>319.51880962151881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7.1872501986564723</v>
      </c>
      <c r="DG111" s="21">
        <f>EXP(-LN(2)/25)*DG110+(1-EXP(-LN(2)/25))/(LN(2)/25)*Calculateur!DB111*Calculateur!DD111*VLOOKUP('Données projet'!$B$13,Paramètres!$A$1:$I$89,3,0)*0.475*44/12</f>
        <v>1.5930179709284591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8.7802681695849323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3.3000000000000003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12.100000000000001</v>
      </c>
      <c r="H112" s="67">
        <f t="shared" si="56"/>
        <v>208.26666666666665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414.37917672189968</v>
      </c>
      <c r="T112" s="59">
        <f t="shared" si="88"/>
        <v>546.83385887302961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101.12925241360003</v>
      </c>
      <c r="AA112" s="21">
        <f>EXP(-LN(2)/25)*AA111+(1-EXP(-LN(2)/25))/(LN(2)/25)*Calculateur!V112*Calculateur!X112*VLOOKUP('Données projet'!$B$9,Paramètres!$A$1:$I$89,3,0)*0.475*44/12</f>
        <v>14.00122926334207</v>
      </c>
      <c r="AB112" s="21">
        <f>EXP(-LN(2)/2)*AB111+(1-EXP(-LN(2)/2))/(LN(2)/2)*V112*Y112*VLOOKUP('Données projet'!$B$9,Paramètres!$A$1:$I$89,3,0)*0.475*44/12</f>
        <v>2.1718004853844448E-7</v>
      </c>
      <c r="AC112" s="22">
        <f t="shared" si="57"/>
        <v>115.13048189412214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7.0940586738288402E-14</v>
      </c>
      <c r="AK112" s="13">
        <f t="shared" si="89"/>
        <v>1.1091816830583241E-12</v>
      </c>
      <c r="AL112" s="20">
        <f t="shared" si="58"/>
        <v>2.0553796198957668E-12</v>
      </c>
      <c r="AM112" s="59">
        <f t="shared" si="59"/>
        <v>284.35204476604429</v>
      </c>
      <c r="AN112" s="59">
        <f ca="1">AVERAGE(OFFSET($AM$3,0,0,'Données projet'!$E$10+1,1))-AVERAGE(OFFSET($H$3,0,0,'Données projet'!$E$10+1,1))</f>
        <v>296.20984079604017</v>
      </c>
      <c r="AO112" s="59">
        <f t="shared" si="90"/>
        <v>351.8406329895206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76.155710916526473</v>
      </c>
      <c r="AV112" s="21">
        <f>EXP(-LN(2)/25)*AV111+(1-EXP(-LN(2)/25))/(LN(2)/25)*Calculateur!AQ112*Calculateur!AS112*VLOOKUP('Données projet'!$B$10,Paramètres!$A$1:$I$89,3,0)*0.475*44/12</f>
        <v>11.185539298646145</v>
      </c>
      <c r="AW112" s="21">
        <f>EXP(-LN(2)/2)*AW111+(1-EXP(-LN(2)/2))/(LN(2)/2)*AQ112*AT112*VLOOKUP('Données projet'!$B$10,Paramètres!$A$1:$I$89,3,0)*0.475*44/12</f>
        <v>1.023975067177887E-6</v>
      </c>
      <c r="AX112" s="21">
        <f t="shared" si="60"/>
        <v>87.341251239147695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-1.9863364286720756E-13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385.40047672167555</v>
      </c>
      <c r="BJ112" s="59">
        <f t="shared" si="92"/>
        <v>286.49293757741611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123.41121574322256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123.41121574322256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-5.1431925385259088E-14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397.12030701006762</v>
      </c>
      <c r="CE112" s="59">
        <f t="shared" si="94"/>
        <v>476.47513516380047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29.785277643745832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29.785277643745832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110.43805901666033</v>
      </c>
      <c r="CZ112" s="59">
        <f t="shared" si="96"/>
        <v>319.51880962151881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7.0463126060505772</v>
      </c>
      <c r="DG112" s="21">
        <f>EXP(-LN(2)/25)*DG111+(1-EXP(-LN(2)/25))/(LN(2)/25)*Calculateur!DB112*Calculateur!DD112*VLOOKUP('Données projet'!$B$13,Paramètres!$A$1:$I$89,3,0)*0.475*44/12</f>
        <v>1.5494568107402462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8.595769416790823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3.3000000000000003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12.100000000000001</v>
      </c>
      <c r="H113" s="67">
        <f t="shared" si="56"/>
        <v>208.26666666666665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414.37917672189968</v>
      </c>
      <c r="T113" s="59">
        <f t="shared" si="88"/>
        <v>546.83385887302961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99.146169456522642</v>
      </c>
      <c r="AA113" s="21">
        <f>EXP(-LN(2)/25)*AA112+(1-EXP(-LN(2)/25))/(LN(2)/25)*Calculateur!V113*Calculateur!X113*VLOOKUP('Données projet'!$B$9,Paramètres!$A$1:$I$89,3,0)*0.475*44/12</f>
        <v>13.618364912843335</v>
      </c>
      <c r="AB113" s="21">
        <f>EXP(-LN(2)/2)*AB112+(1-EXP(-LN(2)/2))/(LN(2)/2)*V113*Y113*VLOOKUP('Données projet'!$B$9,Paramètres!$A$1:$I$89,3,0)*0.475*44/12</f>
        <v>1.5356948505995763E-7</v>
      </c>
      <c r="AC113" s="22">
        <f t="shared" si="57"/>
        <v>112.76453452293546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7.0940586738288402E-14</v>
      </c>
      <c r="AK113" s="13">
        <f t="shared" si="89"/>
        <v>1.1091816830583241E-12</v>
      </c>
      <c r="AL113" s="20">
        <f t="shared" si="58"/>
        <v>2.0553796198957668E-12</v>
      </c>
      <c r="AM113" s="59">
        <f t="shared" si="59"/>
        <v>284.50785004353367</v>
      </c>
      <c r="AN113" s="59">
        <f ca="1">AVERAGE(OFFSET($AM$3,0,0,'Données projet'!$E$10+1,1))-AVERAGE(OFFSET($H$3,0,0,'Données projet'!$E$10+1,1))</f>
        <v>296.20984079604017</v>
      </c>
      <c r="AO113" s="59">
        <f t="shared" si="90"/>
        <v>351.8406329895206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74.662343875850453</v>
      </c>
      <c r="AV113" s="21">
        <f>EXP(-LN(2)/25)*AV112+(1-EXP(-LN(2)/25))/(LN(2)/25)*Calculateur!AQ113*Calculateur!AS113*VLOOKUP('Données projet'!$B$10,Paramètres!$A$1:$I$89,3,0)*0.475*44/12</f>
        <v>10.879670138302719</v>
      </c>
      <c r="AW113" s="21">
        <f>EXP(-LN(2)/2)*AW112+(1-EXP(-LN(2)/2))/(LN(2)/2)*AQ113*AT113*VLOOKUP('Données projet'!$B$10,Paramètres!$A$1:$I$89,3,0)*0.475*44/12</f>
        <v>7.2405971376743446E-7</v>
      </c>
      <c r="AX113" s="21">
        <f t="shared" si="60"/>
        <v>85.542014738212885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-1.9863364286720756E-13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385.40047672167555</v>
      </c>
      <c r="BJ113" s="59">
        <f t="shared" si="92"/>
        <v>286.49293757741611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120.99119707590694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120.99119707590694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-5.1431925385259088E-14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397.12030701006762</v>
      </c>
      <c r="CE113" s="59">
        <f t="shared" si="94"/>
        <v>476.47513516380047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29.201206516377475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29.201206516377475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110.43805901666033</v>
      </c>
      <c r="CZ113" s="59">
        <f t="shared" si="96"/>
        <v>319.51880962151881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6.9081387136722396</v>
      </c>
      <c r="DG113" s="21">
        <f>EXP(-LN(2)/25)*DG112+(1-EXP(-LN(2)/25))/(LN(2)/25)*Calculateur!DB113*Calculateur!DD113*VLOOKUP('Données projet'!$B$13,Paramètres!$A$1:$I$89,3,0)*0.475*44/12</f>
        <v>1.5070868327681619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8.4152255464404018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3.3000000000000003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12.100000000000001</v>
      </c>
      <c r="H114" s="67">
        <f t="shared" si="56"/>
        <v>208.26666666666665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414.37917672189968</v>
      </c>
      <c r="T114" s="59">
        <f t="shared" si="88"/>
        <v>546.83385887302961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97.201973546672363</v>
      </c>
      <c r="AA114" s="21">
        <f>EXP(-LN(2)/25)*AA113+(1-EXP(-LN(2)/25))/(LN(2)/25)*Calculateur!V114*Calculateur!X114*VLOOKUP('Données projet'!$B$9,Paramètres!$A$1:$I$89,3,0)*0.475*44/12</f>
        <v>13.245970008142947</v>
      </c>
      <c r="AB114" s="21">
        <f>EXP(-LN(2)/2)*AB113+(1-EXP(-LN(2)/2))/(LN(2)/2)*V114*Y114*VLOOKUP('Données projet'!$B$9,Paramètres!$A$1:$I$89,3,0)*0.475*44/12</f>
        <v>1.0859002426922224E-7</v>
      </c>
      <c r="AC114" s="22">
        <f t="shared" si="57"/>
        <v>110.44794366340534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7.0940586738288402E-14</v>
      </c>
      <c r="AK114" s="13">
        <f t="shared" si="89"/>
        <v>1.1091816830583241E-12</v>
      </c>
      <c r="AL114" s="20">
        <f t="shared" si="58"/>
        <v>2.0553796198957668E-12</v>
      </c>
      <c r="AM114" s="59">
        <f t="shared" si="59"/>
        <v>284.660952447787</v>
      </c>
      <c r="AN114" s="59">
        <f ca="1">AVERAGE(OFFSET($AM$3,0,0,'Données projet'!$E$10+1,1))-AVERAGE(OFFSET($H$3,0,0,'Données projet'!$E$10+1,1))</f>
        <v>296.20984079604017</v>
      </c>
      <c r="AO114" s="59">
        <f t="shared" si="90"/>
        <v>351.8406329895206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73.198260851978134</v>
      </c>
      <c r="AV114" s="21">
        <f>EXP(-LN(2)/25)*AV113+(1-EXP(-LN(2)/25))/(LN(2)/25)*Calculateur!AQ114*Calculateur!AS114*VLOOKUP('Données projet'!$B$10,Paramètres!$A$1:$I$89,3,0)*0.475*44/12</f>
        <v>10.582164986233845</v>
      </c>
      <c r="AW114" s="21">
        <f>EXP(-LN(2)/2)*AW113+(1-EXP(-LN(2)/2))/(LN(2)/2)*AQ114*AT114*VLOOKUP('Données projet'!$B$10,Paramètres!$A$1:$I$89,3,0)*0.475*44/12</f>
        <v>5.1198753358894351E-7</v>
      </c>
      <c r="AX114" s="21">
        <f t="shared" si="60"/>
        <v>83.780426350199519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-1.9863364286720756E-13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385.40047672167555</v>
      </c>
      <c r="BJ114" s="59">
        <f t="shared" si="92"/>
        <v>286.49293757741611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118.61863349859173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118.61863349859173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-5.1431925385259088E-14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397.12030701006762</v>
      </c>
      <c r="CE114" s="59">
        <f t="shared" si="94"/>
        <v>476.47513516380047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28.6285886675686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28.6285886675686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110.43805901666033</v>
      </c>
      <c r="CZ114" s="59">
        <f t="shared" si="96"/>
        <v>319.51880962151881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6.7726743270456886</v>
      </c>
      <c r="DG114" s="21">
        <f>EXP(-LN(2)/25)*DG113+(1-EXP(-LN(2)/25))/(LN(2)/25)*Calculateur!DB114*Calculateur!DD114*VLOOKUP('Données projet'!$B$13,Paramètres!$A$1:$I$89,3,0)*0.475*44/12</f>
        <v>1.4658754640718645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8.2385497911175527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3.3000000000000003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12.100000000000001</v>
      </c>
      <c r="H115" s="67">
        <f t="shared" si="56"/>
        <v>208.26666666666665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414.37917672189968</v>
      </c>
      <c r="T115" s="59">
        <f t="shared" si="88"/>
        <v>546.83385887302961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95.295902132771843</v>
      </c>
      <c r="AA115" s="21">
        <f>EXP(-LN(2)/25)*AA114+(1-EXP(-LN(2)/25))/(LN(2)/25)*Calculateur!V115*Calculateur!X115*VLOOKUP('Données projet'!$B$9,Paramètres!$A$1:$I$89,3,0)*0.475*44/12</f>
        <v>12.883758261694989</v>
      </c>
      <c r="AB115" s="21">
        <f>EXP(-LN(2)/2)*AB114+(1-EXP(-LN(2)/2))/(LN(2)/2)*V115*Y115*VLOOKUP('Données projet'!$B$9,Paramètres!$A$1:$I$89,3,0)*0.475*44/12</f>
        <v>7.6784742529978813E-8</v>
      </c>
      <c r="AC115" s="22">
        <f t="shared" si="57"/>
        <v>108.17966047125158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7.0940586738288402E-14</v>
      </c>
      <c r="AK115" s="13">
        <f t="shared" si="89"/>
        <v>1.1091816830583241E-12</v>
      </c>
      <c r="AL115" s="20">
        <f t="shared" si="58"/>
        <v>2.0553796198957668E-12</v>
      </c>
      <c r="AM115" s="59">
        <f t="shared" si="59"/>
        <v>284.81139886761213</v>
      </c>
      <c r="AN115" s="59">
        <f ca="1">AVERAGE(OFFSET($AM$3,0,0,'Données projet'!$E$10+1,1))-AVERAGE(OFFSET($H$3,0,0,'Données projet'!$E$10+1,1))</f>
        <v>296.20984079604017</v>
      </c>
      <c r="AO115" s="59">
        <f t="shared" si="90"/>
        <v>351.8406329895206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71.762887603201477</v>
      </c>
      <c r="AV115" s="21">
        <f>EXP(-LN(2)/25)*AV114+(1-EXP(-LN(2)/25))/(LN(2)/25)*Calculateur!AQ115*Calculateur!AS115*VLOOKUP('Données projet'!$B$10,Paramètres!$A$1:$I$89,3,0)*0.475*44/12</f>
        <v>10.29279512819341</v>
      </c>
      <c r="AW115" s="21">
        <f>EXP(-LN(2)/2)*AW114+(1-EXP(-LN(2)/2))/(LN(2)/2)*AQ115*AT115*VLOOKUP('Données projet'!$B$10,Paramètres!$A$1:$I$89,3,0)*0.475*44/12</f>
        <v>3.6202985688371723E-7</v>
      </c>
      <c r="AX115" s="21">
        <f t="shared" si="60"/>
        <v>82.055683093424733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-1.9863364286720756E-13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385.40047672167555</v>
      </c>
      <c r="BJ115" s="59">
        <f t="shared" si="92"/>
        <v>286.49293757741611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116.29259444590679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116.29259444590679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-5.1431925385259088E-14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397.12030701006762</v>
      </c>
      <c r="CE115" s="59">
        <f t="shared" si="94"/>
        <v>476.47513516380047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28.067199505512466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28.067199505512466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110.43805901666033</v>
      </c>
      <c r="CZ115" s="59">
        <f t="shared" si="96"/>
        <v>319.51880962151881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6.6398663144157677</v>
      </c>
      <c r="DG115" s="21">
        <f>EXP(-LN(2)/25)*DG114+(1-EXP(-LN(2)/25))/(LN(2)/25)*Calculateur!DB115*Calculateur!DD115*VLOOKUP('Données projet'!$B$13,Paramètres!$A$1:$I$89,3,0)*0.475*44/12</f>
        <v>1.425791022419779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8.065657336835546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3.3000000000000003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12.100000000000001</v>
      </c>
      <c r="H116" s="67">
        <f t="shared" si="56"/>
        <v>208.26666666666665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414.37917672189968</v>
      </c>
      <c r="T116" s="59">
        <f t="shared" si="88"/>
        <v>546.83385887302961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93.42720761670914</v>
      </c>
      <c r="AA116" s="21">
        <f>EXP(-LN(2)/25)*AA115+(1-EXP(-LN(2)/25))/(LN(2)/25)*Calculateur!V116*Calculateur!X116*VLOOKUP('Données projet'!$B$9,Paramètres!$A$1:$I$89,3,0)*0.475*44/12</f>
        <v>12.531451214501539</v>
      </c>
      <c r="AB116" s="21">
        <f>EXP(-LN(2)/2)*AB115+(1-EXP(-LN(2)/2))/(LN(2)/2)*V116*Y116*VLOOKUP('Données projet'!$B$9,Paramètres!$A$1:$I$89,3,0)*0.475*44/12</f>
        <v>5.4295012134611119E-8</v>
      </c>
      <c r="AC116" s="22">
        <f t="shared" si="57"/>
        <v>105.9586588855057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7.0940586738288402E-14</v>
      </c>
      <c r="AK116" s="13">
        <f t="shared" si="89"/>
        <v>1.1091816830583241E-12</v>
      </c>
      <c r="AL116" s="20">
        <f t="shared" si="58"/>
        <v>2.0553796198957668E-12</v>
      </c>
      <c r="AM116" s="59">
        <f t="shared" si="59"/>
        <v>284.95923537840127</v>
      </c>
      <c r="AN116" s="59">
        <f ca="1">AVERAGE(OFFSET($AM$3,0,0,'Données projet'!$E$10+1,1))-AVERAGE(OFFSET($H$3,0,0,'Données projet'!$E$10+1,1))</f>
        <v>296.20984079604017</v>
      </c>
      <c r="AO116" s="59">
        <f t="shared" si="90"/>
        <v>351.8406329895206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70.355661148342108</v>
      </c>
      <c r="AV116" s="21">
        <f>EXP(-LN(2)/25)*AV115+(1-EXP(-LN(2)/25))/(LN(2)/25)*Calculateur!AQ116*Calculateur!AS116*VLOOKUP('Données projet'!$B$10,Paramètres!$A$1:$I$89,3,0)*0.475*44/12</f>
        <v>10.011338104138389</v>
      </c>
      <c r="AW116" s="21">
        <f>EXP(-LN(2)/2)*AW115+(1-EXP(-LN(2)/2))/(LN(2)/2)*AQ116*AT116*VLOOKUP('Données projet'!$B$10,Paramètres!$A$1:$I$89,3,0)*0.475*44/12</f>
        <v>2.5599376679447175E-7</v>
      </c>
      <c r="AX116" s="21">
        <f t="shared" si="60"/>
        <v>80.366999508474265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-1.9863364286720756E-13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385.40047672167555</v>
      </c>
      <c r="BJ116" s="59">
        <f t="shared" si="92"/>
        <v>286.49293757741611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114.01216760030127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114.01216760030127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-5.1431925385259088E-14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397.12030701006762</v>
      </c>
      <c r="CE116" s="59">
        <f t="shared" si="94"/>
        <v>476.47513516380047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27.516818842510673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27.516818842510673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110.43805901666033</v>
      </c>
      <c r="CZ116" s="59">
        <f t="shared" si="96"/>
        <v>319.51880962151881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6.5096625859086297</v>
      </c>
      <c r="DG116" s="21">
        <f>EXP(-LN(2)/25)*DG115+(1-EXP(-LN(2)/25))/(LN(2)/25)*Calculateur!DB116*Calculateur!DD116*VLOOKUP('Données projet'!$B$13,Paramètres!$A$1:$I$89,3,0)*0.475*44/12</f>
        <v>1.3868026919326188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7.8964652778412487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3.3000000000000003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12.100000000000001</v>
      </c>
      <c r="H117" s="67">
        <f t="shared" si="56"/>
        <v>208.26666666666665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414.37917672189968</v>
      </c>
      <c r="T117" s="59">
        <f t="shared" si="88"/>
        <v>546.83385887302961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91.595157060315316</v>
      </c>
      <c r="AA117" s="21">
        <f>EXP(-LN(2)/25)*AA116+(1-EXP(-LN(2)/25))/(LN(2)/25)*Calculateur!V117*Calculateur!X117*VLOOKUP('Données projet'!$B$9,Paramètres!$A$1:$I$89,3,0)*0.475*44/12</f>
        <v>12.188778022040616</v>
      </c>
      <c r="AB117" s="21">
        <f>EXP(-LN(2)/2)*AB116+(1-EXP(-LN(2)/2))/(LN(2)/2)*V117*Y117*VLOOKUP('Données projet'!$B$9,Paramètres!$A$1:$I$89,3,0)*0.475*44/12</f>
        <v>3.8392371264989407E-8</v>
      </c>
      <c r="AC117" s="22">
        <f t="shared" si="57"/>
        <v>103.7839351207483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7.0940586738288402E-14</v>
      </c>
      <c r="AK117" s="13">
        <f t="shared" si="89"/>
        <v>1.1091816830583241E-12</v>
      </c>
      <c r="AL117" s="20">
        <f t="shared" si="58"/>
        <v>2.0553796198957668E-12</v>
      </c>
      <c r="AM117" s="59">
        <f t="shared" si="59"/>
        <v>285.10450725624105</v>
      </c>
      <c r="AN117" s="59">
        <f ca="1">AVERAGE(OFFSET($AM$3,0,0,'Données projet'!$E$10+1,1))-AVERAGE(OFFSET($H$3,0,0,'Données projet'!$E$10+1,1))</f>
        <v>296.20984079604017</v>
      </c>
      <c r="AO117" s="59">
        <f t="shared" si="90"/>
        <v>351.8406329895206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68.976029545939141</v>
      </c>
      <c r="AV117" s="21">
        <f>EXP(-LN(2)/25)*AV116+(1-EXP(-LN(2)/25))/(LN(2)/25)*Calculateur!AQ117*Calculateur!AS117*VLOOKUP('Données projet'!$B$10,Paramètres!$A$1:$I$89,3,0)*0.475*44/12</f>
        <v>9.7375775372073345</v>
      </c>
      <c r="AW117" s="21">
        <f>EXP(-LN(2)/2)*AW116+(1-EXP(-LN(2)/2))/(LN(2)/2)*AQ117*AT117*VLOOKUP('Données projet'!$B$10,Paramètres!$A$1:$I$89,3,0)*0.475*44/12</f>
        <v>1.8101492844185861E-7</v>
      </c>
      <c r="AX117" s="21">
        <f t="shared" si="60"/>
        <v>78.713607264161396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-1.9863364286720756E-13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385.40047672167555</v>
      </c>
      <c r="BJ117" s="59">
        <f t="shared" si="92"/>
        <v>286.49293757741611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111.77645853421504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111.77645853421504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-5.1431925385259088E-14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397.12030701006762</v>
      </c>
      <c r="CE117" s="59">
        <f t="shared" si="94"/>
        <v>476.47513516380047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26.977230808611289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26.977230808611289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110.43805901666033</v>
      </c>
      <c r="CZ117" s="59">
        <f t="shared" si="96"/>
        <v>319.51880962151881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6.3820120731010848</v>
      </c>
      <c r="DG117" s="21">
        <f>EXP(-LN(2)/25)*DG116+(1-EXP(-LN(2)/25))/(LN(2)/25)*Calculateur!DB117*Calculateur!DD117*VLOOKUP('Données projet'!$B$13,Paramètres!$A$1:$I$89,3,0)*0.475*44/12</f>
        <v>1.3488804993929373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7.7308925724940218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3.3000000000000003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12.100000000000001</v>
      </c>
      <c r="H118" s="67">
        <f t="shared" si="56"/>
        <v>208.26666666666665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414.37917672189968</v>
      </c>
      <c r="T118" s="59">
        <f t="shared" si="88"/>
        <v>546.83385887302961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89.799031897891879</v>
      </c>
      <c r="AA118" s="21">
        <f>EXP(-LN(2)/25)*AA117+(1-EXP(-LN(2)/25))/(LN(2)/25)*Calculateur!V118*Calculateur!X118*VLOOKUP('Données projet'!$B$9,Paramètres!$A$1:$I$89,3,0)*0.475*44/12</f>
        <v>11.855475246047936</v>
      </c>
      <c r="AB118" s="21">
        <f>EXP(-LN(2)/2)*AB117+(1-EXP(-LN(2)/2))/(LN(2)/2)*V118*Y118*VLOOKUP('Données projet'!$B$9,Paramètres!$A$1:$I$89,3,0)*0.475*44/12</f>
        <v>2.714750606730556E-8</v>
      </c>
      <c r="AC118" s="22">
        <f t="shared" si="57"/>
        <v>101.65450717108732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7.0940586738288402E-14</v>
      </c>
      <c r="AK118" s="13">
        <f t="shared" si="89"/>
        <v>1.1091816830583241E-12</v>
      </c>
      <c r="AL118" s="20">
        <f t="shared" si="58"/>
        <v>2.0553796198957668E-12</v>
      </c>
      <c r="AM118" s="59">
        <f t="shared" si="59"/>
        <v>285.24725899177957</v>
      </c>
      <c r="AN118" s="59">
        <f ca="1">AVERAGE(OFFSET($AM$3,0,0,'Données projet'!$E$10+1,1))-AVERAGE(OFFSET($H$3,0,0,'Données projet'!$E$10+1,1))</f>
        <v>296.20984079604017</v>
      </c>
      <c r="AO118" s="59">
        <f t="shared" si="90"/>
        <v>351.8406329895206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67.623451677767108</v>
      </c>
      <c r="AV118" s="21">
        <f>EXP(-LN(2)/25)*AV117+(1-EXP(-LN(2)/25))/(LN(2)/25)*Calculateur!AQ118*Calculateur!AS118*VLOOKUP('Données projet'!$B$10,Paramètres!$A$1:$I$89,3,0)*0.475*44/12</f>
        <v>9.4713029673754523</v>
      </c>
      <c r="AW118" s="21">
        <f>EXP(-LN(2)/2)*AW117+(1-EXP(-LN(2)/2))/(LN(2)/2)*AQ118*AT118*VLOOKUP('Données projet'!$B$10,Paramètres!$A$1:$I$89,3,0)*0.475*44/12</f>
        <v>1.2799688339723588E-7</v>
      </c>
      <c r="AX118" s="21">
        <f t="shared" si="60"/>
        <v>77.094754773139442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-1.9863364286720756E-13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385.40047672167555</v>
      </c>
      <c r="BJ118" s="59">
        <f t="shared" si="92"/>
        <v>286.49293757741611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109.58459035926688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109.58459035926688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-5.1431925385259088E-14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397.12030701006762</v>
      </c>
      <c r="CE118" s="59">
        <f t="shared" si="94"/>
        <v>476.47513516380047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26.448223766940469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26.448223766940469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110.43805901666033</v>
      </c>
      <c r="CZ118" s="59">
        <f t="shared" si="96"/>
        <v>319.51880962151881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6.2568647089905705</v>
      </c>
      <c r="DG118" s="21">
        <f>EXP(-LN(2)/25)*DG117+(1-EXP(-LN(2)/25))/(LN(2)/25)*Calculateur!DB118*Calculateur!DD118*VLOOKUP('Données projet'!$B$13,Paramètres!$A$1:$I$89,3,0)*0.475*44/12</f>
        <v>1.3119952912024948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7.568860000193065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3.3000000000000003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12.100000000000001</v>
      </c>
      <c r="H119" s="67">
        <f t="shared" si="56"/>
        <v>208.26666666666665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414.37917672189968</v>
      </c>
      <c r="T119" s="59">
        <f t="shared" si="88"/>
        <v>546.83385887302961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88.038127654375387</v>
      </c>
      <c r="AA119" s="21">
        <f>EXP(-LN(2)/25)*AA118+(1-EXP(-LN(2)/25))/(LN(2)/25)*Calculateur!V119*Calculateur!X119*VLOOKUP('Données projet'!$B$9,Paramètres!$A$1:$I$89,3,0)*0.475*44/12</f>
        <v>11.531286651992408</v>
      </c>
      <c r="AB119" s="21">
        <f>EXP(-LN(2)/2)*AB118+(1-EXP(-LN(2)/2))/(LN(2)/2)*V119*Y119*VLOOKUP('Données projet'!$B$9,Paramètres!$A$1:$I$89,3,0)*0.475*44/12</f>
        <v>1.9196185632494703E-8</v>
      </c>
      <c r="AC119" s="22">
        <f t="shared" si="57"/>
        <v>99.569414325563969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7.0940586738288402E-14</v>
      </c>
      <c r="AK119" s="13">
        <f t="shared" si="89"/>
        <v>1.1091816830583241E-12</v>
      </c>
      <c r="AL119" s="20">
        <f t="shared" si="58"/>
        <v>2.0553796198957668E-12</v>
      </c>
      <c r="AM119" s="59">
        <f t="shared" si="59"/>
        <v>285.38753430385157</v>
      </c>
      <c r="AN119" s="59">
        <f ca="1">AVERAGE(OFFSET($AM$3,0,0,'Données projet'!$E$10+1,1))-AVERAGE(OFFSET($H$3,0,0,'Données projet'!$E$10+1,1))</f>
        <v>296.20984079604017</v>
      </c>
      <c r="AO119" s="59">
        <f t="shared" si="90"/>
        <v>351.8406329895206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66.297397036598895</v>
      </c>
      <c r="AV119" s="21">
        <f>EXP(-LN(2)/25)*AV118+(1-EXP(-LN(2)/25))/(LN(2)/25)*Calculateur!AQ119*Calculateur!AS119*VLOOKUP('Données projet'!$B$10,Paramètres!$A$1:$I$89,3,0)*0.475*44/12</f>
        <v>9.2123096896583938</v>
      </c>
      <c r="AW119" s="21">
        <f>EXP(-LN(2)/2)*AW118+(1-EXP(-LN(2)/2))/(LN(2)/2)*AQ119*AT119*VLOOKUP('Données projet'!$B$10,Paramètres!$A$1:$I$89,3,0)*0.475*44/12</f>
        <v>9.0507464220929307E-8</v>
      </c>
      <c r="AX119" s="21">
        <f t="shared" si="60"/>
        <v>75.509706816764762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-1.9863364286720756E-13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385.40047672167555</v>
      </c>
      <c r="BJ119" s="59">
        <f t="shared" si="92"/>
        <v>286.49293757741611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107.43570338232188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107.43570338232188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-5.1431925385259088E-14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397.12030701006762</v>
      </c>
      <c r="CE119" s="59">
        <f t="shared" si="94"/>
        <v>476.47513516380047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25.92959023069438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25.92959023069438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110.43805901666033</v>
      </c>
      <c r="CZ119" s="59">
        <f t="shared" si="96"/>
        <v>319.51880962151881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6.1341714083579086</v>
      </c>
      <c r="DG119" s="21">
        <f>EXP(-LN(2)/25)*DG118+(1-EXP(-LN(2)/25))/(LN(2)/25)*Calculateur!DB119*Calculateur!DD119*VLOOKUP('Données projet'!$B$13,Paramètres!$A$1:$I$89,3,0)*0.475*44/12</f>
        <v>1.2761187109697287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7.4102901193276374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3.3000000000000003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12.100000000000001</v>
      </c>
      <c r="H120" s="67">
        <f t="shared" si="56"/>
        <v>208.26666666666665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414.37917672189968</v>
      </c>
      <c r="T120" s="59">
        <f t="shared" si="88"/>
        <v>546.83385887302961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86.311753669028718</v>
      </c>
      <c r="AA120" s="21">
        <f>EXP(-LN(2)/25)*AA119+(1-EXP(-LN(2)/25))/(LN(2)/25)*Calculateur!V120*Calculateur!X120*VLOOKUP('Données projet'!$B$9,Paramètres!$A$1:$I$89,3,0)*0.475*44/12</f>
        <v>11.215963012089667</v>
      </c>
      <c r="AB120" s="21">
        <f>EXP(-LN(2)/2)*AB119+(1-EXP(-LN(2)/2))/(LN(2)/2)*V120*Y120*VLOOKUP('Données projet'!$B$9,Paramètres!$A$1:$I$89,3,0)*0.475*44/12</f>
        <v>1.357375303365278E-8</v>
      </c>
      <c r="AC120" s="22">
        <f t="shared" si="57"/>
        <v>97.527716694692145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7.0940586738288402E-14</v>
      </c>
      <c r="AK120" s="13">
        <f t="shared" si="89"/>
        <v>1.1091816830583241E-12</v>
      </c>
      <c r="AL120" s="20">
        <f t="shared" si="58"/>
        <v>2.0553796198957668E-12</v>
      </c>
      <c r="AM120" s="59">
        <f t="shared" si="59"/>
        <v>285.52537615286775</v>
      </c>
      <c r="AN120" s="59">
        <f ca="1">AVERAGE(OFFSET($AM$3,0,0,'Données projet'!$E$10+1,1))-AVERAGE(OFFSET($H$3,0,0,'Données projet'!$E$10+1,1))</f>
        <v>296.20984079604017</v>
      </c>
      <c r="AO120" s="59">
        <f t="shared" si="90"/>
        <v>351.8406329895206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64.997345518130516</v>
      </c>
      <c r="AV120" s="21">
        <f>EXP(-LN(2)/25)*AV119+(1-EXP(-LN(2)/25))/(LN(2)/25)*Calculateur!AQ120*Calculateur!AS120*VLOOKUP('Données projet'!$B$10,Paramètres!$A$1:$I$89,3,0)*0.475*44/12</f>
        <v>8.9603985967403741</v>
      </c>
      <c r="AW120" s="21">
        <f>EXP(-LN(2)/2)*AW119+(1-EXP(-LN(2)/2))/(LN(2)/2)*AQ120*AT120*VLOOKUP('Données projet'!$B$10,Paramètres!$A$1:$I$89,3,0)*0.475*44/12</f>
        <v>6.3998441698617939E-8</v>
      </c>
      <c r="AX120" s="21">
        <f t="shared" si="60"/>
        <v>73.957744178869333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-1.9863364286720756E-13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385.40047672167555</v>
      </c>
      <c r="BJ120" s="59">
        <f t="shared" si="92"/>
        <v>286.49293757741611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105.32895476830312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105.32895476830312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-5.1431925385259088E-14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397.12030701006762</v>
      </c>
      <c r="CE120" s="59">
        <f t="shared" si="94"/>
        <v>476.47513516380047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25.421126781758854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25.421126781758854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110.43805901666033</v>
      </c>
      <c r="CZ120" s="59">
        <f t="shared" si="96"/>
        <v>319.51880962151881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6.0138840485151288</v>
      </c>
      <c r="DG120" s="21">
        <f>EXP(-LN(2)/25)*DG119+(1-EXP(-LN(2)/25))/(LN(2)/25)*Calculateur!DB120*Calculateur!DD120*VLOOKUP('Données projet'!$B$13,Paramètres!$A$1:$I$89,3,0)*0.475*44/12</f>
        <v>1.241223177710095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7.2551072262252241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3.3000000000000003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12.100000000000001</v>
      </c>
      <c r="H121" s="67">
        <f t="shared" si="56"/>
        <v>208.26666666666665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414.37917672189968</v>
      </c>
      <c r="T121" s="59">
        <f t="shared" si="88"/>
        <v>546.83385887302961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84.619232824550551</v>
      </c>
      <c r="AA121" s="21">
        <f>EXP(-LN(2)/25)*AA120+(1-EXP(-LN(2)/25))/(LN(2)/25)*Calculateur!V121*Calculateur!X121*VLOOKUP('Données projet'!$B$9,Paramètres!$A$1:$I$89,3,0)*0.475*44/12</f>
        <v>10.909261913702213</v>
      </c>
      <c r="AB121" s="21">
        <f>EXP(-LN(2)/2)*AB120+(1-EXP(-LN(2)/2))/(LN(2)/2)*V121*Y121*VLOOKUP('Données projet'!$B$9,Paramètres!$A$1:$I$89,3,0)*0.475*44/12</f>
        <v>9.5980928162473517E-9</v>
      </c>
      <c r="AC121" s="22">
        <f t="shared" si="57"/>
        <v>95.528494747850857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7.0940586738288402E-14</v>
      </c>
      <c r="AK121" s="13">
        <f t="shared" si="89"/>
        <v>1.1091816830583241E-12</v>
      </c>
      <c r="AL121" s="20">
        <f t="shared" si="58"/>
        <v>2.0553796198957668E-12</v>
      </c>
      <c r="AM121" s="59">
        <f t="shared" si="59"/>
        <v>285.66082675397166</v>
      </c>
      <c r="AN121" s="59">
        <f ca="1">AVERAGE(OFFSET($AM$3,0,0,'Données projet'!$E$10+1,1))-AVERAGE(OFFSET($H$3,0,0,'Données projet'!$E$10+1,1))</f>
        <v>296.20984079604017</v>
      </c>
      <c r="AO121" s="59">
        <f t="shared" si="90"/>
        <v>351.8406329895206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63.722787216986177</v>
      </c>
      <c r="AV121" s="21">
        <f>EXP(-LN(2)/25)*AV120+(1-EXP(-LN(2)/25))/(LN(2)/25)*Calculateur!AQ121*Calculateur!AS121*VLOOKUP('Données projet'!$B$10,Paramètres!$A$1:$I$89,3,0)*0.475*44/12</f>
        <v>8.7153760259056252</v>
      </c>
      <c r="AW121" s="21">
        <f>EXP(-LN(2)/2)*AW120+(1-EXP(-LN(2)/2))/(LN(2)/2)*AQ121*AT121*VLOOKUP('Données projet'!$B$10,Paramètres!$A$1:$I$89,3,0)*0.475*44/12</f>
        <v>4.5253732110464654E-8</v>
      </c>
      <c r="AX121" s="21">
        <f t="shared" si="60"/>
        <v>72.438163288145532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-1.9863364286720756E-13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385.40047672167555</v>
      </c>
      <c r="BJ121" s="59">
        <f t="shared" si="92"/>
        <v>286.49293757741611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103.26351820961551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103.26351820961551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-5.1431925385259088E-14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397.12030701006762</v>
      </c>
      <c r="CE121" s="59">
        <f t="shared" si="94"/>
        <v>476.47513516380047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24.922633990924872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24.922633990924872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110.43805901666033</v>
      </c>
      <c r="CZ121" s="59">
        <f t="shared" si="96"/>
        <v>319.51880962151881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5.8959554504308214</v>
      </c>
      <c r="DG121" s="21">
        <f>EXP(-LN(2)/25)*DG120+(1-EXP(-LN(2)/25))/(LN(2)/25)*Calculateur!DB121*Calculateur!DD121*VLOOKUP('Données projet'!$B$13,Paramètres!$A$1:$I$89,3,0)*0.475*44/12</f>
        <v>1.2072818646425225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7.1032373150733434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3.3000000000000003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12.100000000000001</v>
      </c>
      <c r="H122" s="67">
        <f t="shared" si="56"/>
        <v>208.26666666666665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414.37917672189968</v>
      </c>
      <c r="T122" s="59">
        <f t="shared" si="88"/>
        <v>546.83385887302961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82.959901281496812</v>
      </c>
      <c r="AA122" s="21">
        <f>EXP(-LN(2)/25)*AA121+(1-EXP(-LN(2)/25))/(LN(2)/25)*Calculateur!V122*Calculateur!X122*VLOOKUP('Données projet'!$B$9,Paramètres!$A$1:$I$89,3,0)*0.475*44/12</f>
        <v>10.610947572978876</v>
      </c>
      <c r="AB122" s="21">
        <f>EXP(-LN(2)/2)*AB121+(1-EXP(-LN(2)/2))/(LN(2)/2)*V122*Y122*VLOOKUP('Données projet'!$B$9,Paramètres!$A$1:$I$89,3,0)*0.475*44/12</f>
        <v>6.7868765168263899E-9</v>
      </c>
      <c r="AC122" s="22">
        <f t="shared" si="57"/>
        <v>93.570848861262562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7.0940586738288402E-14</v>
      </c>
      <c r="AK122" s="13">
        <f t="shared" si="89"/>
        <v>1.1091816830583241E-12</v>
      </c>
      <c r="AL122" s="20">
        <f t="shared" si="58"/>
        <v>2.0553796198957668E-12</v>
      </c>
      <c r="AM122" s="59">
        <f t="shared" si="59"/>
        <v>285.79392758996863</v>
      </c>
      <c r="AN122" s="59">
        <f ca="1">AVERAGE(OFFSET($AM$3,0,0,'Données projet'!$E$10+1,1))-AVERAGE(OFFSET($H$3,0,0,'Données projet'!$E$10+1,1))</f>
        <v>296.20984079604017</v>
      </c>
      <c r="AO122" s="59">
        <f t="shared" si="90"/>
        <v>351.8406329895206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62.473222226723479</v>
      </c>
      <c r="AV122" s="21">
        <f>EXP(-LN(2)/25)*AV121+(1-EXP(-LN(2)/25))/(LN(2)/25)*Calculateur!AQ122*Calculateur!AS122*VLOOKUP('Données projet'!$B$10,Paramètres!$A$1:$I$89,3,0)*0.475*44/12</f>
        <v>8.4770536101555294</v>
      </c>
      <c r="AW122" s="21">
        <f>EXP(-LN(2)/2)*AW121+(1-EXP(-LN(2)/2))/(LN(2)/2)*AQ122*AT122*VLOOKUP('Données projet'!$B$10,Paramètres!$A$1:$I$89,3,0)*0.475*44/12</f>
        <v>3.1999220849308969E-8</v>
      </c>
      <c r="AX122" s="21">
        <f t="shared" si="60"/>
        <v>70.950275868878222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-1.9863364286720756E-13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385.40047672167555</v>
      </c>
      <c r="BJ122" s="59">
        <f t="shared" si="92"/>
        <v>286.49293757741611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101.23858360205186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101.23858360205186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-5.1431925385259088E-14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397.12030701006762</v>
      </c>
      <c r="CE122" s="59">
        <f t="shared" si="94"/>
        <v>476.47513516380047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24.433916339668567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24.433916339668567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110.43805901666033</v>
      </c>
      <c r="CZ122" s="59">
        <f t="shared" si="96"/>
        <v>319.51880962151881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5.7803393602256046</v>
      </c>
      <c r="DG122" s="21">
        <f>EXP(-LN(2)/25)*DG121+(1-EXP(-LN(2)/25))/(LN(2)/25)*Calculateur!DB122*Calculateur!DD122*VLOOKUP('Données projet'!$B$13,Paramètres!$A$1:$I$89,3,0)*0.475*44/12</f>
        <v>1.1742686785656788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6.9546080387912834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3.3000000000000003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12.100000000000001</v>
      </c>
      <c r="H123" s="67">
        <f t="shared" si="56"/>
        <v>208.26666666666665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414.37917672189968</v>
      </c>
      <c r="T123" s="59">
        <f t="shared" si="88"/>
        <v>546.83385887302961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81.333108217910052</v>
      </c>
      <c r="AA123" s="21">
        <f>EXP(-LN(2)/25)*AA122+(1-EXP(-LN(2)/25))/(LN(2)/25)*Calculateur!V123*Calculateur!X123*VLOOKUP('Données projet'!$B$9,Paramètres!$A$1:$I$89,3,0)*0.475*44/12</f>
        <v>10.320790653590288</v>
      </c>
      <c r="AB123" s="21">
        <f>EXP(-LN(2)/2)*AB122+(1-EXP(-LN(2)/2))/(LN(2)/2)*V123*Y123*VLOOKUP('Données projet'!$B$9,Paramètres!$A$1:$I$89,3,0)*0.475*44/12</f>
        <v>4.7990464081236758E-9</v>
      </c>
      <c r="AC123" s="22">
        <f t="shared" si="57"/>
        <v>91.653898876299394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7.0940586738288402E-14</v>
      </c>
      <c r="AK123" s="13">
        <f t="shared" si="89"/>
        <v>1.1091816830583241E-12</v>
      </c>
      <c r="AL123" s="20">
        <f t="shared" si="58"/>
        <v>2.0553796198957668E-12</v>
      </c>
      <c r="AM123" s="59">
        <f t="shared" si="59"/>
        <v>285.92471942403</v>
      </c>
      <c r="AN123" s="59">
        <f ca="1">AVERAGE(OFFSET($AM$3,0,0,'Données projet'!$E$10+1,1))-AVERAGE(OFFSET($H$3,0,0,'Données projet'!$E$10+1,1))</f>
        <v>296.20984079604017</v>
      </c>
      <c r="AO123" s="59">
        <f t="shared" si="90"/>
        <v>351.8406329895206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61.24816044376044</v>
      </c>
      <c r="AV123" s="21">
        <f>EXP(-LN(2)/25)*AV122+(1-EXP(-LN(2)/25))/(LN(2)/25)*Calculateur!AQ123*Calculateur!AS123*VLOOKUP('Données projet'!$B$10,Paramètres!$A$1:$I$89,3,0)*0.475*44/12</f>
        <v>8.2452481333969523</v>
      </c>
      <c r="AW123" s="21">
        <f>EXP(-LN(2)/2)*AW122+(1-EXP(-LN(2)/2))/(LN(2)/2)*AQ123*AT123*VLOOKUP('Données projet'!$B$10,Paramètres!$A$1:$I$89,3,0)*0.475*44/12</f>
        <v>2.2626866055232327E-8</v>
      </c>
      <c r="AX123" s="21">
        <f t="shared" si="60"/>
        <v>69.49340859978426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-1.9863364286720756E-13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385.40047672167555</v>
      </c>
      <c r="BJ123" s="59">
        <f t="shared" si="92"/>
        <v>286.49293757741611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99.253356727054367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99.253356727054367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-5.1431925385259088E-14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397.12030701006762</v>
      </c>
      <c r="CE123" s="59">
        <f t="shared" si="94"/>
        <v>476.47513516380047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23.954782143465064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23.954782143465064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110.43805901666033</v>
      </c>
      <c r="CZ123" s="59">
        <f t="shared" si="96"/>
        <v>319.51880962151881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5.6669904310304604</v>
      </c>
      <c r="DG123" s="21">
        <f>EXP(-LN(2)/25)*DG122+(1-EXP(-LN(2)/25))/(LN(2)/25)*Calculateur!DB123*Calculateur!DD123*VLOOKUP('Données projet'!$B$13,Paramètres!$A$1:$I$89,3,0)*0.475*44/12</f>
        <v>1.1421582397981944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6.8091486708286553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3.3000000000000003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12.100000000000001</v>
      </c>
      <c r="H124" s="67">
        <f t="shared" si="56"/>
        <v>208.26666666666665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414.37917672189968</v>
      </c>
      <c r="T124" s="59">
        <f t="shared" si="88"/>
        <v>546.83385887302961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79.738215574054436</v>
      </c>
      <c r="AA124" s="21">
        <f>EXP(-LN(2)/25)*AA123+(1-EXP(-LN(2)/25))/(LN(2)/25)*Calculateur!V124*Calculateur!X124*VLOOKUP('Données projet'!$B$9,Paramètres!$A$1:$I$89,3,0)*0.475*44/12</f>
        <v>10.038568090421069</v>
      </c>
      <c r="AB124" s="21">
        <f>EXP(-LN(2)/2)*AB123+(1-EXP(-LN(2)/2))/(LN(2)/2)*V124*Y124*VLOOKUP('Données projet'!$B$9,Paramètres!$A$1:$I$89,3,0)*0.475*44/12</f>
        <v>3.3934382584131949E-9</v>
      </c>
      <c r="AC124" s="22">
        <f t="shared" si="57"/>
        <v>89.776783667868941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7.0940586738288402E-14</v>
      </c>
      <c r="AK124" s="13">
        <f t="shared" si="89"/>
        <v>1.1091816830583241E-12</v>
      </c>
      <c r="AL124" s="20">
        <f t="shared" si="58"/>
        <v>2.0553796198957668E-12</v>
      </c>
      <c r="AM124" s="59">
        <f t="shared" si="59"/>
        <v>286.05324231217713</v>
      </c>
      <c r="AN124" s="59">
        <f ca="1">AVERAGE(OFFSET($AM$3,0,0,'Données projet'!$E$10+1,1))-AVERAGE(OFFSET($H$3,0,0,'Données projet'!$E$10+1,1))</f>
        <v>296.20984079604017</v>
      </c>
      <c r="AO124" s="59">
        <f t="shared" si="90"/>
        <v>351.8406329895206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60.047121375147405</v>
      </c>
      <c r="AV124" s="21">
        <f>EXP(-LN(2)/25)*AV123+(1-EXP(-LN(2)/25))/(LN(2)/25)*Calculateur!AQ124*Calculateur!AS124*VLOOKUP('Données projet'!$B$10,Paramètres!$A$1:$I$89,3,0)*0.475*44/12</f>
        <v>8.0197813895904577</v>
      </c>
      <c r="AW124" s="21">
        <f>EXP(-LN(2)/2)*AW123+(1-EXP(-LN(2)/2))/(LN(2)/2)*AQ124*AT124*VLOOKUP('Données projet'!$B$10,Paramètres!$A$1:$I$89,3,0)*0.475*44/12</f>
        <v>1.5999610424654485E-8</v>
      </c>
      <c r="AX124" s="21">
        <f t="shared" si="60"/>
        <v>68.066902780737465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-1.9863364286720756E-13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385.40047672167555</v>
      </c>
      <c r="BJ124" s="59">
        <f t="shared" si="92"/>
        <v>286.49293757741611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97.307058940206744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97.307058940206744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-5.1431925385259088E-14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397.12030701006762</v>
      </c>
      <c r="CE124" s="59">
        <f t="shared" si="94"/>
        <v>476.47513516380047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23.485043476606108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23.485043476606108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110.43805901666033</v>
      </c>
      <c r="CZ124" s="59">
        <f t="shared" si="96"/>
        <v>319.51880962151881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5.5558642052008125</v>
      </c>
      <c r="DG124" s="21">
        <f>EXP(-LN(2)/25)*DG123+(1-EXP(-LN(2)/25))/(LN(2)/25)*Calculateur!DB124*Calculateur!DD124*VLOOKUP('Données projet'!$B$13,Paramètres!$A$1:$I$89,3,0)*0.475*44/12</f>
        <v>1.1109258626674214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6.6667900678682344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3.3000000000000003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12.100000000000001</v>
      </c>
      <c r="H125" s="67">
        <f t="shared" si="56"/>
        <v>208.26666666666665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414.37917672189968</v>
      </c>
      <c r="T125" s="59">
        <f t="shared" si="88"/>
        <v>546.83385887302961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78.17459780215637</v>
      </c>
      <c r="AA125" s="21">
        <f>EXP(-LN(2)/25)*AA124+(1-EXP(-LN(2)/25))/(LN(2)/25)*Calculateur!V125*Calculateur!X125*VLOOKUP('Données projet'!$B$9,Paramètres!$A$1:$I$89,3,0)*0.475*44/12</f>
        <v>9.7640629180831535</v>
      </c>
      <c r="AB125" s="21">
        <f>EXP(-LN(2)/2)*AB124+(1-EXP(-LN(2)/2))/(LN(2)/2)*V125*Y125*VLOOKUP('Données projet'!$B$9,Paramètres!$A$1:$I$89,3,0)*0.475*44/12</f>
        <v>2.3995232040618379E-9</v>
      </c>
      <c r="AC125" s="22">
        <f t="shared" si="57"/>
        <v>87.938660722639042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7.0940586738288402E-14</v>
      </c>
      <c r="AK125" s="13">
        <f t="shared" si="89"/>
        <v>1.1091816830583241E-12</v>
      </c>
      <c r="AL125" s="20">
        <f t="shared" si="58"/>
        <v>2.0553796198957668E-12</v>
      </c>
      <c r="AM125" s="59">
        <f t="shared" si="59"/>
        <v>286.17953561554896</v>
      </c>
      <c r="AN125" s="59">
        <f ca="1">AVERAGE(OFFSET($AM$3,0,0,'Données projet'!$E$10+1,1))-AVERAGE(OFFSET($H$3,0,0,'Données projet'!$E$10+1,1))</f>
        <v>296.20984079604017</v>
      </c>
      <c r="AO125" s="59">
        <f t="shared" si="90"/>
        <v>351.8406329895206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58.869633950108373</v>
      </c>
      <c r="AV125" s="21">
        <f>EXP(-LN(2)/25)*AV124+(1-EXP(-LN(2)/25))/(LN(2)/25)*Calculateur!AQ125*Calculateur!AS125*VLOOKUP('Données projet'!$B$10,Paramètres!$A$1:$I$89,3,0)*0.475*44/12</f>
        <v>7.8004800457501329</v>
      </c>
      <c r="AW125" s="21">
        <f>EXP(-LN(2)/2)*AW124+(1-EXP(-LN(2)/2))/(LN(2)/2)*AQ125*AT125*VLOOKUP('Données projet'!$B$10,Paramètres!$A$1:$I$89,3,0)*0.475*44/12</f>
        <v>1.1313433027616163E-8</v>
      </c>
      <c r="AX125" s="21">
        <f t="shared" si="60"/>
        <v>66.670114007171932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-1.9863364286720756E-13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385.40047672167555</v>
      </c>
      <c r="BJ125" s="59">
        <f t="shared" si="92"/>
        <v>286.49293757741611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95.398926865834781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95.398926865834781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-5.1431925385259088E-14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397.12030701006762</v>
      </c>
      <c r="CE125" s="59">
        <f t="shared" si="94"/>
        <v>476.47513516380047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23.024516098491961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23.024516098491961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110.43805901666033</v>
      </c>
      <c r="CZ125" s="59">
        <f t="shared" si="96"/>
        <v>319.51880962151881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5.4469170968793792</v>
      </c>
      <c r="DG125" s="21">
        <f>EXP(-LN(2)/25)*DG124+(1-EXP(-LN(2)/25))/(LN(2)/25)*Calculateur!DB125*Calculateur!DD125*VLOOKUP('Données projet'!$B$13,Paramètres!$A$1:$I$89,3,0)*0.475*44/12</f>
        <v>1.0805475365317287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6.5274646334111077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3.3000000000000003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12.100000000000001</v>
      </c>
      <c r="H126" s="67">
        <f t="shared" si="56"/>
        <v>208.26666666666665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414.37917672189968</v>
      </c>
      <c r="T126" s="59">
        <f t="shared" si="88"/>
        <v>546.83385887302961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76.641641621052557</v>
      </c>
      <c r="AA126" s="21">
        <f>EXP(-LN(2)/25)*AA125+(1-EXP(-LN(2)/25))/(LN(2)/25)*Calculateur!V126*Calculateur!X126*VLOOKUP('Données projet'!$B$9,Paramètres!$A$1:$I$89,3,0)*0.475*44/12</f>
        <v>9.4970641041184169</v>
      </c>
      <c r="AB126" s="21">
        <f>EXP(-LN(2)/2)*AB125+(1-EXP(-LN(2)/2))/(LN(2)/2)*V126*Y126*VLOOKUP('Données projet'!$B$9,Paramètres!$A$1:$I$89,3,0)*0.475*44/12</f>
        <v>1.6967191292065975E-9</v>
      </c>
      <c r="AC126" s="22">
        <f t="shared" si="57"/>
        <v>86.138705726867698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7.0940586738288402E-14</v>
      </c>
      <c r="AK126" s="13">
        <f t="shared" si="89"/>
        <v>1.1091816830583241E-12</v>
      </c>
      <c r="AL126" s="20">
        <f t="shared" si="58"/>
        <v>2.0553796198957668E-12</v>
      </c>
      <c r="AM126" s="59">
        <f t="shared" si="59"/>
        <v>286.30363801245687</v>
      </c>
      <c r="AN126" s="59">
        <f ca="1">AVERAGE(OFFSET($AM$3,0,0,'Données projet'!$E$10+1,1))-AVERAGE(OFFSET($H$3,0,0,'Données projet'!$E$10+1,1))</f>
        <v>296.20984079604017</v>
      </c>
      <c r="AO126" s="59">
        <f t="shared" si="90"/>
        <v>351.8406329895206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57.715236335277943</v>
      </c>
      <c r="AV126" s="21">
        <f>EXP(-LN(2)/25)*AV125+(1-EXP(-LN(2)/25))/(LN(2)/25)*Calculateur!AQ126*Calculateur!AS126*VLOOKUP('Données projet'!$B$10,Paramètres!$A$1:$I$89,3,0)*0.475*44/12</f>
        <v>7.5871755086896782</v>
      </c>
      <c r="AW126" s="21">
        <f>EXP(-LN(2)/2)*AW125+(1-EXP(-LN(2)/2))/(LN(2)/2)*AQ126*AT126*VLOOKUP('Données projet'!$B$10,Paramètres!$A$1:$I$89,3,0)*0.475*44/12</f>
        <v>7.9998052123272423E-9</v>
      </c>
      <c r="AX126" s="21">
        <f t="shared" si="60"/>
        <v>65.30241185196742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-1.9863364286720756E-13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385.40047672167555</v>
      </c>
      <c r="BJ126" s="59">
        <f t="shared" si="92"/>
        <v>286.49293757741611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93.528212097595599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93.528212097595599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-5.1431925385259088E-14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397.12030701006762</v>
      </c>
      <c r="CE126" s="59">
        <f t="shared" si="94"/>
        <v>476.47513516380047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22.573019381368667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22.573019381368667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110.43805901666033</v>
      </c>
      <c r="CZ126" s="59">
        <f t="shared" si="96"/>
        <v>319.51880962151881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5.3401063749009543</v>
      </c>
      <c r="DG126" s="21">
        <f>EXP(-LN(2)/25)*DG125+(1-EXP(-LN(2)/25))/(LN(2)/25)*Calculateur!DB126*Calculateur!DD126*VLOOKUP('Données projet'!$B$13,Paramètres!$A$1:$I$89,3,0)*0.475*44/12</f>
        <v>1.0509999073217433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6.3911062822226974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3.3000000000000003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12.100000000000001</v>
      </c>
      <c r="H127" s="67">
        <f t="shared" si="56"/>
        <v>208.26666666666665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414.37917672189968</v>
      </c>
      <c r="T127" s="59">
        <f t="shared" si="88"/>
        <v>546.83385887302961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75.138745775649241</v>
      </c>
      <c r="AA127" s="21">
        <f>EXP(-LN(2)/25)*AA126+(1-EXP(-LN(2)/25))/(LN(2)/25)*Calculateur!V127*Calculateur!X127*VLOOKUP('Données projet'!$B$9,Paramètres!$A$1:$I$89,3,0)*0.475*44/12</f>
        <v>9.2373663867624032</v>
      </c>
      <c r="AB127" s="21">
        <f>EXP(-LN(2)/2)*AB126+(1-EXP(-LN(2)/2))/(LN(2)/2)*V127*Y127*VLOOKUP('Données projet'!$B$9,Paramètres!$A$1:$I$89,3,0)*0.475*44/12</f>
        <v>1.199761602030919E-9</v>
      </c>
      <c r="AC127" s="22">
        <f t="shared" si="57"/>
        <v>84.37611216361141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7.0940586738288402E-14</v>
      </c>
      <c r="AK127" s="13">
        <f t="shared" si="89"/>
        <v>1.1091816830583241E-12</v>
      </c>
      <c r="AL127" s="20">
        <f t="shared" si="58"/>
        <v>2.0553796198957668E-12</v>
      </c>
      <c r="AM127" s="59">
        <f t="shared" si="59"/>
        <v>286.42558751022983</v>
      </c>
      <c r="AN127" s="59">
        <f ca="1">AVERAGE(OFFSET($AM$3,0,0,'Données projet'!$E$10+1,1))-AVERAGE(OFFSET($H$3,0,0,'Données projet'!$E$10+1,1))</f>
        <v>296.20984079604017</v>
      </c>
      <c r="AO127" s="59">
        <f t="shared" si="90"/>
        <v>351.8406329895206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56.583475753561316</v>
      </c>
      <c r="AV127" s="21">
        <f>EXP(-LN(2)/25)*AV126+(1-EXP(-LN(2)/25))/(LN(2)/25)*Calculateur!AQ127*Calculateur!AS127*VLOOKUP('Données projet'!$B$10,Paramètres!$A$1:$I$89,3,0)*0.475*44/12</f>
        <v>7.3797037954123397</v>
      </c>
      <c r="AW127" s="21">
        <f>EXP(-LN(2)/2)*AW126+(1-EXP(-LN(2)/2))/(LN(2)/2)*AQ127*AT127*VLOOKUP('Données projet'!$B$10,Paramètres!$A$1:$I$89,3,0)*0.475*44/12</f>
        <v>5.6567165138080817E-9</v>
      </c>
      <c r="AX127" s="21">
        <f t="shared" si="60"/>
        <v>63.963179554630372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-1.9863364286720756E-13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385.40047672167555</v>
      </c>
      <c r="BJ127" s="59">
        <f t="shared" si="92"/>
        <v>286.49293757741611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91.69418090493825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91.69418090493825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-5.1431925385259088E-14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397.12030701006762</v>
      </c>
      <c r="CE127" s="59">
        <f t="shared" si="94"/>
        <v>476.47513516380047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22.130376239482356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22.130376239482356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110.43805901666033</v>
      </c>
      <c r="CZ127" s="59">
        <f t="shared" si="96"/>
        <v>319.51880962151881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5.2353901460324188</v>
      </c>
      <c r="DG127" s="21">
        <f>EXP(-LN(2)/25)*DG126+(1-EXP(-LN(2)/25))/(LN(2)/25)*Calculateur!DB127*Calculateur!DD127*VLOOKUP('Données projet'!$B$13,Paramètres!$A$1:$I$89,3,0)*0.475*44/12</f>
        <v>1.0222602595863473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6.2576504056187661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3.3000000000000003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12.100000000000001</v>
      </c>
      <c r="H128" s="67">
        <f t="shared" si="56"/>
        <v>208.26666666666665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414.37917672189968</v>
      </c>
      <c r="T128" s="59">
        <f t="shared" si="88"/>
        <v>546.83385887302961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73.665320801098332</v>
      </c>
      <c r="AA128" s="21">
        <f>EXP(-LN(2)/25)*AA127+(1-EXP(-LN(2)/25))/(LN(2)/25)*Calculateur!V128*Calculateur!X128*VLOOKUP('Données projet'!$B$9,Paramètres!$A$1:$I$89,3,0)*0.475*44/12</f>
        <v>8.9847701171444001</v>
      </c>
      <c r="AB128" s="21">
        <f>EXP(-LN(2)/2)*AB127+(1-EXP(-LN(2)/2))/(LN(2)/2)*V128*Y128*VLOOKUP('Données projet'!$B$9,Paramètres!$A$1:$I$89,3,0)*0.475*44/12</f>
        <v>8.4835956460329874E-10</v>
      </c>
      <c r="AC128" s="22">
        <f t="shared" si="57"/>
        <v>82.650090919091099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7.0940586738288402E-14</v>
      </c>
      <c r="AK128" s="13">
        <f t="shared" si="89"/>
        <v>1.1091816830583241E-12</v>
      </c>
      <c r="AL128" s="20">
        <f t="shared" si="58"/>
        <v>2.0553796198957668E-12</v>
      </c>
      <c r="AM128" s="59">
        <f t="shared" si="59"/>
        <v>286.54542145685457</v>
      </c>
      <c r="AN128" s="59">
        <f ca="1">AVERAGE(OFFSET($AM$3,0,0,'Données projet'!$E$10+1,1))-AVERAGE(OFFSET($H$3,0,0,'Données projet'!$E$10+1,1))</f>
        <v>296.20984079604017</v>
      </c>
      <c r="AO128" s="59">
        <f t="shared" si="90"/>
        <v>351.8406329895206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55.473908306546363</v>
      </c>
      <c r="AV128" s="21">
        <f>EXP(-LN(2)/25)*AV127+(1-EXP(-LN(2)/25))/(LN(2)/25)*Calculateur!AQ128*Calculateur!AS128*VLOOKUP('Données projet'!$B$10,Paramètres!$A$1:$I$89,3,0)*0.475*44/12</f>
        <v>7.1779054070450332</v>
      </c>
      <c r="AW128" s="21">
        <f>EXP(-LN(2)/2)*AW127+(1-EXP(-LN(2)/2))/(LN(2)/2)*AQ128*AT128*VLOOKUP('Données projet'!$B$10,Paramètres!$A$1:$I$89,3,0)*0.475*44/12</f>
        <v>3.9999026061636212E-9</v>
      </c>
      <c r="AX128" s="21">
        <f t="shared" si="60"/>
        <v>62.651813717591295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-1.9863364286720756E-13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385.40047672167555</v>
      </c>
      <c r="BJ128" s="59">
        <f t="shared" si="92"/>
        <v>286.49293757741611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89.896113945320337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89.896113945320337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-5.1431925385259088E-14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397.12030701006762</v>
      </c>
      <c r="CE128" s="59">
        <f t="shared" si="94"/>
        <v>476.47513516380047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21.696413059622778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21.696413059622778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110.43805901666033</v>
      </c>
      <c r="CZ128" s="59">
        <f t="shared" si="96"/>
        <v>319.51880962151881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5.132727338541403</v>
      </c>
      <c r="DG128" s="21">
        <f>EXP(-LN(2)/25)*DG127+(1-EXP(-LN(2)/25))/(LN(2)/25)*Calculateur!DB128*Calculateur!DD128*VLOOKUP('Données projet'!$B$13,Paramètres!$A$1:$I$89,3,0)*0.475*44/12</f>
        <v>0.99430649902962798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6.1270338375710311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3.3000000000000003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12.100000000000001</v>
      </c>
      <c r="H129" s="67">
        <f t="shared" si="56"/>
        <v>208.26666666666665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414.37917672189968</v>
      </c>
      <c r="T129" s="59">
        <f t="shared" si="88"/>
        <v>546.83385887302961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72.220788791597869</v>
      </c>
      <c r="AA129" s="21">
        <f>EXP(-LN(2)/25)*AA128+(1-EXP(-LN(2)/25))/(LN(2)/25)*Calculateur!V129*Calculateur!X129*VLOOKUP('Données projet'!$B$9,Paramètres!$A$1:$I$89,3,0)*0.475*44/12</f>
        <v>8.7390811058025601</v>
      </c>
      <c r="AB129" s="21">
        <f>EXP(-LN(2)/2)*AB128+(1-EXP(-LN(2)/2))/(LN(2)/2)*V129*Y129*VLOOKUP('Données projet'!$B$9,Paramètres!$A$1:$I$89,3,0)*0.475*44/12</f>
        <v>5.9988080101545948E-10</v>
      </c>
      <c r="AC129" s="22">
        <f t="shared" si="57"/>
        <v>80.959869898000306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7.0940586738288402E-14</v>
      </c>
      <c r="AK129" s="13">
        <f t="shared" si="89"/>
        <v>1.1091816830583241E-12</v>
      </c>
      <c r="AL129" s="20">
        <f t="shared" si="58"/>
        <v>2.0553796198957668E-12</v>
      </c>
      <c r="AM129" s="59">
        <f t="shared" si="59"/>
        <v>286.66317655241409</v>
      </c>
      <c r="AN129" s="59">
        <f ca="1">AVERAGE(OFFSET($AM$3,0,0,'Données projet'!$E$10+1,1))-AVERAGE(OFFSET($H$3,0,0,'Données projet'!$E$10+1,1))</f>
        <v>296.20984079604017</v>
      </c>
      <c r="AO129" s="59">
        <f t="shared" si="90"/>
        <v>351.8406329895206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54.386098800398052</v>
      </c>
      <c r="AV129" s="21">
        <f>EXP(-LN(2)/25)*AV128+(1-EXP(-LN(2)/25))/(LN(2)/25)*Calculateur!AQ129*Calculateur!AS129*VLOOKUP('Données projet'!$B$10,Paramètres!$A$1:$I$89,3,0)*0.475*44/12</f>
        <v>6.9816252062197464</v>
      </c>
      <c r="AW129" s="21">
        <f>EXP(-LN(2)/2)*AW128+(1-EXP(-LN(2)/2))/(LN(2)/2)*AQ129*AT129*VLOOKUP('Données projet'!$B$10,Paramètres!$A$1:$I$89,3,0)*0.475*44/12</f>
        <v>2.8283582569040409E-9</v>
      </c>
      <c r="AX129" s="21">
        <f t="shared" si="60"/>
        <v>61.367724009446157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-1.9863364286720756E-13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385.40047672167555</v>
      </c>
      <c r="BJ129" s="59">
        <f t="shared" si="92"/>
        <v>286.49293757741611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88.133305982067981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88.133305982067981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-5.1431925385259088E-14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397.12030701006762</v>
      </c>
      <c r="CE129" s="59">
        <f t="shared" si="94"/>
        <v>476.47513516380047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21.270959633028841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21.270959633028841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110.43805901666033</v>
      </c>
      <c r="CZ129" s="59">
        <f t="shared" si="96"/>
        <v>319.51880962151881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5.0320776860871561</v>
      </c>
      <c r="DG129" s="21">
        <f>EXP(-LN(2)/25)*DG128+(1-EXP(-LN(2)/25))/(LN(2)/25)*Calculateur!DB129*Calculateur!DD129*VLOOKUP('Données projet'!$B$13,Paramètres!$A$1:$I$89,3,0)*0.475*44/12</f>
        <v>0.9671171355253565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5.9991948216125124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3.3000000000000003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12.100000000000001</v>
      </c>
      <c r="H130" s="67">
        <f t="shared" si="56"/>
        <v>208.26666666666665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414.37917672189968</v>
      </c>
      <c r="T130" s="59">
        <f t="shared" si="88"/>
        <v>546.83385887302961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70.804583173726186</v>
      </c>
      <c r="AA130" s="21">
        <f>EXP(-LN(2)/25)*AA129+(1-EXP(-LN(2)/25))/(LN(2)/25)*Calculateur!V130*Calculateur!X130*VLOOKUP('Données projet'!$B$9,Paramètres!$A$1:$I$89,3,0)*0.475*44/12</f>
        <v>8.5001104733960879</v>
      </c>
      <c r="AB130" s="21">
        <f>EXP(-LN(2)/2)*AB129+(1-EXP(-LN(2)/2))/(LN(2)/2)*V130*Y130*VLOOKUP('Données projet'!$B$9,Paramètres!$A$1:$I$89,3,0)*0.475*44/12</f>
        <v>4.2417978230164937E-10</v>
      </c>
      <c r="AC130" s="22">
        <f t="shared" si="57"/>
        <v>79.304693647546458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7.0940586738288402E-14</v>
      </c>
      <c r="AK130" s="13">
        <f t="shared" si="89"/>
        <v>1.1091816830583241E-12</v>
      </c>
      <c r="AL130" s="20">
        <f t="shared" si="58"/>
        <v>2.0553796198957668E-12</v>
      </c>
      <c r="AM130" s="59">
        <f t="shared" si="59"/>
        <v>286.77888886032645</v>
      </c>
      <c r="AN130" s="59">
        <f ca="1">AVERAGE(OFFSET($AM$3,0,0,'Données projet'!$E$10+1,1))-AVERAGE(OFFSET($H$3,0,0,'Données projet'!$E$10+1,1))</f>
        <v>296.20984079604017</v>
      </c>
      <c r="AO130" s="59">
        <f t="shared" si="90"/>
        <v>351.8406329895206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53.319620575167029</v>
      </c>
      <c r="AV130" s="21">
        <f>EXP(-LN(2)/25)*AV129+(1-EXP(-LN(2)/25))/(LN(2)/25)*Calculateur!AQ130*Calculateur!AS130*VLOOKUP('Données projet'!$B$10,Paramètres!$A$1:$I$89,3,0)*0.475*44/12</f>
        <v>6.7907122978079544</v>
      </c>
      <c r="AW130" s="21">
        <f>EXP(-LN(2)/2)*AW129+(1-EXP(-LN(2)/2))/(LN(2)/2)*AQ130*AT130*VLOOKUP('Données projet'!$B$10,Paramètres!$A$1:$I$89,3,0)*0.475*44/12</f>
        <v>1.9999513030818106E-9</v>
      </c>
      <c r="AX130" s="21">
        <f t="shared" si="60"/>
        <v>60.110332874974937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-1.9863364286720756E-13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385.40047672167555</v>
      </c>
      <c r="BJ130" s="59">
        <f t="shared" si="92"/>
        <v>286.49293757741611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86.405065607768307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86.405065607768307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-5.1431925385259088E-14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397.12030701006762</v>
      </c>
      <c r="CE130" s="59">
        <f t="shared" si="94"/>
        <v>476.47513516380047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20.853849088629445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20.853849088629445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110.43805901666033</v>
      </c>
      <c r="CZ130" s="59">
        <f t="shared" si="96"/>
        <v>319.51880962151881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4.9334017119273108</v>
      </c>
      <c r="DG130" s="21">
        <f>EXP(-LN(2)/25)*DG129+(1-EXP(-LN(2)/25))/(LN(2)/25)*Calculateur!DB130*Calculateur!DD130*VLOOKUP('Données projet'!$B$13,Paramètres!$A$1:$I$89,3,0)*0.475*44/12</f>
        <v>0.94067126659593581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5.8740729785232464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3.3000000000000003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12.100000000000001</v>
      </c>
      <c r="H131" s="67">
        <f t="shared" si="56"/>
        <v>208.26666666666665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414.37917672189968</v>
      </c>
      <c r="T131" s="59">
        <f t="shared" si="88"/>
        <v>546.83385887302961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69.416148484220841</v>
      </c>
      <c r="AA131" s="21">
        <f>EXP(-LN(2)/25)*AA130+(1-EXP(-LN(2)/25))/(LN(2)/25)*Calculateur!V131*Calculateur!X131*VLOOKUP('Données projet'!$B$9,Paramètres!$A$1:$I$89,3,0)*0.475*44/12</f>
        <v>8.2676745054996896</v>
      </c>
      <c r="AB131" s="21">
        <f>EXP(-LN(2)/2)*AB130+(1-EXP(-LN(2)/2))/(LN(2)/2)*V131*Y131*VLOOKUP('Données projet'!$B$9,Paramètres!$A$1:$I$89,3,0)*0.475*44/12</f>
        <v>2.9994040050772974E-10</v>
      </c>
      <c r="AC131" s="22">
        <f t="shared" si="57"/>
        <v>77.68382299002046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7.0940586738288402E-14</v>
      </c>
      <c r="AK131" s="13">
        <f t="shared" si="89"/>
        <v>1.1091816830583241E-12</v>
      </c>
      <c r="AL131" s="20">
        <f t="shared" si="58"/>
        <v>2.0553796198957668E-12</v>
      </c>
      <c r="AM131" s="59">
        <f t="shared" si="59"/>
        <v>286.89259381839059</v>
      </c>
      <c r="AN131" s="59">
        <f ca="1">AVERAGE(OFFSET($AM$3,0,0,'Données projet'!$E$10+1,1))-AVERAGE(OFFSET($H$3,0,0,'Données projet'!$E$10+1,1))</f>
        <v>296.20984079604017</v>
      </c>
      <c r="AO131" s="59">
        <f t="shared" si="90"/>
        <v>351.8406329895206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52.274055337445297</v>
      </c>
      <c r="AV131" s="21">
        <f>EXP(-LN(2)/25)*AV130+(1-EXP(-LN(2)/25))/(LN(2)/25)*Calculateur!AQ131*Calculateur!AS131*VLOOKUP('Données projet'!$B$10,Paramètres!$A$1:$I$89,3,0)*0.475*44/12</f>
        <v>6.6050199129163563</v>
      </c>
      <c r="AW131" s="21">
        <f>EXP(-LN(2)/2)*AW130+(1-EXP(-LN(2)/2))/(LN(2)/2)*AQ131*AT131*VLOOKUP('Données projet'!$B$10,Paramètres!$A$1:$I$89,3,0)*0.475*44/12</f>
        <v>1.4141791284520204E-9</v>
      </c>
      <c r="AX131" s="21">
        <f t="shared" si="60"/>
        <v>58.879075251775831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-1.9863364286720756E-13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385.40047672167555</v>
      </c>
      <c r="BJ131" s="59">
        <f t="shared" si="92"/>
        <v>286.49293757741611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84.710714973086112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84.710714973086112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-5.1431925385259088E-14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397.12030701006762</v>
      </c>
      <c r="CE131" s="59">
        <f t="shared" si="94"/>
        <v>476.47513516380047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20.444917827593411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20.444917827593411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110.43805901666033</v>
      </c>
      <c r="CZ131" s="59">
        <f t="shared" si="96"/>
        <v>319.51880962151881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4.8366607134343385</v>
      </c>
      <c r="DG131" s="21">
        <f>EXP(-LN(2)/25)*DG130+(1-EXP(-LN(2)/25))/(LN(2)/25)*Calculateur!DB131*Calculateur!DD131*VLOOKUP('Données projet'!$B$13,Paramètres!$A$1:$I$89,3,0)*0.475*44/12</f>
        <v>0.91494856134311797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5.7516092747774561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3.3000000000000003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12.100000000000001</v>
      </c>
      <c r="H132" s="67">
        <f t="shared" ref="H132:H195" si="110">(B132+E132+F132)*44/12+(C132+D132)*0.475*44/12</f>
        <v>208.26666666666665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414.37917672189968</v>
      </c>
      <c r="T132" s="59">
        <f t="shared" si="88"/>
        <v>546.83385887302961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68.054940152115151</v>
      </c>
      <c r="AA132" s="21">
        <f>EXP(-LN(2)/25)*AA131+(1-EXP(-LN(2)/25))/(LN(2)/25)*Calculateur!V132*Calculateur!X132*VLOOKUP('Données projet'!$B$9,Paramètres!$A$1:$I$89,3,0)*0.475*44/12</f>
        <v>8.0415945113686949</v>
      </c>
      <c r="AB132" s="21">
        <f>EXP(-LN(2)/2)*AB131+(1-EXP(-LN(2)/2))/(LN(2)/2)*V132*Y132*VLOOKUP('Données projet'!$B$9,Paramètres!$A$1:$I$89,3,0)*0.475*44/12</f>
        <v>2.1208989115082468E-10</v>
      </c>
      <c r="AC132" s="22">
        <f t="shared" ref="AC132:AC153" si="111">SUM(Z132:AB132)</f>
        <v>76.096534663695934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7.0940586738288402E-14</v>
      </c>
      <c r="AK132" s="13">
        <f t="shared" si="89"/>
        <v>1.1091816830583241E-12</v>
      </c>
      <c r="AL132" s="20">
        <f t="shared" ref="AL132:AL153" si="112">(AJ132+AK132)*0.475*44/12</f>
        <v>2.0553796198957668E-12</v>
      </c>
      <c r="AM132" s="59">
        <f t="shared" ref="AM132:AM195" si="113">AL132+(AD132+AE132)*44/12</f>
        <v>287.0043262496385</v>
      </c>
      <c r="AN132" s="59">
        <f ca="1">AVERAGE(OFFSET($AM$3,0,0,'Données projet'!$E$10+1,1))-AVERAGE(OFFSET($H$3,0,0,'Données projet'!$E$10+1,1))</f>
        <v>296.20984079604017</v>
      </c>
      <c r="AO132" s="59">
        <f t="shared" si="90"/>
        <v>351.8406329895206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51.248992996303464</v>
      </c>
      <c r="AV132" s="21">
        <f>EXP(-LN(2)/25)*AV131+(1-EXP(-LN(2)/25))/(LN(2)/25)*Calculateur!AQ132*Calculateur!AS132*VLOOKUP('Données projet'!$B$10,Paramètres!$A$1:$I$89,3,0)*0.475*44/12</f>
        <v>6.4244052960547569</v>
      </c>
      <c r="AW132" s="21">
        <f>EXP(-LN(2)/2)*AW131+(1-EXP(-LN(2)/2))/(LN(2)/2)*AQ132*AT132*VLOOKUP('Données projet'!$B$10,Paramètres!$A$1:$I$89,3,0)*0.475*44/12</f>
        <v>9.9997565154090529E-10</v>
      </c>
      <c r="AX132" s="21">
        <f t="shared" ref="AX132:AX153" si="114">SUM(AU132:AW132)</f>
        <v>57.673398293358197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-1.9863364286720756E-13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385.40047672167555</v>
      </c>
      <c r="BJ132" s="59">
        <f t="shared" si="92"/>
        <v>286.49293757741611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83.049589520898195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83.049589520898195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-5.1431925385259088E-14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397.12030701006762</v>
      </c>
      <c r="CE132" s="59">
        <f t="shared" si="94"/>
        <v>476.47513516380047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20.044005459162854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20.044005459162854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110.43805901666033</v>
      </c>
      <c r="CZ132" s="59">
        <f t="shared" si="96"/>
        <v>319.51880962151881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4.7418167469156307</v>
      </c>
      <c r="DG132" s="21">
        <f>EXP(-LN(2)/25)*DG131+(1-EXP(-LN(2)/25))/(LN(2)/25)*Calculateur!DB132*Calculateur!DD132*VLOOKUP('Données projet'!$B$13,Paramètres!$A$1:$I$89,3,0)*0.475*44/12</f>
        <v>0.88992924481813673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5.6317459917337676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3.3000000000000003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12.100000000000001</v>
      </c>
      <c r="H133" s="67">
        <f t="shared" si="110"/>
        <v>208.26666666666665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414.37917672189968</v>
      </c>
      <c r="T133" s="59">
        <f t="shared" ref="T133:T196" si="142">$T$3</f>
        <v>546.83385887302961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66.720424285146947</v>
      </c>
      <c r="AA133" s="21">
        <f>EXP(-LN(2)/25)*AA132+(1-EXP(-LN(2)/25))/(LN(2)/25)*Calculateur!V133*Calculateur!X133*VLOOKUP('Données projet'!$B$9,Paramètres!$A$1:$I$89,3,0)*0.475*44/12</f>
        <v>7.8216966865662423</v>
      </c>
      <c r="AB133" s="21">
        <f>EXP(-LN(2)/2)*AB132+(1-EXP(-LN(2)/2))/(LN(2)/2)*V133*Y133*VLOOKUP('Données projet'!$B$9,Paramètres!$A$1:$I$89,3,0)*0.475*44/12</f>
        <v>1.4997020025386487E-10</v>
      </c>
      <c r="AC133" s="22">
        <f t="shared" si="111"/>
        <v>74.542120971863156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7.0940586738288402E-14</v>
      </c>
      <c r="AK133" s="13">
        <f t="shared" ref="AK133:AK153" si="143">EXP(-1.0587+0.8836*LN(AJ133)+0.284)</f>
        <v>1.1091816830583241E-12</v>
      </c>
      <c r="AL133" s="20">
        <f t="shared" si="112"/>
        <v>2.0553796198957668E-12</v>
      </c>
      <c r="AM133" s="59">
        <f t="shared" si="113"/>
        <v>287.11412037300056</v>
      </c>
      <c r="AN133" s="59">
        <f ca="1">AVERAGE(OFFSET($AM$3,0,0,'Données projet'!$E$10+1,1))-AVERAGE(OFFSET($H$3,0,0,'Données projet'!$E$10+1,1))</f>
        <v>296.20984079604017</v>
      </c>
      <c r="AO133" s="59">
        <f t="shared" ref="AO133:AO196" si="144">$AO$3</f>
        <v>351.8406329895206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50.244031502445132</v>
      </c>
      <c r="AV133" s="21">
        <f>EXP(-LN(2)/25)*AV132+(1-EXP(-LN(2)/25))/(LN(2)/25)*Calculateur!AQ133*Calculateur!AS133*VLOOKUP('Données projet'!$B$10,Paramètres!$A$1:$I$89,3,0)*0.475*44/12</f>
        <v>6.2487295953893485</v>
      </c>
      <c r="AW133" s="21">
        <f>EXP(-LN(2)/2)*AW132+(1-EXP(-LN(2)/2))/(LN(2)/2)*AQ133*AT133*VLOOKUP('Données projet'!$B$10,Paramètres!$A$1:$I$89,3,0)*0.475*44/12</f>
        <v>7.0708956422601021E-10</v>
      </c>
      <c r="AX133" s="21">
        <f t="shared" si="114"/>
        <v>56.492761098541571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-1.9863364286720756E-13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385.40047672167555</v>
      </c>
      <c r="BJ133" s="59">
        <f t="shared" ref="BJ133:BJ196" si="146">$BJ$3</f>
        <v>286.49293757741611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81.421037725641199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81.421037725641199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-5.1431925385259088E-14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397.12030701006762</v>
      </c>
      <c r="CE133" s="59">
        <f t="shared" ref="CE133:CE196" si="148">$CE$3</f>
        <v>476.47513516380047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19.650954737744819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19.650954737744819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110.43805901666033</v>
      </c>
      <c r="CZ133" s="59">
        <f t="shared" ref="CZ133:CZ196" si="150">$CZ$3</f>
        <v>319.51880962151881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4.6488326127312476</v>
      </c>
      <c r="DG133" s="21">
        <f>EXP(-LN(2)/25)*DG132+(1-EXP(-LN(2)/25))/(LN(2)/25)*Calculateur!DB133*Calculateur!DD133*VLOOKUP('Données projet'!$B$13,Paramètres!$A$1:$I$89,3,0)*0.475*44/12</f>
        <v>0.86559408281923977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5.5144266955504877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3.3000000000000003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12.100000000000001</v>
      </c>
      <c r="H134" s="67">
        <f t="shared" si="110"/>
        <v>208.26666666666665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414.37917672189968</v>
      </c>
      <c r="T134" s="59">
        <f t="shared" si="142"/>
        <v>546.83385887302961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65.41207746035569</v>
      </c>
      <c r="AA134" s="21">
        <f>EXP(-LN(2)/25)*AA133+(1-EXP(-LN(2)/25))/(LN(2)/25)*Calculateur!V134*Calculateur!X134*VLOOKUP('Données projet'!$B$9,Paramètres!$A$1:$I$89,3,0)*0.475*44/12</f>
        <v>7.6078119793469368</v>
      </c>
      <c r="AB134" s="21">
        <f>EXP(-LN(2)/2)*AB133+(1-EXP(-LN(2)/2))/(LN(2)/2)*V134*Y134*VLOOKUP('Données projet'!$B$9,Paramètres!$A$1:$I$89,3,0)*0.475*44/12</f>
        <v>1.0604494557541234E-10</v>
      </c>
      <c r="AC134" s="22">
        <f t="shared" si="111"/>
        <v>73.019889439808665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7.0940586738288402E-14</v>
      </c>
      <c r="AK134" s="13">
        <f t="shared" si="143"/>
        <v>1.1091816830583241E-12</v>
      </c>
      <c r="AL134" s="20">
        <f t="shared" si="112"/>
        <v>2.0553796198957668E-12</v>
      </c>
      <c r="AM134" s="59">
        <f t="shared" si="113"/>
        <v>287.22200981378523</v>
      </c>
      <c r="AN134" s="59">
        <f ca="1">AVERAGE(OFFSET($AM$3,0,0,'Données projet'!$E$10+1,1))-AVERAGE(OFFSET($H$3,0,0,'Données projet'!$E$10+1,1))</f>
        <v>296.20984079604017</v>
      </c>
      <c r="AO134" s="59">
        <f t="shared" si="144"/>
        <v>351.8406329895206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49.258776690515376</v>
      </c>
      <c r="AV134" s="21">
        <f>EXP(-LN(2)/25)*AV133+(1-EXP(-LN(2)/25))/(LN(2)/25)*Calculateur!AQ134*Calculateur!AS134*VLOOKUP('Données projet'!$B$10,Paramètres!$A$1:$I$89,3,0)*0.475*44/12</f>
        <v>6.0778577559970186</v>
      </c>
      <c r="AW134" s="21">
        <f>EXP(-LN(2)/2)*AW133+(1-EXP(-LN(2)/2))/(LN(2)/2)*AQ134*AT134*VLOOKUP('Données projet'!$B$10,Paramètres!$A$1:$I$89,3,0)*0.475*44/12</f>
        <v>4.9998782577045265E-10</v>
      </c>
      <c r="AX134" s="21">
        <f t="shared" si="114"/>
        <v>55.336634447012379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-1.9863364286720756E-13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385.40047672167555</v>
      </c>
      <c r="BJ134" s="59">
        <f t="shared" si="146"/>
        <v>286.49293757741611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79.824420837770674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79.824420837770674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-5.1431925385259088E-14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397.12030701006762</v>
      </c>
      <c r="CE134" s="59">
        <f t="shared" si="148"/>
        <v>476.47513516380047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19.265611501236524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19.265611501236524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110.43805901666033</v>
      </c>
      <c r="CZ134" s="59">
        <f t="shared" si="150"/>
        <v>319.51880962151881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4.5576718407034988</v>
      </c>
      <c r="DG134" s="21">
        <f>EXP(-LN(2)/25)*DG133+(1-EXP(-LN(2)/25))/(LN(2)/25)*Calculateur!DB134*Calculateur!DD134*VLOOKUP('Données projet'!$B$13,Paramètres!$A$1:$I$89,3,0)*0.475*44/12</f>
        <v>0.84192436710493324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5.3995962078084325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3.3000000000000003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12.100000000000001</v>
      </c>
      <c r="H135" s="67">
        <f t="shared" si="110"/>
        <v>208.26666666666665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414.37917672189968</v>
      </c>
      <c r="T135" s="59">
        <f t="shared" si="142"/>
        <v>546.83385887302961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64.129386518785822</v>
      </c>
      <c r="AA135" s="21">
        <f>EXP(-LN(2)/25)*AA134+(1-EXP(-LN(2)/25))/(LN(2)/25)*Calculateur!V135*Calculateur!X135*VLOOKUP('Données projet'!$B$9,Paramètres!$A$1:$I$89,3,0)*0.475*44/12</f>
        <v>7.3997759606942504</v>
      </c>
      <c r="AB135" s="21">
        <f>EXP(-LN(2)/2)*AB134+(1-EXP(-LN(2)/2))/(LN(2)/2)*V135*Y135*VLOOKUP('Données projet'!$B$9,Paramètres!$A$1:$I$89,3,0)*0.475*44/12</f>
        <v>7.4985100126932435E-11</v>
      </c>
      <c r="AC135" s="22">
        <f t="shared" si="111"/>
        <v>71.529162479555069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7.0940586738288402E-14</v>
      </c>
      <c r="AK135" s="13">
        <f t="shared" si="143"/>
        <v>1.1091816830583241E-12</v>
      </c>
      <c r="AL135" s="20">
        <f t="shared" si="112"/>
        <v>2.0553796198957668E-12</v>
      </c>
      <c r="AM135" s="59">
        <f t="shared" si="113"/>
        <v>287.32802761397681</v>
      </c>
      <c r="AN135" s="59">
        <f ca="1">AVERAGE(OFFSET($AM$3,0,0,'Données projet'!$E$10+1,1))-AVERAGE(OFFSET($H$3,0,0,'Données projet'!$E$10+1,1))</f>
        <v>296.20984079604017</v>
      </c>
      <c r="AO135" s="59">
        <f t="shared" si="144"/>
        <v>351.8406329895206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48.292842124501462</v>
      </c>
      <c r="AV135" s="21">
        <f>EXP(-LN(2)/25)*AV134+(1-EXP(-LN(2)/25))/(LN(2)/25)*Calculateur!AQ135*Calculateur!AS135*VLOOKUP('Données projet'!$B$10,Paramètres!$A$1:$I$89,3,0)*0.475*44/12</f>
        <v>5.9116584160386321</v>
      </c>
      <c r="AW135" s="21">
        <f>EXP(-LN(2)/2)*AW134+(1-EXP(-LN(2)/2))/(LN(2)/2)*AQ135*AT135*VLOOKUP('Données projet'!$B$10,Paramètres!$A$1:$I$89,3,0)*0.475*44/12</f>
        <v>3.5354478211300511E-10</v>
      </c>
      <c r="AX135" s="21">
        <f t="shared" si="114"/>
        <v>54.20450054089364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-1.9863364286720756E-13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385.40047672167555</v>
      </c>
      <c r="BJ135" s="59">
        <f t="shared" si="146"/>
        <v>286.49293757741611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78.259112633231155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78.259112633231155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-5.1431925385259088E-14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397.12030701006762</v>
      </c>
      <c r="CE135" s="59">
        <f t="shared" si="148"/>
        <v>476.47513516380047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18.887824610559992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18.887824610559992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110.43805901666033</v>
      </c>
      <c r="CZ135" s="59">
        <f t="shared" si="150"/>
        <v>319.51880962151881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4.4682986758126333</v>
      </c>
      <c r="DG135" s="21">
        <f>EXP(-LN(2)/25)*DG134+(1-EXP(-LN(2)/25))/(LN(2)/25)*Calculateur!DB135*Calculateur!DD135*VLOOKUP('Données projet'!$B$13,Paramètres!$A$1:$I$89,3,0)*0.475*44/12</f>
        <v>0.81890190101157057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5.2872005768242039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3.3000000000000003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12.100000000000001</v>
      </c>
      <c r="H136" s="67">
        <f t="shared" si="110"/>
        <v>208.26666666666665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414.37917672189968</v>
      </c>
      <c r="T136" s="59">
        <f t="shared" si="142"/>
        <v>546.83385887302961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62.871848364215914</v>
      </c>
      <c r="AA136" s="21">
        <f>EXP(-LN(2)/25)*AA135+(1-EXP(-LN(2)/25))/(LN(2)/25)*Calculateur!V136*Calculateur!X136*VLOOKUP('Données projet'!$B$9,Paramètres!$A$1:$I$89,3,0)*0.475*44/12</f>
        <v>7.1974286979117608</v>
      </c>
      <c r="AB136" s="21">
        <f>EXP(-LN(2)/2)*AB135+(1-EXP(-LN(2)/2))/(LN(2)/2)*V136*Y136*VLOOKUP('Données projet'!$B$9,Paramètres!$A$1:$I$89,3,0)*0.475*44/12</f>
        <v>5.3022472787706171E-11</v>
      </c>
      <c r="AC136" s="22">
        <f t="shared" si="111"/>
        <v>70.069277062180689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7.0940586738288402E-14</v>
      </c>
      <c r="AK136" s="13">
        <f t="shared" si="143"/>
        <v>1.1091816830583241E-12</v>
      </c>
      <c r="AL136" s="20">
        <f t="shared" si="112"/>
        <v>2.0553796198957668E-12</v>
      </c>
      <c r="AM136" s="59">
        <f t="shared" si="113"/>
        <v>287.43220624235545</v>
      </c>
      <c r="AN136" s="59">
        <f ca="1">AVERAGE(OFFSET($AM$3,0,0,'Données projet'!$E$10+1,1))-AVERAGE(OFFSET($H$3,0,0,'Données projet'!$E$10+1,1))</f>
        <v>296.20984079604017</v>
      </c>
      <c r="AO136" s="59">
        <f t="shared" si="144"/>
        <v>351.8406329895206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47.345848946165169</v>
      </c>
      <c r="AV136" s="21">
        <f>EXP(-LN(2)/25)*AV135+(1-EXP(-LN(2)/25))/(LN(2)/25)*Calculateur!AQ136*Calculateur!AS136*VLOOKUP('Données projet'!$B$10,Paramètres!$A$1:$I$89,3,0)*0.475*44/12</f>
        <v>5.7500038057714509</v>
      </c>
      <c r="AW136" s="21">
        <f>EXP(-LN(2)/2)*AW135+(1-EXP(-LN(2)/2))/(LN(2)/2)*AQ136*AT136*VLOOKUP('Données projet'!$B$10,Paramètres!$A$1:$I$89,3,0)*0.475*44/12</f>
        <v>2.4999391288522632E-10</v>
      </c>
      <c r="AX136" s="21">
        <f t="shared" si="114"/>
        <v>53.095852752186616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-1.9863364286720756E-13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385.40047672167555</v>
      </c>
      <c r="BJ136" s="59">
        <f t="shared" si="146"/>
        <v>286.49293757741611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76.724499167838928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76.724499167838928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-5.1431925385259088E-14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397.12030701006762</v>
      </c>
      <c r="CE136" s="59">
        <f t="shared" si="148"/>
        <v>476.47513516380047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18.517445890382376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18.517445890382376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110.43805901666033</v>
      </c>
      <c r="CZ136" s="59">
        <f t="shared" si="150"/>
        <v>319.51880962151881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4.3806780641730292</v>
      </c>
      <c r="DG136" s="21">
        <f>EXP(-LN(2)/25)*DG135+(1-EXP(-LN(2)/25))/(LN(2)/25)*Calculateur!DB136*Calculateur!DD136*VLOOKUP('Données projet'!$B$13,Paramètres!$A$1:$I$89,3,0)*0.475*44/12</f>
        <v>0.79650898546422977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5.1771870496372587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3.3000000000000003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12.100000000000001</v>
      </c>
      <c r="H137" s="67">
        <f t="shared" si="110"/>
        <v>208.26666666666665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414.37917672189968</v>
      </c>
      <c r="T137" s="59">
        <f t="shared" si="142"/>
        <v>546.83385887302961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61.638969765834588</v>
      </c>
      <c r="AA137" s="21">
        <f>EXP(-LN(2)/25)*AA136+(1-EXP(-LN(2)/25))/(LN(2)/25)*Calculateur!V137*Calculateur!X137*VLOOKUP('Données projet'!$B$9,Paramètres!$A$1:$I$89,3,0)*0.475*44/12</f>
        <v>7.0006146316710387</v>
      </c>
      <c r="AB137" s="21">
        <f>EXP(-LN(2)/2)*AB136+(1-EXP(-LN(2)/2))/(LN(2)/2)*V137*Y137*VLOOKUP('Données projet'!$B$9,Paramètres!$A$1:$I$89,3,0)*0.475*44/12</f>
        <v>3.7492550063466217E-11</v>
      </c>
      <c r="AC137" s="22">
        <f t="shared" si="111"/>
        <v>68.639584397543118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7.0940586738288402E-14</v>
      </c>
      <c r="AK137" s="13">
        <f t="shared" si="143"/>
        <v>1.1091816830583241E-12</v>
      </c>
      <c r="AL137" s="20">
        <f t="shared" si="112"/>
        <v>2.0553796198957668E-12</v>
      </c>
      <c r="AM137" s="59">
        <f t="shared" si="113"/>
        <v>287.53457760444024</v>
      </c>
      <c r="AN137" s="59">
        <f ca="1">AVERAGE(OFFSET($AM$3,0,0,'Données projet'!$E$10+1,1))-AVERAGE(OFFSET($H$3,0,0,'Données projet'!$E$10+1,1))</f>
        <v>296.20984079604017</v>
      </c>
      <c r="AO137" s="59">
        <f t="shared" si="144"/>
        <v>351.8406329895206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46.417425726447249</v>
      </c>
      <c r="AV137" s="21">
        <f>EXP(-LN(2)/25)*AV136+(1-EXP(-LN(2)/25))/(LN(2)/25)*Calculateur!AQ137*Calculateur!AS137*VLOOKUP('Données projet'!$B$10,Paramètres!$A$1:$I$89,3,0)*0.475*44/12</f>
        <v>5.5927696493230723</v>
      </c>
      <c r="AW137" s="21">
        <f>EXP(-LN(2)/2)*AW136+(1-EXP(-LN(2)/2))/(LN(2)/2)*AQ137*AT137*VLOOKUP('Données projet'!$B$10,Paramètres!$A$1:$I$89,3,0)*0.475*44/12</f>
        <v>1.7677239105650255E-10</v>
      </c>
      <c r="AX137" s="21">
        <f t="shared" si="114"/>
        <v>52.010195375947099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-1.9863364286720756E-13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385.40047672167555</v>
      </c>
      <c r="BJ137" s="59">
        <f t="shared" si="146"/>
        <v>286.49293757741611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75.21997853648125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75.21997853648125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-5.1431925385259088E-14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397.12030701006762</v>
      </c>
      <c r="CE137" s="59">
        <f t="shared" si="148"/>
        <v>476.47513516380047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18.154330070998729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18.154330070998729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110.43805901666033</v>
      </c>
      <c r="CZ137" s="59">
        <f t="shared" si="150"/>
        <v>319.51880962151881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4.2947756392843823</v>
      </c>
      <c r="DG137" s="21">
        <f>EXP(-LN(2)/25)*DG136+(1-EXP(-LN(2)/25))/(LN(2)/25)*Calculateur!DB137*Calculateur!DD137*VLOOKUP('Données projet'!$B$13,Paramètres!$A$1:$I$89,3,0)*0.475*44/12</f>
        <v>0.77472840537012333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5.0695040446545061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3.3000000000000003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12.100000000000001</v>
      </c>
      <c r="H138" s="67">
        <f t="shared" si="110"/>
        <v>208.26666666666665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414.37917672189968</v>
      </c>
      <c r="T138" s="59">
        <f t="shared" si="142"/>
        <v>546.83385887302961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60.430267164785825</v>
      </c>
      <c r="AA138" s="21">
        <f>EXP(-LN(2)/25)*AA137+(1-EXP(-LN(2)/25))/(LN(2)/25)*Calculateur!V138*Calculateur!X138*VLOOKUP('Données projet'!$B$9,Paramètres!$A$1:$I$89,3,0)*0.475*44/12</f>
        <v>6.809182456421671</v>
      </c>
      <c r="AB138" s="21">
        <f>EXP(-LN(2)/2)*AB137+(1-EXP(-LN(2)/2))/(LN(2)/2)*V138*Y138*VLOOKUP('Données projet'!$B$9,Paramètres!$A$1:$I$89,3,0)*0.475*44/12</f>
        <v>2.6511236393853086E-11</v>
      </c>
      <c r="AC138" s="22">
        <f t="shared" si="111"/>
        <v>67.239449621234016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7.0940586738288402E-14</v>
      </c>
      <c r="AK138" s="13">
        <f t="shared" si="143"/>
        <v>1.1091816830583241E-12</v>
      </c>
      <c r="AL138" s="20">
        <f t="shared" si="112"/>
        <v>2.0553796198957668E-12</v>
      </c>
      <c r="AM138" s="59">
        <f t="shared" si="113"/>
        <v>287.63517305226088</v>
      </c>
      <c r="AN138" s="59">
        <f ca="1">AVERAGE(OFFSET($AM$3,0,0,'Données projet'!$E$10+1,1))-AVERAGE(OFFSET($H$3,0,0,'Données projet'!$E$10+1,1))</f>
        <v>296.20984079604017</v>
      </c>
      <c r="AO138" s="59">
        <f t="shared" si="144"/>
        <v>351.8406329895206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45.507208319785747</v>
      </c>
      <c r="AV138" s="21">
        <f>EXP(-LN(2)/25)*AV137+(1-EXP(-LN(2)/25))/(LN(2)/25)*Calculateur!AQ138*Calculateur!AS138*VLOOKUP('Données projet'!$B$10,Paramètres!$A$1:$I$89,3,0)*0.475*44/12</f>
        <v>5.4398350691513597</v>
      </c>
      <c r="AW138" s="21">
        <f>EXP(-LN(2)/2)*AW137+(1-EXP(-LN(2)/2))/(LN(2)/2)*AQ138*AT138*VLOOKUP('Données projet'!$B$10,Paramètres!$A$1:$I$89,3,0)*0.475*44/12</f>
        <v>1.2499695644261316E-10</v>
      </c>
      <c r="AX138" s="21">
        <f t="shared" si="114"/>
        <v>50.947043389062102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-1.9863364286720756E-13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385.40047672167555</v>
      </c>
      <c r="BJ138" s="59">
        <f t="shared" si="146"/>
        <v>286.49293757741611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73.744960637037522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73.744960637037522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-5.1431925385259088E-14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397.12030701006762</v>
      </c>
      <c r="CE138" s="59">
        <f t="shared" si="148"/>
        <v>476.47513516380047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17.798334731354416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17.798334731354416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110.43805901666033</v>
      </c>
      <c r="CZ138" s="59">
        <f t="shared" si="150"/>
        <v>319.51880962151881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4.2105577085524963</v>
      </c>
      <c r="DG138" s="21">
        <f>EXP(-LN(2)/25)*DG137+(1-EXP(-LN(2)/25))/(LN(2)/25)*Calculateur!DB138*Calculateur!DD138*VLOOKUP('Données projet'!$B$13,Paramètres!$A$1:$I$89,3,0)*0.475*44/12</f>
        <v>0.75354341638408118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4.9641011249365778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3.3000000000000003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12.100000000000001</v>
      </c>
      <c r="H139" s="67">
        <f t="shared" si="110"/>
        <v>208.26666666666665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414.37917672189968</v>
      </c>
      <c r="T139" s="59">
        <f t="shared" si="142"/>
        <v>546.83385887302961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59.245266484507837</v>
      </c>
      <c r="AA139" s="21">
        <f>EXP(-LN(2)/25)*AA138+(1-EXP(-LN(2)/25))/(LN(2)/25)*Calculateur!V139*Calculateur!X139*VLOOKUP('Données projet'!$B$9,Paramètres!$A$1:$I$89,3,0)*0.475*44/12</f>
        <v>6.6229850040714773</v>
      </c>
      <c r="AB139" s="21">
        <f>EXP(-LN(2)/2)*AB138+(1-EXP(-LN(2)/2))/(LN(2)/2)*V139*Y139*VLOOKUP('Données projet'!$B$9,Paramètres!$A$1:$I$89,3,0)*0.475*44/12</f>
        <v>1.8746275031733109E-11</v>
      </c>
      <c r="AC139" s="22">
        <f t="shared" si="111"/>
        <v>65.868251488598062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7.0940586738288402E-14</v>
      </c>
      <c r="AK139" s="13">
        <f t="shared" si="143"/>
        <v>1.1091816830583241E-12</v>
      </c>
      <c r="AL139" s="20">
        <f t="shared" si="112"/>
        <v>2.0553796198957668E-12</v>
      </c>
      <c r="AM139" s="59">
        <f t="shared" si="113"/>
        <v>287.73402339395966</v>
      </c>
      <c r="AN139" s="59">
        <f ca="1">AVERAGE(OFFSET($AM$3,0,0,'Données projet'!$E$10+1,1))-AVERAGE(OFFSET($H$3,0,0,'Données projet'!$E$10+1,1))</f>
        <v>296.20984079604017</v>
      </c>
      <c r="AO139" s="59">
        <f t="shared" si="144"/>
        <v>351.8406329895206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44.614839721291084</v>
      </c>
      <c r="AV139" s="21">
        <f>EXP(-LN(2)/25)*AV138+(1-EXP(-LN(2)/25))/(LN(2)/25)*Calculateur!AQ139*Calculateur!AS139*VLOOKUP('Données projet'!$B$10,Paramètres!$A$1:$I$89,3,0)*0.475*44/12</f>
        <v>5.2910824931169227</v>
      </c>
      <c r="AW139" s="21">
        <f>EXP(-LN(2)/2)*AW138+(1-EXP(-LN(2)/2))/(LN(2)/2)*AQ139*AT139*VLOOKUP('Données projet'!$B$10,Paramètres!$A$1:$I$89,3,0)*0.475*44/12</f>
        <v>8.8386195528251277E-11</v>
      </c>
      <c r="AX139" s="21">
        <f t="shared" si="114"/>
        <v>49.905922214496393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-1.9863364286720756E-13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385.40047672167555</v>
      </c>
      <c r="BJ139" s="59">
        <f t="shared" si="146"/>
        <v>286.49293757741611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72.298866938929805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72.298866938929805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-5.1431925385259088E-14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397.12030701006762</v>
      </c>
      <c r="CE139" s="59">
        <f t="shared" si="148"/>
        <v>476.47513516380047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17.449320243184811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17.449320243184811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110.43805901666033</v>
      </c>
      <c r="CZ139" s="59">
        <f t="shared" si="150"/>
        <v>319.51880962151881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4.1279912400743966</v>
      </c>
      <c r="DG139" s="21">
        <f>EXP(-LN(2)/25)*DG138+(1-EXP(-LN(2)/25))/(LN(2)/25)*Calculateur!DB139*Calculateur!DD139*VLOOKUP('Données projet'!$B$13,Paramètres!$A$1:$I$89,3,0)*0.475*44/12</f>
        <v>0.73293773203593249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4.8609289721103295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3.3000000000000003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12.100000000000001</v>
      </c>
      <c r="H140" s="67">
        <f t="shared" si="110"/>
        <v>208.26666666666665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414.37917672189968</v>
      </c>
      <c r="T140" s="59">
        <f t="shared" si="142"/>
        <v>546.83385887302961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58.083502944791057</v>
      </c>
      <c r="AA140" s="21">
        <f>EXP(-LN(2)/25)*AA139+(1-EXP(-LN(2)/25))/(LN(2)/25)*Calculateur!V140*Calculateur!X140*VLOOKUP('Données projet'!$B$9,Paramètres!$A$1:$I$89,3,0)*0.475*44/12</f>
        <v>6.4418791308474983</v>
      </c>
      <c r="AB140" s="21">
        <f>EXP(-LN(2)/2)*AB139+(1-EXP(-LN(2)/2))/(LN(2)/2)*V140*Y140*VLOOKUP('Données projet'!$B$9,Paramètres!$A$1:$I$89,3,0)*0.475*44/12</f>
        <v>1.3255618196926543E-11</v>
      </c>
      <c r="AC140" s="22">
        <f t="shared" si="111"/>
        <v>64.525382075651819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7.0940586738288402E-14</v>
      </c>
      <c r="AK140" s="13">
        <f t="shared" si="143"/>
        <v>1.1091816830583241E-12</v>
      </c>
      <c r="AL140" s="20">
        <f t="shared" si="112"/>
        <v>2.0553796198957668E-12</v>
      </c>
      <c r="AM140" s="59">
        <f t="shared" si="113"/>
        <v>287.83115890322614</v>
      </c>
      <c r="AN140" s="59">
        <f ca="1">AVERAGE(OFFSET($AM$3,0,0,'Données projet'!$E$10+1,1))-AVERAGE(OFFSET($H$3,0,0,'Données projet'!$E$10+1,1))</f>
        <v>296.20984079604017</v>
      </c>
      <c r="AO140" s="59">
        <f t="shared" si="144"/>
        <v>351.8406329895206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43.739969926721798</v>
      </c>
      <c r="AV140" s="21">
        <f>EXP(-LN(2)/25)*AV139+(1-EXP(-LN(2)/25))/(LN(2)/25)*Calculateur!AQ140*Calculateur!AS140*VLOOKUP('Données projet'!$B$10,Paramètres!$A$1:$I$89,3,0)*0.475*44/12</f>
        <v>5.1463975640967048</v>
      </c>
      <c r="AW140" s="21">
        <f>EXP(-LN(2)/2)*AW139+(1-EXP(-LN(2)/2))/(LN(2)/2)*AQ140*AT140*VLOOKUP('Données projet'!$B$10,Paramètres!$A$1:$I$89,3,0)*0.475*44/12</f>
        <v>6.2498478221306581E-11</v>
      </c>
      <c r="AX140" s="21">
        <f t="shared" si="114"/>
        <v>48.886367490881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-1.9863364286720756E-13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385.40047672167555</v>
      </c>
      <c r="BJ140" s="59">
        <f t="shared" si="146"/>
        <v>286.49293757741611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70.881130256211918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70.881130256211918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-5.1431925385259088E-14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397.12030701006762</v>
      </c>
      <c r="CE140" s="59">
        <f t="shared" si="148"/>
        <v>476.47513516380047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17.107149716250394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17.107149716250394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110.43805901666033</v>
      </c>
      <c r="CZ140" s="59">
        <f t="shared" si="150"/>
        <v>319.51880962151881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4.0470438496825798</v>
      </c>
      <c r="DG140" s="21">
        <f>EXP(-LN(2)/25)*DG139+(1-EXP(-LN(2)/25))/(LN(2)/25)*Calculateur!DB140*Calculateur!DD140*VLOOKUP('Données projet'!$B$13,Paramètres!$A$1:$I$89,3,0)*0.475*44/12</f>
        <v>0.7128955112098897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4.7599393608924698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3.3000000000000003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12.100000000000001</v>
      </c>
      <c r="H141" s="67">
        <f t="shared" si="110"/>
        <v>208.26666666666665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414.37917672189968</v>
      </c>
      <c r="T141" s="59">
        <f t="shared" si="142"/>
        <v>546.83385887302961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56.944520879482333</v>
      </c>
      <c r="AA141" s="21">
        <f>EXP(-LN(2)/25)*AA140+(1-EXP(-LN(2)/25))/(LN(2)/25)*Calculateur!V141*Calculateur!X141*VLOOKUP('Données projet'!$B$9,Paramètres!$A$1:$I$89,3,0)*0.475*44/12</f>
        <v>6.265725607250773</v>
      </c>
      <c r="AB141" s="21">
        <f>EXP(-LN(2)/2)*AB140+(1-EXP(-LN(2)/2))/(LN(2)/2)*V141*Y141*VLOOKUP('Données projet'!$B$9,Paramètres!$A$1:$I$89,3,0)*0.475*44/12</f>
        <v>9.3731375158665544E-12</v>
      </c>
      <c r="AC141" s="22">
        <f t="shared" si="111"/>
        <v>63.210246486742477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7.0940586738288402E-14</v>
      </c>
      <c r="AK141" s="13">
        <f t="shared" si="143"/>
        <v>1.1091816830583241E-12</v>
      </c>
      <c r="AL141" s="20">
        <f t="shared" si="112"/>
        <v>2.0553796198957668E-12</v>
      </c>
      <c r="AM141" s="59">
        <f t="shared" si="113"/>
        <v>287.92660932856933</v>
      </c>
      <c r="AN141" s="59">
        <f ca="1">AVERAGE(OFFSET($AM$3,0,0,'Données projet'!$E$10+1,1))-AVERAGE(OFFSET($H$3,0,0,'Données projet'!$E$10+1,1))</f>
        <v>296.20984079604017</v>
      </c>
      <c r="AO141" s="59">
        <f t="shared" si="144"/>
        <v>351.8406329895206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42.882255795206135</v>
      </c>
      <c r="AV141" s="21">
        <f>EXP(-LN(2)/25)*AV140+(1-EXP(-LN(2)/25))/(LN(2)/25)*Calculateur!AQ141*Calculateur!AS141*VLOOKUP('Données projet'!$B$10,Paramètres!$A$1:$I$89,3,0)*0.475*44/12</f>
        <v>5.0056690520691944</v>
      </c>
      <c r="AW141" s="21">
        <f>EXP(-LN(2)/2)*AW140+(1-EXP(-LN(2)/2))/(LN(2)/2)*AQ141*AT141*VLOOKUP('Données projet'!$B$10,Paramètres!$A$1:$I$89,3,0)*0.475*44/12</f>
        <v>4.4193097764125638E-11</v>
      </c>
      <c r="AX141" s="21">
        <f t="shared" si="114"/>
        <v>47.887924847319525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-1.9863364286720756E-13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385.40047672167555</v>
      </c>
      <c r="BJ141" s="59">
        <f t="shared" si="146"/>
        <v>286.49293757741611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69.491194525108128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69.491194525108128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-5.1431925385259088E-14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397.12030701006762</v>
      </c>
      <c r="CE141" s="59">
        <f t="shared" si="148"/>
        <v>476.47513516380047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16.771688944645746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16.771688944645746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110.43805901666033</v>
      </c>
      <c r="CZ141" s="59">
        <f t="shared" si="150"/>
        <v>319.51880962151881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3.9676837882433134</v>
      </c>
      <c r="DG141" s="21">
        <f>EXP(-LN(2)/25)*DG140+(1-EXP(-LN(2)/25))/(LN(2)/25)*Calculateur!DB141*Calculateur!DD141*VLOOKUP('Données projet'!$B$13,Paramètres!$A$1:$I$89,3,0)*0.475*44/12</f>
        <v>0.69340134596630965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4.6610851342096229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3.3000000000000003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12.100000000000001</v>
      </c>
      <c r="H142" s="67">
        <f t="shared" si="110"/>
        <v>208.26666666666665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414.37917672189968</v>
      </c>
      <c r="T142" s="59">
        <f t="shared" si="142"/>
        <v>546.83385887302961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55.827873557763851</v>
      </c>
      <c r="AA142" s="21">
        <f>EXP(-LN(2)/25)*AA141+(1-EXP(-LN(2)/25))/(LN(2)/25)*Calculateur!V142*Calculateur!X142*VLOOKUP('Données projet'!$B$9,Paramètres!$A$1:$I$89,3,0)*0.475*44/12</f>
        <v>6.0943890110203114</v>
      </c>
      <c r="AB142" s="21">
        <f>EXP(-LN(2)/2)*AB141+(1-EXP(-LN(2)/2))/(LN(2)/2)*V142*Y142*VLOOKUP('Données projet'!$B$9,Paramètres!$A$1:$I$89,3,0)*0.475*44/12</f>
        <v>6.6278090984632714E-12</v>
      </c>
      <c r="AC142" s="22">
        <f t="shared" si="111"/>
        <v>61.922262568790792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7.0940586738288402E-14</v>
      </c>
      <c r="AK142" s="13">
        <f t="shared" si="143"/>
        <v>1.1091816830583241E-12</v>
      </c>
      <c r="AL142" s="20">
        <f t="shared" si="112"/>
        <v>2.0553796198957668E-12</v>
      </c>
      <c r="AM142" s="59">
        <f t="shared" si="113"/>
        <v>288.02040390242797</v>
      </c>
      <c r="AN142" s="59">
        <f ca="1">AVERAGE(OFFSET($AM$3,0,0,'Données projet'!$E$10+1,1))-AVERAGE(OFFSET($H$3,0,0,'Données projet'!$E$10+1,1))</f>
        <v>296.20984079604017</v>
      </c>
      <c r="AO142" s="59">
        <f t="shared" si="144"/>
        <v>351.8406329895206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42.041360914655527</v>
      </c>
      <c r="AV142" s="21">
        <f>EXP(-LN(2)/25)*AV141+(1-EXP(-LN(2)/25))/(LN(2)/25)*Calculateur!AQ142*Calculateur!AS142*VLOOKUP('Données projet'!$B$10,Paramètres!$A$1:$I$89,3,0)*0.475*44/12</f>
        <v>4.8687887686036673</v>
      </c>
      <c r="AW142" s="21">
        <f>EXP(-LN(2)/2)*AW141+(1-EXP(-LN(2)/2))/(LN(2)/2)*AQ142*AT142*VLOOKUP('Données projet'!$B$10,Paramètres!$A$1:$I$89,3,0)*0.475*44/12</f>
        <v>3.124923911065329E-11</v>
      </c>
      <c r="AX142" s="21">
        <f t="shared" si="114"/>
        <v>46.910149683290442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-1.9863364286720756E-13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385.40047672167555</v>
      </c>
      <c r="BJ142" s="59">
        <f t="shared" si="146"/>
        <v>286.49293757741611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68.128514585914203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68.128514585914203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-5.1431925385259088E-14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397.12030701006762</v>
      </c>
      <c r="CE142" s="59">
        <f t="shared" si="148"/>
        <v>476.47513516380047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16.442806354161398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16.442806354161398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110.43805901666033</v>
      </c>
      <c r="CZ142" s="59">
        <f t="shared" si="150"/>
        <v>319.51880962151881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3.8898799292040129</v>
      </c>
      <c r="DG142" s="21">
        <f>EXP(-LN(2)/25)*DG141+(1-EXP(-LN(2)/25))/(LN(2)/25)*Calculateur!DB142*Calculateur!DD142*VLOOKUP('Données projet'!$B$13,Paramètres!$A$1:$I$89,3,0)*0.475*44/12</f>
        <v>0.67444024969646887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4.5643201789004815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3.3000000000000003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12.100000000000001</v>
      </c>
      <c r="H143" s="67">
        <f t="shared" si="110"/>
        <v>208.26666666666665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414.37917672189968</v>
      </c>
      <c r="T143" s="59">
        <f t="shared" si="142"/>
        <v>546.83385887302961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54.733123008936651</v>
      </c>
      <c r="AA143" s="21">
        <f>EXP(-LN(2)/25)*AA142+(1-EXP(-LN(2)/25))/(LN(2)/25)*Calculateur!V143*Calculateur!X143*VLOOKUP('Données projet'!$B$9,Paramètres!$A$1:$I$89,3,0)*0.475*44/12</f>
        <v>5.9277376230239716</v>
      </c>
      <c r="AB143" s="21">
        <f>EXP(-LN(2)/2)*AB142+(1-EXP(-LN(2)/2))/(LN(2)/2)*V143*Y143*VLOOKUP('Données projet'!$B$9,Paramètres!$A$1:$I$89,3,0)*0.475*44/12</f>
        <v>4.6865687579332772E-12</v>
      </c>
      <c r="AC143" s="22">
        <f t="shared" si="111"/>
        <v>60.660860631965313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7.0940586738288402E-14</v>
      </c>
      <c r="AK143" s="13">
        <f t="shared" si="143"/>
        <v>1.1091816830583241E-12</v>
      </c>
      <c r="AL143" s="20">
        <f t="shared" si="112"/>
        <v>2.0553796198957668E-12</v>
      </c>
      <c r="AM143" s="59">
        <f t="shared" si="113"/>
        <v>288.11257135012346</v>
      </c>
      <c r="AN143" s="59">
        <f ca="1">AVERAGE(OFFSET($AM$3,0,0,'Données projet'!$E$10+1,1))-AVERAGE(OFFSET($H$3,0,0,'Données projet'!$E$10+1,1))</f>
        <v>296.20984079604017</v>
      </c>
      <c r="AO143" s="59">
        <f t="shared" si="144"/>
        <v>351.8406329895206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41.216955469817286</v>
      </c>
      <c r="AV143" s="21">
        <f>EXP(-LN(2)/25)*AV142+(1-EXP(-LN(2)/25))/(LN(2)/25)*Calculateur!AQ143*Calculateur!AS143*VLOOKUP('Données projet'!$B$10,Paramètres!$A$1:$I$89,3,0)*0.475*44/12</f>
        <v>4.7356514836877261</v>
      </c>
      <c r="AW143" s="21">
        <f>EXP(-LN(2)/2)*AW142+(1-EXP(-LN(2)/2))/(LN(2)/2)*AQ143*AT143*VLOOKUP('Données projet'!$B$10,Paramètres!$A$1:$I$89,3,0)*0.475*44/12</f>
        <v>2.2096548882062819E-11</v>
      </c>
      <c r="AX143" s="21">
        <f t="shared" si="114"/>
        <v>45.952606953527109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-1.9863364286720756E-13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385.40047672167555</v>
      </c>
      <c r="BJ143" s="59">
        <f t="shared" si="146"/>
        <v>286.49293757741611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66.792555969175183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66.792555969175183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-5.1431925385259088E-14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397.12030701006762</v>
      </c>
      <c r="CE143" s="59">
        <f t="shared" si="148"/>
        <v>476.47513516380047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16.120372950677876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16.120372950677876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110.43805901666033</v>
      </c>
      <c r="CZ143" s="59">
        <f t="shared" si="150"/>
        <v>319.51880962151881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3.8136017563848048</v>
      </c>
      <c r="DG143" s="21">
        <f>EXP(-LN(2)/25)*DG142+(1-EXP(-LN(2)/25))/(LN(2)/25)*Calculateur!DB143*Calculateur!DD143*VLOOKUP('Données projet'!$B$13,Paramètres!$A$1:$I$89,3,0)*0.475*44/12</f>
        <v>0.65599764560124763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4.4695994019860521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3.3000000000000003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12.100000000000001</v>
      </c>
      <c r="H144" s="67">
        <f t="shared" si="110"/>
        <v>208.26666666666665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414.37917672189968</v>
      </c>
      <c r="T144" s="59">
        <f t="shared" si="142"/>
        <v>546.83385887302961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53.659839850640054</v>
      </c>
      <c r="AA144" s="21">
        <f>EXP(-LN(2)/25)*AA143+(1-EXP(-LN(2)/25))/(LN(2)/25)*Calculateur!V144*Calculateur!X144*VLOOKUP('Données projet'!$B$9,Paramètres!$A$1:$I$89,3,0)*0.475*44/12</f>
        <v>5.7656433259962077</v>
      </c>
      <c r="AB144" s="21">
        <f>EXP(-LN(2)/2)*AB143+(1-EXP(-LN(2)/2))/(LN(2)/2)*V144*Y144*VLOOKUP('Données projet'!$B$9,Paramètres!$A$1:$I$89,3,0)*0.475*44/12</f>
        <v>3.3139045492316357E-12</v>
      </c>
      <c r="AC144" s="22">
        <f t="shared" si="111"/>
        <v>59.425483176639574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7.0940586738288402E-14</v>
      </c>
      <c r="AK144" s="13">
        <f t="shared" si="143"/>
        <v>1.1091816830583241E-12</v>
      </c>
      <c r="AL144" s="20">
        <f t="shared" si="112"/>
        <v>2.0553796198957668E-12</v>
      </c>
      <c r="AM144" s="59">
        <f t="shared" si="113"/>
        <v>288.20313989865696</v>
      </c>
      <c r="AN144" s="59">
        <f ca="1">AVERAGE(OFFSET($AM$3,0,0,'Données projet'!$E$10+1,1))-AVERAGE(OFFSET($H$3,0,0,'Données projet'!$E$10+1,1))</f>
        <v>296.20984079604017</v>
      </c>
      <c r="AO144" s="59">
        <f t="shared" si="144"/>
        <v>351.8406329895206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40.408716112914654</v>
      </c>
      <c r="AV144" s="21">
        <f>EXP(-LN(2)/25)*AV143+(1-EXP(-LN(2)/25))/(LN(2)/25)*Calculateur!AQ144*Calculateur!AS144*VLOOKUP('Données projet'!$B$10,Paramètres!$A$1:$I$89,3,0)*0.475*44/12</f>
        <v>4.6061548448291969</v>
      </c>
      <c r="AW144" s="21">
        <f>EXP(-LN(2)/2)*AW143+(1-EXP(-LN(2)/2))/(LN(2)/2)*AQ144*AT144*VLOOKUP('Données projet'!$B$10,Paramètres!$A$1:$I$89,3,0)*0.475*44/12</f>
        <v>1.5624619555326645E-11</v>
      </c>
      <c r="AX144" s="21">
        <f t="shared" si="114"/>
        <v>45.014870957759477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-1.9863364286720756E-13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385.40047672167555</v>
      </c>
      <c r="BJ144" s="59">
        <f t="shared" si="146"/>
        <v>286.49293757741611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65.48279468605611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65.48279468605611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-5.1431925385259088E-14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397.12030701006762</v>
      </c>
      <c r="CE144" s="59">
        <f t="shared" si="148"/>
        <v>476.47513516380047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15.804262269571709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15.804262269571709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110.43805901666033</v>
      </c>
      <c r="CZ144" s="59">
        <f t="shared" si="150"/>
        <v>319.51880962151881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3.7388193520094899</v>
      </c>
      <c r="DG144" s="21">
        <f>EXP(-LN(2)/25)*DG143+(1-EXP(-LN(2)/25))/(LN(2)/25)*Calculateur!DB144*Calculateur!DD144*VLOOKUP('Données projet'!$B$13,Paramètres!$A$1:$I$89,3,0)*0.475*44/12</f>
        <v>0.63805935548486459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4.3768787074943543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3.3000000000000003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12.100000000000001</v>
      </c>
      <c r="H145" s="67">
        <f t="shared" si="110"/>
        <v>208.26666666666665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414.37917672189968</v>
      </c>
      <c r="T145" s="59">
        <f t="shared" si="142"/>
        <v>546.83385887302961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52.607603120439563</v>
      </c>
      <c r="AA145" s="21">
        <f>EXP(-LN(2)/25)*AA144+(1-EXP(-LN(2)/25))/(LN(2)/25)*Calculateur!V145*Calculateur!X145*VLOOKUP('Données projet'!$B$9,Paramètres!$A$1:$I$89,3,0)*0.475*44/12</f>
        <v>5.6079815060448368</v>
      </c>
      <c r="AB145" s="21">
        <f>EXP(-LN(2)/2)*AB144+(1-EXP(-LN(2)/2))/(LN(2)/2)*V145*Y145*VLOOKUP('Données projet'!$B$9,Paramètres!$A$1:$I$89,3,0)*0.475*44/12</f>
        <v>2.3432843789666386E-12</v>
      </c>
      <c r="AC145" s="22">
        <f t="shared" si="111"/>
        <v>58.215584626486745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7.0940586738288402E-14</v>
      </c>
      <c r="AK145" s="13">
        <f t="shared" si="143"/>
        <v>1.1091816830583241E-12</v>
      </c>
      <c r="AL145" s="20">
        <f t="shared" si="112"/>
        <v>2.0553796198957668E-12</v>
      </c>
      <c r="AM145" s="59">
        <f t="shared" si="113"/>
        <v>288.29213728535439</v>
      </c>
      <c r="AN145" s="59">
        <f ca="1">AVERAGE(OFFSET($AM$3,0,0,'Données projet'!$E$10+1,1))-AVERAGE(OFFSET($H$3,0,0,'Données projet'!$E$10+1,1))</f>
        <v>296.20984079604017</v>
      </c>
      <c r="AO145" s="59">
        <f t="shared" si="144"/>
        <v>351.8406329895206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39.616325836823549</v>
      </c>
      <c r="AV145" s="21">
        <f>EXP(-LN(2)/25)*AV144+(1-EXP(-LN(2)/25))/(LN(2)/25)*Calculateur!AQ145*Calculateur!AS145*VLOOKUP('Données projet'!$B$10,Paramètres!$A$1:$I$89,3,0)*0.475*44/12</f>
        <v>4.480199298370187</v>
      </c>
      <c r="AW145" s="21">
        <f>EXP(-LN(2)/2)*AW144+(1-EXP(-LN(2)/2))/(LN(2)/2)*AQ145*AT145*VLOOKUP('Données projet'!$B$10,Paramètres!$A$1:$I$89,3,0)*0.475*44/12</f>
        <v>1.104827444103141E-11</v>
      </c>
      <c r="AX145" s="21">
        <f t="shared" si="114"/>
        <v>44.096525135204786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-1.9863364286720756E-13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385.40047672167555</v>
      </c>
      <c r="BJ145" s="59">
        <f t="shared" si="146"/>
        <v>286.49293757741611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64.198717022823502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64.198717022823502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-5.1431925385259088E-14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397.12030701006762</v>
      </c>
      <c r="CE145" s="59">
        <f t="shared" si="148"/>
        <v>476.47513516380047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15.494350326113556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15.494350326113556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110.43805901666033</v>
      </c>
      <c r="CZ145" s="59">
        <f t="shared" si="150"/>
        <v>319.51880962151881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3.6655033849712124</v>
      </c>
      <c r="DG145" s="21">
        <f>EXP(-LN(2)/25)*DG144+(1-EXP(-LN(2)/25))/(LN(2)/25)*Calculateur!DB145*Calculateur!DD145*VLOOKUP('Données projet'!$B$13,Paramètres!$A$1:$I$89,3,0)*0.475*44/12</f>
        <v>0.62061158885504775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4.2861149738262601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3.3000000000000003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12.100000000000001</v>
      </c>
      <c r="H146" s="67">
        <f t="shared" si="110"/>
        <v>208.26666666666665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414.37917672189968</v>
      </c>
      <c r="T146" s="59">
        <f t="shared" si="142"/>
        <v>546.83385887302961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51.576000110717274</v>
      </c>
      <c r="AA146" s="21">
        <f>EXP(-LN(2)/25)*AA145+(1-EXP(-LN(2)/25))/(LN(2)/25)*Calculateur!V146*Calculateur!X146*VLOOKUP('Données projet'!$B$9,Paramètres!$A$1:$I$89,3,0)*0.475*44/12</f>
        <v>5.4546309568511102</v>
      </c>
      <c r="AB146" s="21">
        <f>EXP(-LN(2)/2)*AB145+(1-EXP(-LN(2)/2))/(LN(2)/2)*V146*Y146*VLOOKUP('Données projet'!$B$9,Paramètres!$A$1:$I$89,3,0)*0.475*44/12</f>
        <v>1.6569522746158178E-12</v>
      </c>
      <c r="AC146" s="22">
        <f t="shared" si="111"/>
        <v>57.030631067570042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7.0940586738288402E-14</v>
      </c>
      <c r="AK146" s="13">
        <f t="shared" si="143"/>
        <v>1.1091816830583241E-12</v>
      </c>
      <c r="AL146" s="20">
        <f t="shared" si="112"/>
        <v>2.0553796198957668E-12</v>
      </c>
      <c r="AM146" s="59">
        <f t="shared" si="113"/>
        <v>288.37959076636088</v>
      </c>
      <c r="AN146" s="59">
        <f ca="1">AVERAGE(OFFSET($AM$3,0,0,'Données projet'!$E$10+1,1))-AVERAGE(OFFSET($H$3,0,0,'Données projet'!$E$10+1,1))</f>
        <v>296.20984079604017</v>
      </c>
      <c r="AO146" s="59">
        <f t="shared" si="144"/>
        <v>351.8406329895206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38.839473850736248</v>
      </c>
      <c r="AV146" s="21">
        <f>EXP(-LN(2)/25)*AV145+(1-EXP(-LN(2)/25))/(LN(2)/25)*Calculateur!AQ146*Calculateur!AS146*VLOOKUP('Données projet'!$B$10,Paramètres!$A$1:$I$89,3,0)*0.475*44/12</f>
        <v>4.3576880129528126</v>
      </c>
      <c r="AW146" s="21">
        <f>EXP(-LN(2)/2)*AW145+(1-EXP(-LN(2)/2))/(LN(2)/2)*AQ146*AT146*VLOOKUP('Données projet'!$B$10,Paramètres!$A$1:$I$89,3,0)*0.475*44/12</f>
        <v>7.8123097776633226E-12</v>
      </c>
      <c r="AX146" s="21">
        <f t="shared" si="114"/>
        <v>43.19716186369687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-1.9863364286720756E-13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385.40047672167555</v>
      </c>
      <c r="BJ146" s="59">
        <f t="shared" si="146"/>
        <v>286.49293757741611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62.939819339356852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62.939819339356852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-5.1431925385259088E-14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397.12030701006762</v>
      </c>
      <c r="CE146" s="59">
        <f t="shared" si="148"/>
        <v>476.47513516380047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15.190515566838997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15.190515566838997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110.43805901666033</v>
      </c>
      <c r="CZ146" s="59">
        <f t="shared" si="150"/>
        <v>319.51880962151881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3.5936250993282313</v>
      </c>
      <c r="DG146" s="21">
        <f>EXP(-LN(2)/25)*DG145+(1-EXP(-LN(2)/25))/(LN(2)/25)*Calculateur!DB146*Calculateur!DD146*VLOOKUP('Données projet'!$B$13,Paramètres!$A$1:$I$89,3,0)*0.475*44/12</f>
        <v>0.60364093232126148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4.1972660316494927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3.3000000000000003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12.100000000000001</v>
      </c>
      <c r="H147" s="67">
        <f t="shared" si="110"/>
        <v>208.26666666666665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414.37917672189968</v>
      </c>
      <c r="T147" s="59">
        <f t="shared" si="142"/>
        <v>546.83385887302961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50.564626206799929</v>
      </c>
      <c r="AA147" s="21">
        <f>EXP(-LN(2)/25)*AA146+(1-EXP(-LN(2)/25))/(LN(2)/25)*Calculateur!V147*Calculateur!X147*VLOOKUP('Données projet'!$B$9,Paramètres!$A$1:$I$89,3,0)*0.475*44/12</f>
        <v>5.3054737864894417</v>
      </c>
      <c r="AB147" s="21">
        <f>EXP(-LN(2)/2)*AB146+(1-EXP(-LN(2)/2))/(LN(2)/2)*V147*Y147*VLOOKUP('Données projet'!$B$9,Paramètres!$A$1:$I$89,3,0)*0.475*44/12</f>
        <v>1.1716421894833193E-12</v>
      </c>
      <c r="AC147" s="22">
        <f t="shared" si="111"/>
        <v>55.870099993290545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7.0940586738288402E-14</v>
      </c>
      <c r="AK147" s="13">
        <f t="shared" si="143"/>
        <v>1.1091816830583241E-12</v>
      </c>
      <c r="AL147" s="20">
        <f t="shared" si="112"/>
        <v>2.0553796198957668E-12</v>
      </c>
      <c r="AM147" s="59">
        <f t="shared" si="113"/>
        <v>288.46552712498868</v>
      </c>
      <c r="AN147" s="59">
        <f ca="1">AVERAGE(OFFSET($AM$3,0,0,'Données projet'!$E$10+1,1))-AVERAGE(OFFSET($H$3,0,0,'Données projet'!$E$10+1,1))</f>
        <v>296.20984079604017</v>
      </c>
      <c r="AO147" s="59">
        <f t="shared" si="144"/>
        <v>351.8406329895206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38.077855458263194</v>
      </c>
      <c r="AV147" s="21">
        <f>EXP(-LN(2)/25)*AV146+(1-EXP(-LN(2)/25))/(LN(2)/25)*Calculateur!AQ147*Calculateur!AS147*VLOOKUP('Données projet'!$B$10,Paramètres!$A$1:$I$89,3,0)*0.475*44/12</f>
        <v>4.2385268050777647</v>
      </c>
      <c r="AW147" s="21">
        <f>EXP(-LN(2)/2)*AW146+(1-EXP(-LN(2)/2))/(LN(2)/2)*AQ147*AT147*VLOOKUP('Données projet'!$B$10,Paramètres!$A$1:$I$89,3,0)*0.475*44/12</f>
        <v>5.5241372205157048E-12</v>
      </c>
      <c r="AX147" s="21">
        <f t="shared" si="114"/>
        <v>42.316382263346476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-1.9863364286720756E-13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385.40047672167555</v>
      </c>
      <c r="BJ147" s="59">
        <f t="shared" si="146"/>
        <v>286.49293757741611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61.705607871611214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61.705607871611214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-5.1431925385259088E-14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397.12030701006762</v>
      </c>
      <c r="CE147" s="59">
        <f t="shared" si="148"/>
        <v>476.47513516380047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14.892638821872907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14.892638821872907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110.43805901666033</v>
      </c>
      <c r="CZ147" s="59">
        <f t="shared" si="150"/>
        <v>319.51880962151881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3.5231563030252837</v>
      </c>
      <c r="DG147" s="21">
        <f>EXP(-LN(2)/25)*DG146+(1-EXP(-LN(2)/25))/(LN(2)/25)*Calculateur!DB147*Calculateur!DD147*VLOOKUP('Données projet'!$B$13,Paramètres!$A$1:$I$89,3,0)*0.475*44/12</f>
        <v>0.58713433928283965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4.1102906423081231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3.3000000000000003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12.100000000000001</v>
      </c>
      <c r="H148" s="67">
        <f t="shared" si="110"/>
        <v>208.26666666666665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414.37917672189968</v>
      </c>
      <c r="T148" s="59">
        <f t="shared" si="142"/>
        <v>546.83385887302961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49.573084728261236</v>
      </c>
      <c r="AA148" s="21">
        <f>EXP(-LN(2)/25)*AA147+(1-EXP(-LN(2)/25))/(LN(2)/25)*Calculateur!V148*Calculateur!X148*VLOOKUP('Données projet'!$B$9,Paramètres!$A$1:$I$89,3,0)*0.475*44/12</f>
        <v>5.1603953267951477</v>
      </c>
      <c r="AB148" s="21">
        <f>EXP(-LN(2)/2)*AB147+(1-EXP(-LN(2)/2))/(LN(2)/2)*V148*Y148*VLOOKUP('Données projet'!$B$9,Paramètres!$A$1:$I$89,3,0)*0.475*44/12</f>
        <v>8.2847613730790892E-13</v>
      </c>
      <c r="AC148" s="22">
        <f t="shared" si="111"/>
        <v>54.733480055057214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7.0940586738288402E-14</v>
      </c>
      <c r="AK148" s="13">
        <f t="shared" si="143"/>
        <v>1.1091816830583241E-12</v>
      </c>
      <c r="AL148" s="20">
        <f t="shared" si="112"/>
        <v>2.0553796198957668E-12</v>
      </c>
      <c r="AM148" s="59">
        <f t="shared" si="113"/>
        <v>288.54997267991916</v>
      </c>
      <c r="AN148" s="59">
        <f ca="1">AVERAGE(OFFSET($AM$3,0,0,'Données projet'!$E$10+1,1))-AVERAGE(OFFSET($H$3,0,0,'Données projet'!$E$10+1,1))</f>
        <v>296.20984079604017</v>
      </c>
      <c r="AO148" s="59">
        <f t="shared" si="144"/>
        <v>351.8406329895206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37.331171937925184</v>
      </c>
      <c r="AV148" s="21">
        <f>EXP(-LN(2)/25)*AV147+(1-EXP(-LN(2)/25))/(LN(2)/25)*Calculateur!AQ148*Calculateur!AS148*VLOOKUP('Données projet'!$B$10,Paramètres!$A$1:$I$89,3,0)*0.475*44/12</f>
        <v>4.1226240666984761</v>
      </c>
      <c r="AW148" s="21">
        <f>EXP(-LN(2)/2)*AW147+(1-EXP(-LN(2)/2))/(LN(2)/2)*AQ148*AT148*VLOOKUP('Données projet'!$B$10,Paramètres!$A$1:$I$89,3,0)*0.475*44/12</f>
        <v>3.9061548888316613E-12</v>
      </c>
      <c r="AX148" s="21">
        <f t="shared" si="114"/>
        <v>41.45379600462757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-1.9863364286720756E-13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385.40047672167555</v>
      </c>
      <c r="BJ148" s="59">
        <f t="shared" si="146"/>
        <v>286.49293757741611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60.495598537953406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60.495598537953406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-5.1431925385259088E-14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397.12030701006762</v>
      </c>
      <c r="CE148" s="59">
        <f t="shared" si="148"/>
        <v>476.47513516380047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14.600603258188729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14.600603258188729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110.43805901666033</v>
      </c>
      <c r="CZ148" s="59">
        <f t="shared" si="150"/>
        <v>319.51880962151881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3.4540693568361154</v>
      </c>
      <c r="DG148" s="21">
        <f>EXP(-LN(2)/25)*DG147+(1-EXP(-LN(2)/25))/(LN(2)/25)*Calculateur!DB148*Calculateur!DD148*VLOOKUP('Données projet'!$B$13,Paramètres!$A$1:$I$89,3,0)*0.475*44/12</f>
        <v>0.57107911989909743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4.0251484767352128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3.3000000000000003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12.100000000000001</v>
      </c>
      <c r="H149" s="67">
        <f t="shared" si="110"/>
        <v>208.26666666666665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414.37917672189968</v>
      </c>
      <c r="T149" s="59">
        <f t="shared" si="142"/>
        <v>546.83385887302961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48.600986773336103</v>
      </c>
      <c r="AA149" s="21">
        <f>EXP(-LN(2)/25)*AA148+(1-EXP(-LN(2)/25))/(LN(2)/25)*Calculateur!V149*Calculateur!X149*VLOOKUP('Données projet'!$B$9,Paramètres!$A$1:$I$89,3,0)*0.475*44/12</f>
        <v>5.0192840452105383</v>
      </c>
      <c r="AB149" s="21">
        <f>EXP(-LN(2)/2)*AB148+(1-EXP(-LN(2)/2))/(LN(2)/2)*V149*Y149*VLOOKUP('Données projet'!$B$9,Paramètres!$A$1:$I$89,3,0)*0.475*44/12</f>
        <v>5.8582109474165965E-13</v>
      </c>
      <c r="AC149" s="22">
        <f t="shared" si="111"/>
        <v>53.620270818547226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7.0940586738288402E-14</v>
      </c>
      <c r="AK149" s="13">
        <f t="shared" si="143"/>
        <v>1.1091816830583241E-12</v>
      </c>
      <c r="AL149" s="20">
        <f t="shared" si="112"/>
        <v>2.0553796198957668E-12</v>
      </c>
      <c r="AM149" s="59">
        <f t="shared" si="113"/>
        <v>288.6329532932636</v>
      </c>
      <c r="AN149" s="59">
        <f ca="1">AVERAGE(OFFSET($AM$3,0,0,'Données projet'!$E$10+1,1))-AVERAGE(OFFSET($H$3,0,0,'Données projet'!$E$10+1,1))</f>
        <v>296.20984079604017</v>
      </c>
      <c r="AO149" s="59">
        <f t="shared" si="144"/>
        <v>351.8406329895206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36.599130425989024</v>
      </c>
      <c r="AV149" s="21">
        <f>EXP(-LN(2)/25)*AV148+(1-EXP(-LN(2)/25))/(LN(2)/25)*Calculateur!AQ149*Calculateur!AS149*VLOOKUP('Données projet'!$B$10,Paramètres!$A$1:$I$89,3,0)*0.475*44/12</f>
        <v>4.0098906947952289</v>
      </c>
      <c r="AW149" s="21">
        <f>EXP(-LN(2)/2)*AW148+(1-EXP(-LN(2)/2))/(LN(2)/2)*AQ149*AT149*VLOOKUP('Données projet'!$B$10,Paramètres!$A$1:$I$89,3,0)*0.475*44/12</f>
        <v>2.7620686102578524E-12</v>
      </c>
      <c r="AX149" s="21">
        <f t="shared" si="114"/>
        <v>40.60902112078702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-1.9863364286720756E-13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385.40047672167555</v>
      </c>
      <c r="BJ149" s="59">
        <f t="shared" si="146"/>
        <v>286.49293757741611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59.309316749295803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59.309316749295803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-5.1431925385259088E-14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397.12030701006762</v>
      </c>
      <c r="CE149" s="59">
        <f t="shared" si="148"/>
        <v>476.47513516380047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14.314294333784291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14.314294333784291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110.43805901666033</v>
      </c>
      <c r="CZ149" s="59">
        <f t="shared" si="150"/>
        <v>319.51880962151881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3.3863371635228403</v>
      </c>
      <c r="DG149" s="21">
        <f>EXP(-LN(2)/25)*DG148+(1-EXP(-LN(2)/25))/(LN(2)/25)*Calculateur!DB149*Calculateur!DD149*VLOOKUP('Données projet'!$B$13,Paramètres!$A$1:$I$89,3,0)*0.475*44/12</f>
        <v>0.55546293133371094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3.9418000948565513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3.3000000000000003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12.100000000000001</v>
      </c>
      <c r="H150" s="67">
        <f t="shared" si="110"/>
        <v>208.26666666666665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414.37917672189968</v>
      </c>
      <c r="T150" s="59">
        <f t="shared" si="142"/>
        <v>546.83385887302961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47.647951066385843</v>
      </c>
      <c r="AA150" s="21">
        <f>EXP(-LN(2)/25)*AA149+(1-EXP(-LN(2)/25))/(LN(2)/25)*Calculateur!V150*Calculateur!X150*VLOOKUP('Données projet'!$B$9,Paramètres!$A$1:$I$89,3,0)*0.475*44/12</f>
        <v>4.8820314590415803</v>
      </c>
      <c r="AB150" s="21">
        <f>EXP(-LN(2)/2)*AB149+(1-EXP(-LN(2)/2))/(LN(2)/2)*V150*Y150*VLOOKUP('Données projet'!$B$9,Paramètres!$A$1:$I$89,3,0)*0.475*44/12</f>
        <v>4.1423806865395446E-13</v>
      </c>
      <c r="AC150" s="22">
        <f t="shared" si="111"/>
        <v>52.529982525427833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7.0940586738288402E-14</v>
      </c>
      <c r="AK150" s="13">
        <f t="shared" si="143"/>
        <v>1.1091816830583241E-12</v>
      </c>
      <c r="AL150" s="20">
        <f t="shared" si="112"/>
        <v>2.0553796198957668E-12</v>
      </c>
      <c r="AM150" s="59">
        <f t="shared" si="113"/>
        <v>288.71449437848338</v>
      </c>
      <c r="AN150" s="59">
        <f ca="1">AVERAGE(OFFSET($AM$3,0,0,'Données projet'!$E$10+1,1))-AVERAGE(OFFSET($H$3,0,0,'Données projet'!$E$10+1,1))</f>
        <v>296.20984079604017</v>
      </c>
      <c r="AO150" s="59">
        <f t="shared" si="144"/>
        <v>351.8406329895206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35.881443801600703</v>
      </c>
      <c r="AV150" s="21">
        <f>EXP(-LN(2)/25)*AV149+(1-EXP(-LN(2)/25))/(LN(2)/25)*Calculateur!AQ150*Calculateur!AS150*VLOOKUP('Données projet'!$B$10,Paramètres!$A$1:$I$89,3,0)*0.475*44/12</f>
        <v>3.9002400228750664</v>
      </c>
      <c r="AW150" s="21">
        <f>EXP(-LN(2)/2)*AW149+(1-EXP(-LN(2)/2))/(LN(2)/2)*AQ150*AT150*VLOOKUP('Données projet'!$B$10,Paramètres!$A$1:$I$89,3,0)*0.475*44/12</f>
        <v>1.9530774444158306E-12</v>
      </c>
      <c r="AX150" s="21">
        <f t="shared" si="114"/>
        <v>39.781683824477724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-1.9863364286720756E-13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385.40047672167555</v>
      </c>
      <c r="BJ150" s="59">
        <f t="shared" si="146"/>
        <v>286.49293757741611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58.146297222953336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58.146297222953336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-5.1431925385259088E-14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397.12030701006762</v>
      </c>
      <c r="CE150" s="59">
        <f t="shared" si="148"/>
        <v>476.47513516380047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14.033599752756224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14.033599752756224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110.43805901666033</v>
      </c>
      <c r="CZ150" s="59">
        <f t="shared" si="150"/>
        <v>319.51880962151881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3.3199331572078798</v>
      </c>
      <c r="DG150" s="21">
        <f>EXP(-LN(2)/25)*DG149+(1-EXP(-LN(2)/25))/(LN(2)/25)*Calculateur!DB150*Calculateur!DD150*VLOOKUP('Données projet'!$B$13,Paramètres!$A$1:$I$89,3,0)*0.475*44/12</f>
        <v>0.5402737682658646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3.8602069254737446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3.3000000000000003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12.100000000000001</v>
      </c>
      <c r="H151" s="67">
        <f t="shared" si="110"/>
        <v>208.26666666666665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414.37917672189968</v>
      </c>
      <c r="T151" s="59">
        <f t="shared" si="142"/>
        <v>546.83385887302961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46.713603808354499</v>
      </c>
      <c r="AA151" s="21">
        <f>EXP(-LN(2)/25)*AA150+(1-EXP(-LN(2)/25))/(LN(2)/25)*Calculateur!V151*Calculateur!X151*VLOOKUP('Données projet'!$B$9,Paramètres!$A$1:$I$89,3,0)*0.475*44/12</f>
        <v>4.748532052059212</v>
      </c>
      <c r="AB151" s="21">
        <f>EXP(-LN(2)/2)*AB150+(1-EXP(-LN(2)/2))/(LN(2)/2)*V151*Y151*VLOOKUP('Données projet'!$B$9,Paramètres!$A$1:$I$89,3,0)*0.475*44/12</f>
        <v>2.9291054737082982E-13</v>
      </c>
      <c r="AC151" s="22">
        <f t="shared" si="111"/>
        <v>51.462135860414001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7.0940586738288402E-14</v>
      </c>
      <c r="AK151" s="13">
        <f t="shared" si="143"/>
        <v>1.1091816830583241E-12</v>
      </c>
      <c r="AL151" s="20">
        <f t="shared" si="112"/>
        <v>2.0553796198957668E-12</v>
      </c>
      <c r="AM151" s="59">
        <f t="shared" si="113"/>
        <v>288.7946209081731</v>
      </c>
      <c r="AN151" s="59">
        <f ca="1">AVERAGE(OFFSET($AM$3,0,0,'Données projet'!$E$10+1,1))-AVERAGE(OFFSET($H$3,0,0,'Données projet'!$E$10+1,1))</f>
        <v>296.20984079604017</v>
      </c>
      <c r="AO151" s="59">
        <f t="shared" si="144"/>
        <v>351.8406329895206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35.177830574171018</v>
      </c>
      <c r="AV151" s="21">
        <f>EXP(-LN(2)/25)*AV150+(1-EXP(-LN(2)/25))/(LN(2)/25)*Calculateur!AQ151*Calculateur!AS151*VLOOKUP('Données projet'!$B$10,Paramètres!$A$1:$I$89,3,0)*0.475*44/12</f>
        <v>3.7935877543448391</v>
      </c>
      <c r="AW151" s="21">
        <f>EXP(-LN(2)/2)*AW150+(1-EXP(-LN(2)/2))/(LN(2)/2)*AQ151*AT151*VLOOKUP('Données projet'!$B$10,Paramètres!$A$1:$I$89,3,0)*0.475*44/12</f>
        <v>1.3810343051289262E-12</v>
      </c>
      <c r="AX151" s="21">
        <f t="shared" si="114"/>
        <v>38.971418328517238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-1.9863364286720756E-13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385.40047672167555</v>
      </c>
      <c r="BJ151" s="59">
        <f t="shared" si="146"/>
        <v>286.49293757741611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57.006083800150577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57.006083800150577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-5.1431925385259088E-14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397.12030701006762</v>
      </c>
      <c r="CE151" s="59">
        <f t="shared" si="148"/>
        <v>476.47513516380047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13.758409421255328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13.758409421255328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110.43805901666033</v>
      </c>
      <c r="CZ151" s="59">
        <f t="shared" si="150"/>
        <v>319.51880962151881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3.2548312929543113</v>
      </c>
      <c r="DG151" s="21">
        <f>EXP(-LN(2)/25)*DG150+(1-EXP(-LN(2)/25))/(LN(2)/25)*Calculateur!DB151*Calculateur!DD151*VLOOKUP('Données projet'!$B$13,Paramètres!$A$1:$I$89,3,0)*0.475*44/12</f>
        <v>0.52549995366087188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3.7803312466151833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3.3000000000000003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12.100000000000001</v>
      </c>
      <c r="H152" s="67">
        <f t="shared" si="110"/>
        <v>208.26666666666665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414.37917672189968</v>
      </c>
      <c r="T152" s="59">
        <f t="shared" si="142"/>
        <v>546.83385887302961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45.797578530157594</v>
      </c>
      <c r="AA152" s="21">
        <f>EXP(-LN(2)/25)*AA151+(1-EXP(-LN(2)/25))/(LN(2)/25)*Calculateur!V152*Calculateur!X152*VLOOKUP('Données projet'!$B$9,Paramètres!$A$1:$I$89,3,0)*0.475*44/12</f>
        <v>4.6186831933812051</v>
      </c>
      <c r="AB152" s="21">
        <f>EXP(-LN(2)/2)*AB151+(1-EXP(-LN(2)/2))/(LN(2)/2)*V152*Y152*VLOOKUP('Données projet'!$B$9,Paramètres!$A$1:$I$89,3,0)*0.475*44/12</f>
        <v>2.0711903432697723E-13</v>
      </c>
      <c r="AC152" s="22">
        <f t="shared" si="111"/>
        <v>50.416261723539002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7.0940586738288402E-14</v>
      </c>
      <c r="AK152" s="13">
        <f t="shared" si="143"/>
        <v>1.1091816830583241E-12</v>
      </c>
      <c r="AL152" s="20">
        <f t="shared" si="112"/>
        <v>2.0553796198957668E-12</v>
      </c>
      <c r="AM152" s="59">
        <f t="shared" si="113"/>
        <v>288.87335742170882</v>
      </c>
      <c r="AN152" s="59">
        <f ca="1">AVERAGE(OFFSET($AM$3,0,0,'Données projet'!$E$10+1,1))-AVERAGE(OFFSET($H$3,0,0,'Données projet'!$E$10+1,1))</f>
        <v>296.20984079604017</v>
      </c>
      <c r="AO152" s="59">
        <f t="shared" si="144"/>
        <v>351.8406329895206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34.488014772969535</v>
      </c>
      <c r="AV152" s="21">
        <f>EXP(-LN(2)/25)*AV151+(1-EXP(-LN(2)/25))/(LN(2)/25)*Calculateur!AQ152*Calculateur!AS152*VLOOKUP('Données projet'!$B$10,Paramètres!$A$1:$I$89,3,0)*0.475*44/12</f>
        <v>3.6898518977061698</v>
      </c>
      <c r="AW152" s="21">
        <f>EXP(-LN(2)/2)*AW151+(1-EXP(-LN(2)/2))/(LN(2)/2)*AQ152*AT152*VLOOKUP('Données projet'!$B$10,Paramètres!$A$1:$I$89,3,0)*0.475*44/12</f>
        <v>9.7653872220791532E-13</v>
      </c>
      <c r="AX152" s="21">
        <f t="shared" si="114"/>
        <v>38.177866670676678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-1.9863364286720756E-13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385.40047672167555</v>
      </c>
      <c r="BJ152" s="59">
        <f t="shared" si="146"/>
        <v>286.49293757741611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55.888229267107462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55.888229267107462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-5.1431925385259088E-14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397.12030701006762</v>
      </c>
      <c r="CE152" s="59">
        <f t="shared" si="148"/>
        <v>476.47513516380047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13.488615404305635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13.488615404305635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110.43805901666033</v>
      </c>
      <c r="CZ152" s="59">
        <f t="shared" si="150"/>
        <v>319.51880962151881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3.1910060365505388</v>
      </c>
      <c r="DG152" s="21">
        <f>EXP(-LN(2)/25)*DG151+(1-EXP(-LN(2)/25))/(LN(2)/25)*Calculateur!DB152*Calculateur!DD152*VLOOKUP('Données projet'!$B$13,Paramètres!$A$1:$I$89,3,0)*0.475*44/12</f>
        <v>0.51113012979317385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3.7021361663437125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3.3000000000000003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12.100000000000001</v>
      </c>
      <c r="H153" s="67">
        <f t="shared" si="110"/>
        <v>208.26666666666665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414.37917672189968</v>
      </c>
      <c r="T153" s="59">
        <f t="shared" si="142"/>
        <v>546.83385887302961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44.899515948945876</v>
      </c>
      <c r="AA153" s="21">
        <f>EXP(-LN(2)/25)*AA152+(1-EXP(-LN(2)/25))/(LN(2)/25)*Calculateur!V153*Calculateur!X153*VLOOKUP('Données projet'!$B$9,Paramètres!$A$1:$I$89,3,0)*0.475*44/12</f>
        <v>4.4923850585722027</v>
      </c>
      <c r="AB153" s="21">
        <f>EXP(-LN(2)/2)*AB152+(1-EXP(-LN(2)/2))/(LN(2)/2)*V153*Y153*VLOOKUP('Données projet'!$B$9,Paramètres!$A$1:$I$89,3,0)*0.475*44/12</f>
        <v>1.4645527368541491E-13</v>
      </c>
      <c r="AC153" s="22">
        <f t="shared" si="111"/>
        <v>49.391901007518229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7.0940586738288402E-14</v>
      </c>
      <c r="AK153" s="13">
        <f t="shared" si="143"/>
        <v>1.1091816830583241E-12</v>
      </c>
      <c r="AL153" s="20">
        <f t="shared" si="112"/>
        <v>2.0553796198957668E-12</v>
      </c>
      <c r="AM153" s="59">
        <f t="shared" si="113"/>
        <v>288.95072803276321</v>
      </c>
      <c r="AN153" s="59">
        <f ca="1">AVERAGE(OFFSET($AM$3,0,0,'Données projet'!$E$10+1,1))-AVERAGE(OFFSET($H$3,0,0,'Données projet'!$E$10+1,1))</f>
        <v>296.20984079604017</v>
      </c>
      <c r="AO153" s="59">
        <f t="shared" si="144"/>
        <v>351.8406329895206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33.811725838883518</v>
      </c>
      <c r="AV153" s="21">
        <f>EXP(-LN(2)/25)*AV152+(1-EXP(-LN(2)/25))/(LN(2)/25)*Calculateur!AQ153*Calculateur!AS153*VLOOKUP('Données projet'!$B$10,Paramètres!$A$1:$I$89,3,0)*0.475*44/12</f>
        <v>3.5889527035225166</v>
      </c>
      <c r="AW153" s="21">
        <f>EXP(-LN(2)/2)*AW152+(1-EXP(-LN(2)/2))/(LN(2)/2)*AQ153*AT153*VLOOKUP('Données projet'!$B$10,Paramètres!$A$1:$I$89,3,0)*0.475*44/12</f>
        <v>6.905171525644631E-13</v>
      </c>
      <c r="AX153" s="21">
        <f t="shared" si="114"/>
        <v>37.400678542406723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-1.9863364286720756E-13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385.40047672167555</v>
      </c>
      <c r="BJ153" s="59">
        <f t="shared" si="146"/>
        <v>286.49293757741611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54.792295179633385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54.792295179633385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-5.1431925385259088E-14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397.12030701006762</v>
      </c>
      <c r="CE153" s="59">
        <f t="shared" si="148"/>
        <v>476.47513516380047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13.224111883470226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13.224111883470226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110.43805901666033</v>
      </c>
      <c r="CZ153" s="59">
        <f t="shared" si="150"/>
        <v>319.51880962151881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3.1284323544952817</v>
      </c>
      <c r="DG153" s="21">
        <f>EXP(-LN(2)/25)*DG152+(1-EXP(-LN(2)/25))/(LN(2)/25)*Calculateur!DB153*Calculateur!DD153*VLOOKUP('Données projet'!$B$13,Paramètres!$A$1:$I$89,3,0)*0.475*44/12</f>
        <v>0.49715324951481421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3.6255856040100958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3.3000000000000003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12.100000000000001</v>
      </c>
      <c r="H154" s="67">
        <f t="shared" si="110"/>
        <v>208.26666666666665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414.37917672189968</v>
      </c>
      <c r="T154" s="59">
        <f t="shared" si="142"/>
        <v>546.83385887302961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44.01906382718763</v>
      </c>
      <c r="AA154" s="21">
        <f>EXP(-LN(2)/25)*AA153+(1-EXP(-LN(2)/25))/(LN(2)/25)*Calculateur!V154*Calculateur!X154*VLOOKUP('Données projet'!$B$9,Paramètres!$A$1:$I$89,3,0)*0.475*44/12</f>
        <v>4.3695405529012827</v>
      </c>
      <c r="AB154" s="21">
        <f>EXP(-LN(2)/2)*AB153+(1-EXP(-LN(2)/2))/(LN(2)/2)*V154*Y154*VLOOKUP('Données projet'!$B$9,Paramètres!$A$1:$I$89,3,0)*0.475*44/12</f>
        <v>1.0355951716348862E-13</v>
      </c>
      <c r="AC154" s="22">
        <f t="shared" ref="AC154:AC203" si="163">SUM(Z154:AB154)</f>
        <v>48.388604380089021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7.0940586738288402E-14</v>
      </c>
      <c r="AK154" s="13">
        <f t="shared" ref="AK154:AK203" si="164">EXP(-1.0587+0.8836*LN(AJ154)+0.284)</f>
        <v>1.1091816830583241E-12</v>
      </c>
      <c r="AL154" s="20">
        <f t="shared" ref="AL154:AL203" si="165">(AJ154+AK154)*0.475*44/12</f>
        <v>2.0553796198957668E-12</v>
      </c>
      <c r="AM154" s="59">
        <f t="shared" si="113"/>
        <v>289.0267564366905</v>
      </c>
      <c r="AN154" s="59">
        <f ca="1">AVERAGE(OFFSET($AM$3,0,0,'Données projet'!$E$10+1,1))-AVERAGE(OFFSET($H$3,0,0,'Données projet'!$E$10+1,1))</f>
        <v>296.20984079604017</v>
      </c>
      <c r="AO154" s="59">
        <f t="shared" si="144"/>
        <v>351.8406329895206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33.148698518299412</v>
      </c>
      <c r="AV154" s="21">
        <f>EXP(-LN(2)/25)*AV153+(1-EXP(-LN(2)/25))/(LN(2)/25)*Calculateur!AQ154*Calculateur!AS154*VLOOKUP('Données projet'!$B$10,Paramètres!$A$1:$I$89,3,0)*0.475*44/12</f>
        <v>3.4908126031098732</v>
      </c>
      <c r="AW154" s="21">
        <f>EXP(-LN(2)/2)*AW153+(1-EXP(-LN(2)/2))/(LN(2)/2)*AQ154*AT154*VLOOKUP('Données projet'!$B$10,Paramètres!$A$1:$I$89,3,0)*0.475*44/12</f>
        <v>4.8826936110395766E-13</v>
      </c>
      <c r="AX154" s="21">
        <f t="shared" ref="AX154:AX203" si="166">SUM(AU154:AW154)</f>
        <v>36.639511121409775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-1.9863364286720756E-13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385.40047672167555</v>
      </c>
      <c r="BJ154" s="59">
        <f t="shared" si="146"/>
        <v>286.49293757741611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53.717851691160881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53.717851691160881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-5.1431925385259088E-14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397.12030701006762</v>
      </c>
      <c r="CE154" s="59">
        <f t="shared" si="148"/>
        <v>476.47513516380047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12.964795115347181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12.964795115347181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110.43805901666033</v>
      </c>
      <c r="CZ154" s="59">
        <f t="shared" si="150"/>
        <v>319.51880962151881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3.0670857041789508</v>
      </c>
      <c r="DG154" s="21">
        <f>EXP(-LN(2)/25)*DG153+(1-EXP(-LN(2)/25))/(LN(2)/25)*Calculateur!DB154*Calculateur!DD154*VLOOKUP('Données projet'!$B$13,Paramètres!$A$1:$I$89,3,0)*0.475*44/12</f>
        <v>0.48355856776267847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3.5506442719416293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3.3000000000000003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12.100000000000001</v>
      </c>
      <c r="H155" s="67">
        <f t="shared" si="110"/>
        <v>208.26666666666665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414.37917672189968</v>
      </c>
      <c r="T155" s="59">
        <f t="shared" si="142"/>
        <v>546.83385887302961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43.155876834514295</v>
      </c>
      <c r="AA155" s="21">
        <f>EXP(-LN(2)/25)*AA154+(1-EXP(-LN(2)/25))/(LN(2)/25)*Calculateur!V155*Calculateur!X155*VLOOKUP('Données projet'!$B$9,Paramètres!$A$1:$I$89,3,0)*0.475*44/12</f>
        <v>4.2500552366980466</v>
      </c>
      <c r="AB155" s="21">
        <f>EXP(-LN(2)/2)*AB154+(1-EXP(-LN(2)/2))/(LN(2)/2)*V155*Y155*VLOOKUP('Données projet'!$B$9,Paramètres!$A$1:$I$89,3,0)*0.475*44/12</f>
        <v>7.3227636842707456E-14</v>
      </c>
      <c r="AC155" s="22">
        <f t="shared" si="163"/>
        <v>47.405932071212412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7.0940586738288402E-14</v>
      </c>
      <c r="AK155" s="13">
        <f t="shared" si="164"/>
        <v>1.1091816830583241E-12</v>
      </c>
      <c r="AL155" s="20">
        <f t="shared" si="165"/>
        <v>2.0553796198957668E-12</v>
      </c>
      <c r="AM155" s="59">
        <f t="shared" si="113"/>
        <v>289.10146591778374</v>
      </c>
      <c r="AN155" s="59">
        <f ca="1">AVERAGE(OFFSET($AM$3,0,0,'Données projet'!$E$10+1,1))-AVERAGE(OFFSET($H$3,0,0,'Données projet'!$E$10+1,1))</f>
        <v>296.20984079604017</v>
      </c>
      <c r="AO155" s="59">
        <f t="shared" si="144"/>
        <v>351.8406329895206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32.498672759065222</v>
      </c>
      <c r="AV155" s="21">
        <f>EXP(-LN(2)/25)*AV154+(1-EXP(-LN(2)/25))/(LN(2)/25)*Calculateur!AQ155*Calculateur!AS155*VLOOKUP('Données projet'!$B$10,Paramètres!$A$1:$I$89,3,0)*0.475*44/12</f>
        <v>3.3953561489039772</v>
      </c>
      <c r="AW155" s="21">
        <f>EXP(-LN(2)/2)*AW154+(1-EXP(-LN(2)/2))/(LN(2)/2)*AQ155*AT155*VLOOKUP('Données projet'!$B$10,Paramètres!$A$1:$I$89,3,0)*0.475*44/12</f>
        <v>3.4525857628223155E-13</v>
      </c>
      <c r="AX155" s="21">
        <f t="shared" si="166"/>
        <v>35.894028907969549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-1.9863364286720756E-13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385.40047672167555</v>
      </c>
      <c r="BJ155" s="59">
        <f t="shared" si="146"/>
        <v>286.49293757741611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52.66447738415151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52.66447738415151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-5.1431925385259088E-14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397.12030701006762</v>
      </c>
      <c r="CE155" s="59">
        <f t="shared" si="148"/>
        <v>476.47513516380047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12.710563390879418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12.710563390879418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110.43805901666033</v>
      </c>
      <c r="CZ155" s="59">
        <f t="shared" si="150"/>
        <v>319.51880962151881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3.0069420242575613</v>
      </c>
      <c r="DG155" s="21">
        <f>EXP(-LN(2)/25)*DG154+(1-EXP(-LN(2)/25))/(LN(2)/25)*Calculateur!DB155*Calculateur!DD155*VLOOKUP('Données projet'!$B$13,Paramètres!$A$1:$I$89,3,0)*0.475*44/12</f>
        <v>0.47033563329796813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3.4772776575555295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3.3000000000000003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12.100000000000001</v>
      </c>
      <c r="H156" s="67">
        <f t="shared" si="110"/>
        <v>208.26666666666665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414.37917672189968</v>
      </c>
      <c r="T156" s="59">
        <f t="shared" si="142"/>
        <v>546.83385887302961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42.309616412275211</v>
      </c>
      <c r="AA156" s="21">
        <f>EXP(-LN(2)/25)*AA155+(1-EXP(-LN(2)/25))/(LN(2)/25)*Calculateur!V156*Calculateur!X156*VLOOKUP('Données projet'!$B$9,Paramètres!$A$1:$I$89,3,0)*0.475*44/12</f>
        <v>4.1338372527498475</v>
      </c>
      <c r="AB156" s="21">
        <f>EXP(-LN(2)/2)*AB155+(1-EXP(-LN(2)/2))/(LN(2)/2)*V156*Y156*VLOOKUP('Données projet'!$B$9,Paramètres!$A$1:$I$89,3,0)*0.475*44/12</f>
        <v>5.1779758581744308E-14</v>
      </c>
      <c r="AC156" s="22">
        <f t="shared" si="163"/>
        <v>46.44345366502511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7.0940586738288402E-14</v>
      </c>
      <c r="AK156" s="13">
        <f t="shared" si="164"/>
        <v>1.1091816830583241E-12</v>
      </c>
      <c r="AL156" s="20">
        <f t="shared" si="165"/>
        <v>2.0553796198957668E-12</v>
      </c>
      <c r="AM156" s="59">
        <f t="shared" si="113"/>
        <v>289.17487935640543</v>
      </c>
      <c r="AN156" s="59">
        <f ca="1">AVERAGE(OFFSET($AM$3,0,0,'Données projet'!$E$10+1,1))-AVERAGE(OFFSET($H$3,0,0,'Données projet'!$E$10+1,1))</f>
        <v>296.20984079604017</v>
      </c>
      <c r="AO156" s="59">
        <f t="shared" si="144"/>
        <v>351.8406329895206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31.861393608493053</v>
      </c>
      <c r="AV156" s="21">
        <f>EXP(-LN(2)/25)*AV155+(1-EXP(-LN(2)/25))/(LN(2)/25)*Calculateur!AQ156*Calculateur!AS156*VLOOKUP('Données projet'!$B$10,Paramètres!$A$1:$I$89,3,0)*0.475*44/12</f>
        <v>3.3025099564581781</v>
      </c>
      <c r="AW156" s="21">
        <f>EXP(-LN(2)/2)*AW155+(1-EXP(-LN(2)/2))/(LN(2)/2)*AQ156*AT156*VLOOKUP('Données projet'!$B$10,Paramètres!$A$1:$I$89,3,0)*0.475*44/12</f>
        <v>2.4413468055197883E-13</v>
      </c>
      <c r="AX156" s="21">
        <f t="shared" si="166"/>
        <v>35.163903564951475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-1.9863364286720756E-13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385.40047672167555</v>
      </c>
      <c r="BJ156" s="59">
        <f t="shared" si="146"/>
        <v>286.49293757741611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51.631759104807706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51.631759104807706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-5.1431925385259088E-14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397.12030701006762</v>
      </c>
      <c r="CE156" s="59">
        <f t="shared" si="148"/>
        <v>476.47513516380047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12.461316995462427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12.461316995462427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110.43805901666033</v>
      </c>
      <c r="CZ156" s="59">
        <f t="shared" si="150"/>
        <v>319.51880962151881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2.9479777252154076</v>
      </c>
      <c r="DG156" s="21">
        <f>EXP(-LN(2)/25)*DG155+(1-EXP(-LN(2)/25))/(LN(2)/25)*Calculateur!DB156*Calculateur!DD156*VLOOKUP('Données projet'!$B$13,Paramètres!$A$1:$I$89,3,0)*0.475*44/12</f>
        <v>0.45747428067155921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3.4054520058869668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3.3000000000000003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12.100000000000001</v>
      </c>
      <c r="H157" s="67">
        <f t="shared" si="110"/>
        <v>208.26666666666665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414.37917672189968</v>
      </c>
      <c r="T157" s="59">
        <f t="shared" si="142"/>
        <v>546.83385887302961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41.479950640748342</v>
      </c>
      <c r="AA157" s="21">
        <f>EXP(-LN(2)/25)*AA156+(1-EXP(-LN(2)/25))/(LN(2)/25)*Calculateur!V157*Calculateur!X157*VLOOKUP('Données projet'!$B$9,Paramètres!$A$1:$I$89,3,0)*0.475*44/12</f>
        <v>4.0207972556843501</v>
      </c>
      <c r="AB157" s="21">
        <f>EXP(-LN(2)/2)*AB156+(1-EXP(-LN(2)/2))/(LN(2)/2)*V157*Y157*VLOOKUP('Données projet'!$B$9,Paramètres!$A$1:$I$89,3,0)*0.475*44/12</f>
        <v>3.6613818421353728E-14</v>
      </c>
      <c r="AC157" s="22">
        <f t="shared" si="163"/>
        <v>45.500747896432728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7.0940586738288402E-14</v>
      </c>
      <c r="AK157" s="13">
        <f t="shared" si="164"/>
        <v>1.1091816830583241E-12</v>
      </c>
      <c r="AL157" s="20">
        <f t="shared" si="165"/>
        <v>2.0553796198957668E-12</v>
      </c>
      <c r="AM157" s="59">
        <f t="shared" si="113"/>
        <v>289.24701923599486</v>
      </c>
      <c r="AN157" s="59">
        <f ca="1">AVERAGE(OFFSET($AM$3,0,0,'Données projet'!$E$10+1,1))-AVERAGE(OFFSET($H$3,0,0,'Données projet'!$E$10+1,1))</f>
        <v>296.20984079604017</v>
      </c>
      <c r="AO157" s="59">
        <f t="shared" si="144"/>
        <v>351.8406329895206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31.236611113361704</v>
      </c>
      <c r="AV157" s="21">
        <f>EXP(-LN(2)/25)*AV156+(1-EXP(-LN(2)/25))/(LN(2)/25)*Calculateur!AQ157*Calculateur!AS157*VLOOKUP('Données projet'!$B$10,Paramètres!$A$1:$I$89,3,0)*0.475*44/12</f>
        <v>3.2122026480273784</v>
      </c>
      <c r="AW157" s="21">
        <f>EXP(-LN(2)/2)*AW156+(1-EXP(-LN(2)/2))/(LN(2)/2)*AQ157*AT157*VLOOKUP('Données projet'!$B$10,Paramètres!$A$1:$I$89,3,0)*0.475*44/12</f>
        <v>1.7262928814111578E-13</v>
      </c>
      <c r="AX157" s="21">
        <f t="shared" si="166"/>
        <v>34.448813761389253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-1.9863364286720756E-13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385.40047672167555</v>
      </c>
      <c r="BJ157" s="59">
        <f t="shared" si="146"/>
        <v>286.49293757741611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50.619291801025881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50.619291801025881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-5.1431925385259088E-14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397.12030701006762</v>
      </c>
      <c r="CE157" s="59">
        <f t="shared" si="148"/>
        <v>476.47513516380047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12.216958169834275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12.216958169834275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110.43805901666033</v>
      </c>
      <c r="CZ157" s="59">
        <f t="shared" si="150"/>
        <v>319.51880962151881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2.8901696801127992</v>
      </c>
      <c r="DG157" s="21">
        <f>EXP(-LN(2)/25)*DG156+(1-EXP(-LN(2)/25))/(LN(2)/25)*Calculateur!DB157*Calculateur!DD157*VLOOKUP('Données projet'!$B$13,Paramètres!$A$1:$I$89,3,0)*0.475*44/12</f>
        <v>0.44496462240906859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3.3351343025218676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3.3000000000000003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12.100000000000001</v>
      </c>
      <c r="H158" s="67">
        <f t="shared" si="110"/>
        <v>208.26666666666665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414.37917672189968</v>
      </c>
      <c r="T158" s="59">
        <f t="shared" si="142"/>
        <v>546.83385887302961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40.666554108954962</v>
      </c>
      <c r="AA158" s="21">
        <f>EXP(-LN(2)/25)*AA157+(1-EXP(-LN(2)/25))/(LN(2)/25)*Calculateur!V158*Calculateur!X158*VLOOKUP('Données projet'!$B$9,Paramètres!$A$1:$I$89,3,0)*0.475*44/12</f>
        <v>3.9108483432831234</v>
      </c>
      <c r="AB158" s="21">
        <f>EXP(-LN(2)/2)*AB157+(1-EXP(-LN(2)/2))/(LN(2)/2)*V158*Y158*VLOOKUP('Données projet'!$B$9,Paramètres!$A$1:$I$89,3,0)*0.475*44/12</f>
        <v>2.5889879290872154E-14</v>
      </c>
      <c r="AC158" s="22">
        <f t="shared" si="163"/>
        <v>44.577402452238111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7.0940586738288402E-14</v>
      </c>
      <c r="AK158" s="13">
        <f t="shared" si="164"/>
        <v>1.1091816830583241E-12</v>
      </c>
      <c r="AL158" s="20">
        <f t="shared" si="165"/>
        <v>2.0553796198957668E-12</v>
      </c>
      <c r="AM158" s="59">
        <f t="shared" si="113"/>
        <v>289.31790764995395</v>
      </c>
      <c r="AN158" s="59">
        <f ca="1">AVERAGE(OFFSET($AM$3,0,0,'Données projet'!$E$10+1,1))-AVERAGE(OFFSET($H$3,0,0,'Données projet'!$E$10+1,1))</f>
        <v>296.20984079604017</v>
      </c>
      <c r="AO158" s="59">
        <f t="shared" si="144"/>
        <v>351.8406329895206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30.624080221880188</v>
      </c>
      <c r="AV158" s="21">
        <f>EXP(-LN(2)/25)*AV157+(1-EXP(-LN(2)/25))/(LN(2)/25)*Calculateur!AQ158*Calculateur!AS158*VLOOKUP('Données projet'!$B$10,Paramètres!$A$1:$I$89,3,0)*0.475*44/12</f>
        <v>3.1243647976946742</v>
      </c>
      <c r="AW158" s="21">
        <f>EXP(-LN(2)/2)*AW157+(1-EXP(-LN(2)/2))/(LN(2)/2)*AQ158*AT158*VLOOKUP('Données projet'!$B$10,Paramètres!$A$1:$I$89,3,0)*0.475*44/12</f>
        <v>1.2206734027598942E-13</v>
      </c>
      <c r="AX158" s="21">
        <f t="shared" si="166"/>
        <v>33.74844501957498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-1.9863364286720756E-13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385.40047672167555</v>
      </c>
      <c r="BJ158" s="59">
        <f t="shared" si="146"/>
        <v>286.49293757741611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49.626678363527134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49.626678363527134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-5.1431925385259088E-14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397.12030701006762</v>
      </c>
      <c r="CE158" s="59">
        <f t="shared" si="148"/>
        <v>476.47513516380047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11.977391071732523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11.977391071732523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110.43805901666033</v>
      </c>
      <c r="CZ158" s="59">
        <f t="shared" si="150"/>
        <v>319.51880962151881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2.8334952155152271</v>
      </c>
      <c r="DG158" s="21">
        <f>EXP(-LN(2)/25)*DG157+(1-EXP(-LN(2)/25))/(LN(2)/25)*Calculateur!DB158*Calculateur!DD158*VLOOKUP('Données projet'!$B$13,Paramètres!$A$1:$I$89,3,0)*0.475*44/12</f>
        <v>0.43279704140962011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3.2662922569248471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3.3000000000000003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12.100000000000001</v>
      </c>
      <c r="H159" s="67">
        <f t="shared" si="110"/>
        <v>208.26666666666665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414.37917672189968</v>
      </c>
      <c r="T159" s="59">
        <f t="shared" si="142"/>
        <v>546.83385887302961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39.869107787027154</v>
      </c>
      <c r="AA159" s="21">
        <f>EXP(-LN(2)/25)*AA158+(1-EXP(-LN(2)/25))/(LN(2)/25)*Calculateur!V159*Calculateur!X159*VLOOKUP('Données projet'!$B$9,Paramètres!$A$1:$I$89,3,0)*0.475*44/12</f>
        <v>3.8039059896734702</v>
      </c>
      <c r="AB159" s="21">
        <f>EXP(-LN(2)/2)*AB158+(1-EXP(-LN(2)/2))/(LN(2)/2)*V159*Y159*VLOOKUP('Données projet'!$B$9,Paramètres!$A$1:$I$89,3,0)*0.475*44/12</f>
        <v>1.8306909210676864E-14</v>
      </c>
      <c r="AC159" s="22">
        <f t="shared" si="163"/>
        <v>43.673013776700643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7.0940586738288402E-14</v>
      </c>
      <c r="AK159" s="13">
        <f t="shared" si="164"/>
        <v>1.1091816830583241E-12</v>
      </c>
      <c r="AL159" s="20">
        <f t="shared" si="165"/>
        <v>2.0553796198957668E-12</v>
      </c>
      <c r="AM159" s="59">
        <f t="shared" si="113"/>
        <v>289.38756630841362</v>
      </c>
      <c r="AN159" s="59">
        <f ca="1">AVERAGE(OFFSET($AM$3,0,0,'Données projet'!$E$10+1,1))-AVERAGE(OFFSET($H$3,0,0,'Données projet'!$E$10+1,1))</f>
        <v>296.20984079604017</v>
      </c>
      <c r="AO159" s="59">
        <f t="shared" si="144"/>
        <v>351.8406329895206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30.023560687573671</v>
      </c>
      <c r="AV159" s="21">
        <f>EXP(-LN(2)/25)*AV158+(1-EXP(-LN(2)/25))/(LN(2)/25)*Calculateur!AQ159*Calculateur!AS159*VLOOKUP('Données projet'!$B$10,Paramètres!$A$1:$I$89,3,0)*0.475*44/12</f>
        <v>3.0389288779985093</v>
      </c>
      <c r="AW159" s="21">
        <f>EXP(-LN(2)/2)*AW158+(1-EXP(-LN(2)/2))/(LN(2)/2)*AQ159*AT159*VLOOKUP('Données projet'!$B$10,Paramètres!$A$1:$I$89,3,0)*0.475*44/12</f>
        <v>8.6314644070557888E-14</v>
      </c>
      <c r="AX159" s="21">
        <f t="shared" si="166"/>
        <v>33.062489565572264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-1.9863364286720756E-13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385.40047672167555</v>
      </c>
      <c r="BJ159" s="59">
        <f t="shared" si="146"/>
        <v>286.49293757741611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48.653529470103322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48.653529470103322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-5.1431925385259088E-14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397.12030701006762</v>
      </c>
      <c r="CE159" s="59">
        <f t="shared" si="148"/>
        <v>476.47513516380047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11.742521738303045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11.742521738303045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110.43805901666033</v>
      </c>
      <c r="CZ159" s="59">
        <f t="shared" si="150"/>
        <v>319.51880962151881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2.7779321026004031</v>
      </c>
      <c r="DG159" s="21">
        <f>EXP(-LN(2)/25)*DG158+(1-EXP(-LN(2)/25))/(LN(2)/25)*Calculateur!DB159*Calculateur!DD159*VLOOKUP('Données projet'!$B$13,Paramètres!$A$1:$I$89,3,0)*0.475*44/12</f>
        <v>0.42096218355246678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3.19889428615287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3.3000000000000003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12.100000000000001</v>
      </c>
      <c r="H160" s="67">
        <f t="shared" si="110"/>
        <v>208.26666666666665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414.37917672189968</v>
      </c>
      <c r="T160" s="59">
        <f t="shared" si="142"/>
        <v>546.83385887302961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39.087298901078121</v>
      </c>
      <c r="AA160" s="21">
        <f>EXP(-LN(2)/25)*AA159+(1-EXP(-LN(2)/25))/(LN(2)/25)*Calculateur!V160*Calculateur!X160*VLOOKUP('Données projet'!$B$9,Paramètres!$A$1:$I$89,3,0)*0.475*44/12</f>
        <v>3.699887980347127</v>
      </c>
      <c r="AB160" s="21">
        <f>EXP(-LN(2)/2)*AB159+(1-EXP(-LN(2)/2))/(LN(2)/2)*V160*Y160*VLOOKUP('Données projet'!$B$9,Paramètres!$A$1:$I$89,3,0)*0.475*44/12</f>
        <v>1.2944939645436077E-14</v>
      </c>
      <c r="AC160" s="22">
        <f t="shared" si="163"/>
        <v>42.787186881425264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7.0940586738288402E-14</v>
      </c>
      <c r="AK160" s="13">
        <f t="shared" si="164"/>
        <v>1.1091816830583241E-12</v>
      </c>
      <c r="AL160" s="20">
        <f t="shared" si="165"/>
        <v>2.0553796198957668E-12</v>
      </c>
      <c r="AM160" s="59">
        <f t="shared" si="113"/>
        <v>289.45601654488252</v>
      </c>
      <c r="AN160" s="59">
        <f ca="1">AVERAGE(OFFSET($AM$3,0,0,'Données projet'!$E$10+1,1))-AVERAGE(OFFSET($H$3,0,0,'Données projet'!$E$10+1,1))</f>
        <v>296.20984079604017</v>
      </c>
      <c r="AO160" s="59">
        <f t="shared" si="144"/>
        <v>351.8406329895206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29.434816975054154</v>
      </c>
      <c r="AV160" s="21">
        <f>EXP(-LN(2)/25)*AV159+(1-EXP(-LN(2)/25))/(LN(2)/25)*Calculateur!AQ160*Calculateur!AS160*VLOOKUP('Données projet'!$B$10,Paramètres!$A$1:$I$89,3,0)*0.475*44/12</f>
        <v>2.955829208019316</v>
      </c>
      <c r="AW160" s="21">
        <f>EXP(-LN(2)/2)*AW159+(1-EXP(-LN(2)/2))/(LN(2)/2)*AQ160*AT160*VLOOKUP('Données projet'!$B$10,Paramètres!$A$1:$I$89,3,0)*0.475*44/12</f>
        <v>6.1033670137994708E-14</v>
      </c>
      <c r="AX160" s="21">
        <f t="shared" si="166"/>
        <v>32.390646183073535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-1.9863364286720756E-13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385.40047672167555</v>
      </c>
      <c r="BJ160" s="59">
        <f t="shared" si="146"/>
        <v>286.49293757741611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47.699463432917341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47.699463432917341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-5.1431925385259088E-14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397.12030701006762</v>
      </c>
      <c r="CE160" s="59">
        <f t="shared" si="148"/>
        <v>476.47513516380047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11.512258049245972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11.512258049245972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110.43805901666033</v>
      </c>
      <c r="CZ160" s="59">
        <f t="shared" si="150"/>
        <v>319.51880962151881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2.7234585484396865</v>
      </c>
      <c r="DG160" s="21">
        <f>EXP(-LN(2)/25)*DG159+(1-EXP(-LN(2)/25))/(LN(2)/25)*Calculateur!DB160*Calculateur!DD160*VLOOKUP('Données projet'!$B$13,Paramètres!$A$1:$I$89,3,0)*0.475*44/12</f>
        <v>0.40945095050578545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3.1329094989454718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3.3000000000000003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12.100000000000001</v>
      </c>
      <c r="H161" s="67">
        <f t="shared" si="110"/>
        <v>208.26666666666665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414.37917672189968</v>
      </c>
      <c r="T161" s="59">
        <f t="shared" si="142"/>
        <v>546.83385887302961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38.320820810526214</v>
      </c>
      <c r="AA161" s="21">
        <f>EXP(-LN(2)/25)*AA160+(1-EXP(-LN(2)/25))/(LN(2)/25)*Calculateur!V161*Calculateur!X161*VLOOKUP('Données projet'!$B$9,Paramètres!$A$1:$I$89,3,0)*0.475*44/12</f>
        <v>3.5987143489558822</v>
      </c>
      <c r="AB161" s="21">
        <f>EXP(-LN(2)/2)*AB160+(1-EXP(-LN(2)/2))/(LN(2)/2)*V161*Y161*VLOOKUP('Données projet'!$B$9,Paramètres!$A$1:$I$89,3,0)*0.475*44/12</f>
        <v>9.153454605338432E-15</v>
      </c>
      <c r="AC161" s="22">
        <f t="shared" si="163"/>
        <v>41.919535159482102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7.0940586738288402E-14</v>
      </c>
      <c r="AK161" s="13">
        <f t="shared" si="164"/>
        <v>1.1091816830583241E-12</v>
      </c>
      <c r="AL161" s="20">
        <f t="shared" si="165"/>
        <v>2.0553796198957668E-12</v>
      </c>
      <c r="AM161" s="59">
        <f t="shared" si="113"/>
        <v>289.52327932278052</v>
      </c>
      <c r="AN161" s="59">
        <f ca="1">AVERAGE(OFFSET($AM$3,0,0,'Données projet'!$E$10+1,1))-AVERAGE(OFFSET($H$3,0,0,'Données projet'!$E$10+1,1))</f>
        <v>296.20984079604017</v>
      </c>
      <c r="AO161" s="59">
        <f t="shared" si="144"/>
        <v>351.8406329895206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28.85761816763894</v>
      </c>
      <c r="AV161" s="21">
        <f>EXP(-LN(2)/25)*AV160+(1-EXP(-LN(2)/25))/(LN(2)/25)*Calculateur!AQ161*Calculateur!AS161*VLOOKUP('Données projet'!$B$10,Paramètres!$A$1:$I$89,3,0)*0.475*44/12</f>
        <v>2.8750019028857254</v>
      </c>
      <c r="AW161" s="21">
        <f>EXP(-LN(2)/2)*AW160+(1-EXP(-LN(2)/2))/(LN(2)/2)*AQ161*AT161*VLOOKUP('Données projet'!$B$10,Paramètres!$A$1:$I$89,3,0)*0.475*44/12</f>
        <v>4.3157322035278944E-14</v>
      </c>
      <c r="AX161" s="21">
        <f t="shared" si="166"/>
        <v>31.732620070524707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-1.9863364286720756E-13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385.40047672167555</v>
      </c>
      <c r="BJ161" s="59">
        <f t="shared" si="146"/>
        <v>286.49293757741611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46.76410604879775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46.76410604879775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-5.1431925385259088E-14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397.12030701006762</v>
      </c>
      <c r="CE161" s="59">
        <f t="shared" si="148"/>
        <v>476.47513516380047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11.286509690684325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11.286509690684325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110.43805901666033</v>
      </c>
      <c r="CZ161" s="59">
        <f t="shared" si="150"/>
        <v>319.51880962151881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2.6700531874504745</v>
      </c>
      <c r="DG161" s="21">
        <f>EXP(-LN(2)/25)*DG160+(1-EXP(-LN(2)/25))/(LN(2)/25)*Calculateur!DB161*Calculateur!DD161*VLOOKUP('Données projet'!$B$13,Paramètres!$A$1:$I$89,3,0)*0.475*44/12</f>
        <v>0.39825449273211505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3.0683076801825897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3.3000000000000003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12.100000000000001</v>
      </c>
      <c r="H162" s="67">
        <f t="shared" si="110"/>
        <v>208.26666666666665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414.37917672189968</v>
      </c>
      <c r="T162" s="59">
        <f t="shared" si="142"/>
        <v>546.83385887302961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37.569372887824557</v>
      </c>
      <c r="AA162" s="21">
        <f>EXP(-LN(2)/25)*AA161+(1-EXP(-LN(2)/25))/(LN(2)/25)*Calculateur!V162*Calculateur!X162*VLOOKUP('Données projet'!$B$9,Paramètres!$A$1:$I$89,3,0)*0.475*44/12</f>
        <v>3.5003073158355211</v>
      </c>
      <c r="AB162" s="21">
        <f>EXP(-LN(2)/2)*AB161+(1-EXP(-LN(2)/2))/(LN(2)/2)*V162*Y162*VLOOKUP('Données projet'!$B$9,Paramètres!$A$1:$I$89,3,0)*0.475*44/12</f>
        <v>6.4724698227180385E-15</v>
      </c>
      <c r="AC162" s="22">
        <f t="shared" si="163"/>
        <v>41.069680203660084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7.0940586738288402E-14</v>
      </c>
      <c r="AK162" s="13">
        <f t="shared" si="164"/>
        <v>1.1091816830583241E-12</v>
      </c>
      <c r="AL162" s="20">
        <f t="shared" si="165"/>
        <v>2.0553796198957668E-12</v>
      </c>
      <c r="AM162" s="59">
        <f t="shared" si="113"/>
        <v>289.58937524185893</v>
      </c>
      <c r="AN162" s="59">
        <f ca="1">AVERAGE(OFFSET($AM$3,0,0,'Données projet'!$E$10+1,1))-AVERAGE(OFFSET($H$3,0,0,'Données projet'!$E$10+1,1))</f>
        <v>296.20984079604017</v>
      </c>
      <c r="AO162" s="59">
        <f t="shared" si="144"/>
        <v>351.8406329895206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28.291737876780626</v>
      </c>
      <c r="AV162" s="21">
        <f>EXP(-LN(2)/25)*AV161+(1-EXP(-LN(2)/25))/(LN(2)/25)*Calculateur!AQ162*Calculateur!AS162*VLOOKUP('Données projet'!$B$10,Paramètres!$A$1:$I$89,3,0)*0.475*44/12</f>
        <v>2.7963848246615362</v>
      </c>
      <c r="AW162" s="21">
        <f>EXP(-LN(2)/2)*AW161+(1-EXP(-LN(2)/2))/(LN(2)/2)*AQ162*AT162*VLOOKUP('Données projet'!$B$10,Paramètres!$A$1:$I$89,3,0)*0.475*44/12</f>
        <v>3.0516835068997354E-14</v>
      </c>
      <c r="AX162" s="21">
        <f t="shared" si="166"/>
        <v>31.088122701442195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-1.9863364286720756E-13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385.40047672167555</v>
      </c>
      <c r="BJ162" s="59">
        <f t="shared" si="146"/>
        <v>286.49293757741611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45.847090452469075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45.847090452469075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-5.1431925385259088E-14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397.12030701006762</v>
      </c>
      <c r="CE162" s="59">
        <f t="shared" si="148"/>
        <v>476.47513516380047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11.065188119741169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11.065188119741169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110.43805901666033</v>
      </c>
      <c r="CZ162" s="59">
        <f t="shared" si="150"/>
        <v>319.51880962151881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2.6176950730162067</v>
      </c>
      <c r="DG162" s="21">
        <f>EXP(-LN(2)/25)*DG161+(1-EXP(-LN(2)/25))/(LN(2)/25)*Calculateur!DB162*Calculateur!DD162*VLOOKUP('Données projet'!$B$13,Paramètres!$A$1:$I$89,3,0)*0.475*44/12</f>
        <v>0.38736420268506183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3.0050592757012686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3.3000000000000003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12.100000000000001</v>
      </c>
      <c r="H163" s="67">
        <f t="shared" si="110"/>
        <v>208.26666666666665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414.37917672189968</v>
      </c>
      <c r="T163" s="59">
        <f t="shared" si="142"/>
        <v>546.83385887302961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36.832660400549102</v>
      </c>
      <c r="AA163" s="21">
        <f>EXP(-LN(2)/25)*AA162+(1-EXP(-LN(2)/25))/(LN(2)/25)*Calculateur!V163*Calculateur!X163*VLOOKUP('Données projet'!$B$9,Paramètres!$A$1:$I$89,3,0)*0.475*44/12</f>
        <v>3.4045912282108373</v>
      </c>
      <c r="AB163" s="21">
        <f>EXP(-LN(2)/2)*AB162+(1-EXP(-LN(2)/2))/(LN(2)/2)*V163*Y163*VLOOKUP('Données projet'!$B$9,Paramètres!$A$1:$I$89,3,0)*0.475*44/12</f>
        <v>4.576727302669216E-15</v>
      </c>
      <c r="AC163" s="22">
        <f t="shared" si="163"/>
        <v>40.23725162875995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7.0940586738288402E-14</v>
      </c>
      <c r="AK163" s="13">
        <f t="shared" si="164"/>
        <v>1.1091816830583241E-12</v>
      </c>
      <c r="AL163" s="20">
        <f t="shared" si="165"/>
        <v>2.0553796198957668E-12</v>
      </c>
      <c r="AM163" s="59">
        <f t="shared" si="113"/>
        <v>289.65432454450968</v>
      </c>
      <c r="AN163" s="59">
        <f ca="1">AVERAGE(OFFSET($AM$3,0,0,'Données projet'!$E$10+1,1))-AVERAGE(OFFSET($H$3,0,0,'Données projet'!$E$10+1,1))</f>
        <v>296.20984079604017</v>
      </c>
      <c r="AO163" s="59">
        <f t="shared" si="144"/>
        <v>351.8406329895206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27.73695415327315</v>
      </c>
      <c r="AV163" s="21">
        <f>EXP(-LN(2)/25)*AV162+(1-EXP(-LN(2)/25))/(LN(2)/25)*Calculateur!AQ163*Calculateur!AS163*VLOOKUP('Données projet'!$B$10,Paramètres!$A$1:$I$89,3,0)*0.475*44/12</f>
        <v>2.7199175345756799</v>
      </c>
      <c r="AW163" s="21">
        <f>EXP(-LN(2)/2)*AW162+(1-EXP(-LN(2)/2))/(LN(2)/2)*AQ163*AT163*VLOOKUP('Données projet'!$B$10,Paramètres!$A$1:$I$89,3,0)*0.475*44/12</f>
        <v>2.1578661017639472E-14</v>
      </c>
      <c r="AX163" s="21">
        <f t="shared" si="166"/>
        <v>30.456871687848849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-1.9863364286720756E-13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385.40047672167555</v>
      </c>
      <c r="BJ163" s="59">
        <f t="shared" si="146"/>
        <v>286.49293757741611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44.948056972660119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44.948056972660119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-5.1431925385259088E-14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397.12030701006762</v>
      </c>
      <c r="CE163" s="59">
        <f t="shared" si="148"/>
        <v>476.47513516380047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10.84820652981138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10.84820652981138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110.43805901666033</v>
      </c>
      <c r="CZ163" s="59">
        <f t="shared" si="150"/>
        <v>319.51880962151881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2.5663636692706988</v>
      </c>
      <c r="DG163" s="21">
        <f>EXP(-LN(2)/25)*DG162+(1-EXP(-LN(2)/25))/(LN(2)/25)*Calculateur!DB163*Calculateur!DD163*VLOOKUP('Données projet'!$B$13,Paramètres!$A$1:$I$89,3,0)*0.475*44/12</f>
        <v>0.37677170819204076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2.9431353774627396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3.3000000000000003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12.100000000000001</v>
      </c>
      <c r="H164" s="67">
        <f t="shared" si="110"/>
        <v>208.26666666666665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414.37917672189968</v>
      </c>
      <c r="T164" s="59">
        <f t="shared" si="142"/>
        <v>546.83385887302961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36.110394395798878</v>
      </c>
      <c r="AA164" s="21">
        <f>EXP(-LN(2)/25)*AA163+(1-EXP(-LN(2)/25))/(LN(2)/25)*Calculateur!V164*Calculateur!X164*VLOOKUP('Données projet'!$B$9,Paramètres!$A$1:$I$89,3,0)*0.475*44/12</f>
        <v>3.3114925020357404</v>
      </c>
      <c r="AB164" s="21">
        <f>EXP(-LN(2)/2)*AB163+(1-EXP(-LN(2)/2))/(LN(2)/2)*V164*Y164*VLOOKUP('Données projet'!$B$9,Paramètres!$A$1:$I$89,3,0)*0.475*44/12</f>
        <v>3.2362349113590192E-15</v>
      </c>
      <c r="AC164" s="22">
        <f t="shared" si="163"/>
        <v>39.421886897834618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7.0940586738288402E-14</v>
      </c>
      <c r="AK164" s="13">
        <f t="shared" si="164"/>
        <v>1.1091816830583241E-12</v>
      </c>
      <c r="AL164" s="20">
        <f t="shared" si="165"/>
        <v>2.0553796198957668E-12</v>
      </c>
      <c r="AM164" s="59">
        <f t="shared" si="113"/>
        <v>289.71814712196436</v>
      </c>
      <c r="AN164" s="59">
        <f ca="1">AVERAGE(OFFSET($AM$3,0,0,'Données projet'!$E$10+1,1))-AVERAGE(OFFSET($H$3,0,0,'Données projet'!$E$10+1,1))</f>
        <v>296.20984079604017</v>
      </c>
      <c r="AO164" s="59">
        <f t="shared" si="144"/>
        <v>351.8406329895206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27.193049400198994</v>
      </c>
      <c r="AV164" s="21">
        <f>EXP(-LN(2)/25)*AV163+(1-EXP(-LN(2)/25))/(LN(2)/25)*Calculateur!AQ164*Calculateur!AS164*VLOOKUP('Données projet'!$B$10,Paramètres!$A$1:$I$89,3,0)*0.475*44/12</f>
        <v>2.6455412465584613</v>
      </c>
      <c r="AW164" s="21">
        <f>EXP(-LN(2)/2)*AW163+(1-EXP(-LN(2)/2))/(LN(2)/2)*AQ164*AT164*VLOOKUP('Données projet'!$B$10,Paramètres!$A$1:$I$89,3,0)*0.475*44/12</f>
        <v>1.5258417534498677E-14</v>
      </c>
      <c r="AX164" s="21">
        <f t="shared" si="166"/>
        <v>29.838590646757471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-1.9863364286720756E-13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385.40047672167555</v>
      </c>
      <c r="BJ164" s="59">
        <f t="shared" si="146"/>
        <v>286.49293757741611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44.066652991033941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44.066652991033941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-5.1431925385259088E-14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397.12030701006762</v>
      </c>
      <c r="CE164" s="59">
        <f t="shared" si="148"/>
        <v>476.47513516380047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10.635479816514412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10.635479816514412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110.43805901666033</v>
      </c>
      <c r="CZ164" s="59">
        <f t="shared" si="150"/>
        <v>319.51880962151881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2.5160388430435754</v>
      </c>
      <c r="DG164" s="21">
        <f>EXP(-LN(2)/25)*DG163+(1-EXP(-LN(2)/25))/(LN(2)/25)*Calculateur!DB164*Calculateur!DD164*VLOOKUP('Données projet'!$B$13,Paramètres!$A$1:$I$89,3,0)*0.475*44/12</f>
        <v>0.36646886601796641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2.8825077090615419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3.3000000000000003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12.100000000000001</v>
      </c>
      <c r="H165" s="67">
        <f t="shared" si="110"/>
        <v>208.26666666666665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414.37917672189968</v>
      </c>
      <c r="T165" s="59">
        <f t="shared" si="142"/>
        <v>546.83385887302961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35.402291586863036</v>
      </c>
      <c r="AA165" s="21">
        <f>EXP(-LN(2)/25)*AA164+(1-EXP(-LN(2)/25))/(LN(2)/25)*Calculateur!V165*Calculateur!X165*VLOOKUP('Données projet'!$B$9,Paramètres!$A$1:$I$89,3,0)*0.475*44/12</f>
        <v>3.2209395654237509</v>
      </c>
      <c r="AB165" s="21">
        <f>EXP(-LN(2)/2)*AB164+(1-EXP(-LN(2)/2))/(LN(2)/2)*V165*Y165*VLOOKUP('Données projet'!$B$9,Paramètres!$A$1:$I$89,3,0)*0.475*44/12</f>
        <v>2.288363651334608E-15</v>
      </c>
      <c r="AC165" s="22">
        <f t="shared" si="163"/>
        <v>38.623231152286785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7.0940586738288402E-14</v>
      </c>
      <c r="AK165" s="13">
        <f t="shared" si="164"/>
        <v>1.1091816830583241E-12</v>
      </c>
      <c r="AL165" s="20">
        <f t="shared" si="165"/>
        <v>2.0553796198957668E-12</v>
      </c>
      <c r="AM165" s="59">
        <f t="shared" si="113"/>
        <v>289.78086252038611</v>
      </c>
      <c r="AN165" s="59">
        <f ca="1">AVERAGE(OFFSET($AM$3,0,0,'Données projet'!$E$10+1,1))-AVERAGE(OFFSET($H$3,0,0,'Données projet'!$E$10+1,1))</f>
        <v>296.20984079604017</v>
      </c>
      <c r="AO165" s="59">
        <f t="shared" si="144"/>
        <v>351.8406329895206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26.659810287583483</v>
      </c>
      <c r="AV165" s="21">
        <f>EXP(-LN(2)/25)*AV164+(1-EXP(-LN(2)/25))/(LN(2)/25)*Calculateur!AQ165*Calculateur!AS165*VLOOKUP('Données projet'!$B$10,Paramètres!$A$1:$I$89,3,0)*0.475*44/12</f>
        <v>2.5731987820483524</v>
      </c>
      <c r="AW165" s="21">
        <f>EXP(-LN(2)/2)*AW164+(1-EXP(-LN(2)/2))/(LN(2)/2)*AQ165*AT165*VLOOKUP('Données projet'!$B$10,Paramètres!$A$1:$I$89,3,0)*0.475*44/12</f>
        <v>1.0789330508819736E-14</v>
      </c>
      <c r="AX165" s="21">
        <f t="shared" si="166"/>
        <v>29.233009069631844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-1.9863364286720756E-13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385.40047672167555</v>
      </c>
      <c r="BJ165" s="59">
        <f t="shared" si="146"/>
        <v>286.49293757741611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43.202532803884104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43.202532803884104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-5.1431925385259088E-14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397.12030701006762</v>
      </c>
      <c r="CE165" s="59">
        <f t="shared" si="148"/>
        <v>476.47513516380047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10.426924544314714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10.426924544314714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110.43805901666033</v>
      </c>
      <c r="CZ165" s="59">
        <f t="shared" si="150"/>
        <v>319.51880962151881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2.4667008559636527</v>
      </c>
      <c r="DG165" s="21">
        <f>EXP(-LN(2)/25)*DG164+(1-EXP(-LN(2)/25))/(LN(2)/25)*Calculateur!DB165*Calculateur!DD165*VLOOKUP('Données projet'!$B$13,Paramètres!$A$1:$I$89,3,0)*0.475*44/12</f>
        <v>0.35644775560494502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2.8231486115685978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3.3000000000000003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12.100000000000001</v>
      </c>
      <c r="H166" s="67">
        <f t="shared" si="110"/>
        <v>208.26666666666665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414.37917672189968</v>
      </c>
      <c r="T166" s="59">
        <f t="shared" si="142"/>
        <v>546.83385887302961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34.708074242110364</v>
      </c>
      <c r="AA166" s="21">
        <f>EXP(-LN(2)/25)*AA165+(1-EXP(-LN(2)/25))/(LN(2)/25)*Calculateur!V166*Calculateur!X166*VLOOKUP('Données projet'!$B$9,Paramètres!$A$1:$I$89,3,0)*0.475*44/12</f>
        <v>3.1328628036253883</v>
      </c>
      <c r="AB166" s="21">
        <f>EXP(-LN(2)/2)*AB165+(1-EXP(-LN(2)/2))/(LN(2)/2)*V166*Y166*VLOOKUP('Données projet'!$B$9,Paramètres!$A$1:$I$89,3,0)*0.475*44/12</f>
        <v>1.6181174556795096E-15</v>
      </c>
      <c r="AC166" s="22">
        <f t="shared" si="163"/>
        <v>37.84093704573575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7.0940586738288402E-14</v>
      </c>
      <c r="AK166" s="13">
        <f t="shared" si="164"/>
        <v>1.1091816830583241E-12</v>
      </c>
      <c r="AL166" s="20">
        <f t="shared" si="165"/>
        <v>2.0553796198957668E-12</v>
      </c>
      <c r="AM166" s="59">
        <f t="shared" si="113"/>
        <v>289.84248994685589</v>
      </c>
      <c r="AN166" s="59">
        <f ca="1">AVERAGE(OFFSET($AM$3,0,0,'Données projet'!$E$10+1,1))-AVERAGE(OFFSET($H$3,0,0,'Données projet'!$E$10+1,1))</f>
        <v>296.20984079604017</v>
      </c>
      <c r="AO166" s="59">
        <f t="shared" si="144"/>
        <v>351.8406329895206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26.137027668722617</v>
      </c>
      <c r="AV166" s="21">
        <f>EXP(-LN(2)/25)*AV165+(1-EXP(-LN(2)/25))/(LN(2)/25)*Calculateur!AQ166*Calculateur!AS166*VLOOKUP('Données projet'!$B$10,Paramètres!$A$1:$I$89,3,0)*0.475*44/12</f>
        <v>2.5028345260345972</v>
      </c>
      <c r="AW166" s="21">
        <f>EXP(-LN(2)/2)*AW165+(1-EXP(-LN(2)/2))/(LN(2)/2)*AQ166*AT166*VLOOKUP('Données projet'!$B$10,Paramètres!$A$1:$I$89,3,0)*0.475*44/12</f>
        <v>7.6292087672493385E-15</v>
      </c>
      <c r="AX166" s="21">
        <f t="shared" si="166"/>
        <v>28.639862194757221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-1.9863364286720756E-13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385.40047672167555</v>
      </c>
      <c r="BJ166" s="59">
        <f t="shared" si="146"/>
        <v>286.49293757741611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42.355357486543006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42.355357486543006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-5.1431925385259088E-14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397.12030701006762</v>
      </c>
      <c r="CE166" s="59">
        <f t="shared" si="148"/>
        <v>476.47513516380047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10.222458913796697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10.222458913796697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110.43805901666033</v>
      </c>
      <c r="CZ166" s="59">
        <f t="shared" si="150"/>
        <v>319.51880962151881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2.4183303567171666</v>
      </c>
      <c r="DG166" s="21">
        <f>EXP(-LN(2)/25)*DG165+(1-EXP(-LN(2)/25))/(LN(2)/25)*Calculateur!DB166*Calculateur!DD166*VLOOKUP('Données projet'!$B$13,Paramètres!$A$1:$I$89,3,0)*0.475*44/12</f>
        <v>0.34670067298315499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2.7650310297003218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3.3000000000000003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12.100000000000001</v>
      </c>
      <c r="H167" s="67">
        <f t="shared" si="110"/>
        <v>208.26666666666665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414.37917672189968</v>
      </c>
      <c r="T167" s="59">
        <f t="shared" si="142"/>
        <v>546.83385887302961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34.027470076057519</v>
      </c>
      <c r="AA167" s="21">
        <f>EXP(-LN(2)/25)*AA166+(1-EXP(-LN(2)/25))/(LN(2)/25)*Calculateur!V167*Calculateur!X167*VLOOKUP('Données projet'!$B$9,Paramètres!$A$1:$I$89,3,0)*0.475*44/12</f>
        <v>3.0471945055101575</v>
      </c>
      <c r="AB167" s="21">
        <f>EXP(-LN(2)/2)*AB166+(1-EXP(-LN(2)/2))/(LN(2)/2)*V167*Y167*VLOOKUP('Données projet'!$B$9,Paramètres!$A$1:$I$89,3,0)*0.475*44/12</f>
        <v>1.144181825667304E-15</v>
      </c>
      <c r="AC167" s="22">
        <f t="shared" si="163"/>
        <v>37.074664581567674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7.0940586738288402E-14</v>
      </c>
      <c r="AK167" s="13">
        <f t="shared" si="164"/>
        <v>1.1091816830583241E-12</v>
      </c>
      <c r="AL167" s="20">
        <f t="shared" si="165"/>
        <v>2.0553796198957668E-12</v>
      </c>
      <c r="AM167" s="59">
        <f t="shared" si="113"/>
        <v>289.90304827525466</v>
      </c>
      <c r="AN167" s="59">
        <f ca="1">AVERAGE(OFFSET($AM$3,0,0,'Données projet'!$E$10+1,1))-AVERAGE(OFFSET($H$3,0,0,'Données projet'!$E$10+1,1))</f>
        <v>296.20984079604017</v>
      </c>
      <c r="AO167" s="59">
        <f t="shared" si="144"/>
        <v>351.8406329895206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25.6244964981517</v>
      </c>
      <c r="AV167" s="21">
        <f>EXP(-LN(2)/25)*AV166+(1-EXP(-LN(2)/25))/(LN(2)/25)*Calculateur!AQ167*Calculateur!AS167*VLOOKUP('Données projet'!$B$10,Paramètres!$A$1:$I$89,3,0)*0.475*44/12</f>
        <v>2.4343943843018336</v>
      </c>
      <c r="AW167" s="21">
        <f>EXP(-LN(2)/2)*AW166+(1-EXP(-LN(2)/2))/(LN(2)/2)*AQ167*AT167*VLOOKUP('Données projet'!$B$10,Paramètres!$A$1:$I$89,3,0)*0.475*44/12</f>
        <v>5.394665254409868E-15</v>
      </c>
      <c r="AX167" s="21">
        <f t="shared" si="166"/>
        <v>28.058890882453539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-1.9863364286720756E-13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385.40047672167555</v>
      </c>
      <c r="BJ167" s="59">
        <f t="shared" si="146"/>
        <v>286.49293757741611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41.524794760449048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41.524794760449048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-5.1431925385259088E-14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397.12030701006762</v>
      </c>
      <c r="CE167" s="59">
        <f t="shared" si="148"/>
        <v>476.47513516380047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10.022002729581418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10.022002729581418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110.43805901666033</v>
      </c>
      <c r="CZ167" s="59">
        <f t="shared" si="150"/>
        <v>319.51880962151881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2.3709083734578127</v>
      </c>
      <c r="DG167" s="21">
        <f>EXP(-LN(2)/25)*DG166+(1-EXP(-LN(2)/25))/(LN(2)/25)*Calculateur!DB167*Calculateur!DD167*VLOOKUP('Données projet'!$B$13,Paramètres!$A$1:$I$89,3,0)*0.475*44/12</f>
        <v>0.3372201248482346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2.7081284983060474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3.3000000000000003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12.100000000000001</v>
      </c>
      <c r="H168" s="67">
        <f t="shared" si="110"/>
        <v>208.26666666666665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414.37917672189968</v>
      </c>
      <c r="T168" s="59">
        <f t="shared" si="142"/>
        <v>546.83385887302961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33.360212142573417</v>
      </c>
      <c r="AA168" s="21">
        <f>EXP(-LN(2)/25)*AA167+(1-EXP(-LN(2)/25))/(LN(2)/25)*Calculateur!V168*Calculateur!X168*VLOOKUP('Données projet'!$B$9,Paramètres!$A$1:$I$89,3,0)*0.475*44/12</f>
        <v>2.9638688115119876</v>
      </c>
      <c r="AB168" s="21">
        <f>EXP(-LN(2)/2)*AB167+(1-EXP(-LN(2)/2))/(LN(2)/2)*V168*Y168*VLOOKUP('Données projet'!$B$9,Paramètres!$A$1:$I$89,3,0)*0.475*44/12</f>
        <v>8.0905872783975481E-16</v>
      </c>
      <c r="AC168" s="22">
        <f t="shared" si="163"/>
        <v>36.324080954085403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7.0940586738288402E-14</v>
      </c>
      <c r="AK168" s="13">
        <f t="shared" si="164"/>
        <v>1.1091816830583241E-12</v>
      </c>
      <c r="AL168" s="20">
        <f t="shared" si="165"/>
        <v>2.0553796198957668E-12</v>
      </c>
      <c r="AM168" s="59">
        <f t="shared" si="113"/>
        <v>289.96255605204379</v>
      </c>
      <c r="AN168" s="59">
        <f ca="1">AVERAGE(OFFSET($AM$3,0,0,'Données projet'!$E$10+1,1))-AVERAGE(OFFSET($H$3,0,0,'Données projet'!$E$10+1,1))</f>
        <v>296.20984079604017</v>
      </c>
      <c r="AO168" s="59">
        <f t="shared" si="144"/>
        <v>351.8406329895206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25.122015751222534</v>
      </c>
      <c r="AV168" s="21">
        <f>EXP(-LN(2)/25)*AV167+(1-EXP(-LN(2)/25))/(LN(2)/25)*Calculateur!AQ168*Calculateur!AS168*VLOOKUP('Données projet'!$B$10,Paramètres!$A$1:$I$89,3,0)*0.475*44/12</f>
        <v>2.3678257418438631</v>
      </c>
      <c r="AW168" s="21">
        <f>EXP(-LN(2)/2)*AW167+(1-EXP(-LN(2)/2))/(LN(2)/2)*AQ168*AT168*VLOOKUP('Données projet'!$B$10,Paramètres!$A$1:$I$89,3,0)*0.475*44/12</f>
        <v>3.8146043836246692E-15</v>
      </c>
      <c r="AX168" s="21">
        <f t="shared" si="166"/>
        <v>27.4898414930664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-1.9863364286720756E-13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385.40047672167555</v>
      </c>
      <c r="BJ168" s="59">
        <f t="shared" si="146"/>
        <v>286.49293757741611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40.71051886282055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40.71051886282055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-5.1431925385259088E-14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397.12030701006762</v>
      </c>
      <c r="CE168" s="59">
        <f t="shared" si="148"/>
        <v>476.47513516380047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9.8254773688724004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9.8254773688724004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110.43805901666033</v>
      </c>
      <c r="CZ168" s="59">
        <f t="shared" si="150"/>
        <v>319.51880962151881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2.3244163063656211</v>
      </c>
      <c r="DG168" s="21">
        <f>EXP(-LN(2)/25)*DG167+(1-EXP(-LN(2)/25))/(LN(2)/25)*Calculateur!DB168*Calculateur!DD168*VLOOKUP('Données projet'!$B$13,Paramètres!$A$1:$I$89,3,0)*0.475*44/12</f>
        <v>0.32799882280062398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2.6524151291662452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3.3000000000000003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12.100000000000001</v>
      </c>
      <c r="H169" s="67">
        <f t="shared" si="110"/>
        <v>208.26666666666665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414.37917672189968</v>
      </c>
      <c r="T169" s="59">
        <f t="shared" si="142"/>
        <v>546.83385887302961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32.706038730177788</v>
      </c>
      <c r="AA169" s="21">
        <f>EXP(-LN(2)/25)*AA168+(1-EXP(-LN(2)/25))/(LN(2)/25)*Calculateur!V169*Calculateur!X169*VLOOKUP('Données projet'!$B$9,Paramètres!$A$1:$I$89,3,0)*0.475*44/12</f>
        <v>2.8828216629981056</v>
      </c>
      <c r="AB169" s="21">
        <f>EXP(-LN(2)/2)*AB168+(1-EXP(-LN(2)/2))/(LN(2)/2)*V169*Y169*VLOOKUP('Données projet'!$B$9,Paramètres!$A$1:$I$89,3,0)*0.475*44/12</f>
        <v>5.72090912833652E-16</v>
      </c>
      <c r="AC169" s="22">
        <f t="shared" si="163"/>
        <v>35.588860393175892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7.0940586738288402E-14</v>
      </c>
      <c r="AK169" s="13">
        <f t="shared" si="164"/>
        <v>1.1091816830583241E-12</v>
      </c>
      <c r="AL169" s="20">
        <f t="shared" si="165"/>
        <v>2.0553796198957668E-12</v>
      </c>
      <c r="AM169" s="59">
        <f t="shared" si="113"/>
        <v>290.02103150194529</v>
      </c>
      <c r="AN169" s="59">
        <f ca="1">AVERAGE(OFFSET($AM$3,0,0,'Données projet'!$E$10+1,1))-AVERAGE(OFFSET($H$3,0,0,'Données projet'!$E$10+1,1))</f>
        <v>296.20984079604017</v>
      </c>
      <c r="AO169" s="59">
        <f t="shared" si="144"/>
        <v>351.8406329895206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24.629388345257656</v>
      </c>
      <c r="AV169" s="21">
        <f>EXP(-LN(2)/25)*AV168+(1-EXP(-LN(2)/25))/(LN(2)/25)*Calculateur!AQ169*Calculateur!AS169*VLOOKUP('Données projet'!$B$10,Paramètres!$A$1:$I$89,3,0)*0.475*44/12</f>
        <v>2.3030774224145985</v>
      </c>
      <c r="AW169" s="21">
        <f>EXP(-LN(2)/2)*AW168+(1-EXP(-LN(2)/2))/(LN(2)/2)*AQ169*AT169*VLOOKUP('Données projet'!$B$10,Paramètres!$A$1:$I$89,3,0)*0.475*44/12</f>
        <v>2.697332627204934E-15</v>
      </c>
      <c r="AX169" s="21">
        <f t="shared" si="166"/>
        <v>26.932465767672259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-1.9863364286720756E-13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385.40047672167555</v>
      </c>
      <c r="BJ169" s="59">
        <f t="shared" si="146"/>
        <v>286.49293757741611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39.912210418885294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39.912210418885294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-5.1431925385259088E-14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397.12030701006762</v>
      </c>
      <c r="CE169" s="59">
        <f t="shared" si="148"/>
        <v>476.47513516380047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9.6328057506182532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9.6328057506182532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110.43805901666033</v>
      </c>
      <c r="CZ169" s="59">
        <f t="shared" si="150"/>
        <v>319.51880962151881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2.2788359203517468</v>
      </c>
      <c r="DG169" s="21">
        <f>EXP(-LN(2)/25)*DG168+(1-EXP(-LN(2)/25))/(LN(2)/25)*Calculateur!DB169*Calculateur!DD169*VLOOKUP('Données projet'!$B$13,Paramètres!$A$1:$I$89,3,0)*0.475*44/12</f>
        <v>0.31902967774243246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2.5978655980941792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3.3000000000000003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12.100000000000001</v>
      </c>
      <c r="H170" s="67">
        <f t="shared" si="110"/>
        <v>208.26666666666665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414.37917672189968</v>
      </c>
      <c r="T170" s="59">
        <f t="shared" si="142"/>
        <v>546.83385887302961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32.064693259392854</v>
      </c>
      <c r="AA170" s="21">
        <f>EXP(-LN(2)/25)*AA169+(1-EXP(-LN(2)/25))/(LN(2)/25)*Calculateur!V170*Calculateur!X170*VLOOKUP('Données projet'!$B$9,Paramètres!$A$1:$I$89,3,0)*0.475*44/12</f>
        <v>2.8039907530224197</v>
      </c>
      <c r="AB170" s="21">
        <f>EXP(-LN(2)/2)*AB169+(1-EXP(-LN(2)/2))/(LN(2)/2)*V170*Y170*VLOOKUP('Données projet'!$B$9,Paramètres!$A$1:$I$89,3,0)*0.475*44/12</f>
        <v>4.045293639198774E-16</v>
      </c>
      <c r="AC170" s="22">
        <f t="shared" si="163"/>
        <v>34.868684012415272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7.0940586738288402E-14</v>
      </c>
      <c r="AK170" s="13">
        <f t="shared" si="164"/>
        <v>1.1091816830583241E-12</v>
      </c>
      <c r="AL170" s="20">
        <f t="shared" si="165"/>
        <v>2.0553796198957668E-12</v>
      </c>
      <c r="AM170" s="59">
        <f t="shared" si="113"/>
        <v>290.07849253352236</v>
      </c>
      <c r="AN170" s="59">
        <f ca="1">AVERAGE(OFFSET($AM$3,0,0,'Données projet'!$E$10+1,1))-AVERAGE(OFFSET($H$3,0,0,'Données projet'!$E$10+1,1))</f>
        <v>296.20984079604017</v>
      </c>
      <c r="AO170" s="59">
        <f t="shared" si="144"/>
        <v>351.8406329895206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24.146421062250703</v>
      </c>
      <c r="AV170" s="21">
        <f>EXP(-LN(2)/25)*AV169+(1-EXP(-LN(2)/25))/(LN(2)/25)*Calculateur!AQ170*Calculateur!AS170*VLOOKUP('Données projet'!$B$10,Paramètres!$A$1:$I$89,3,0)*0.475*44/12</f>
        <v>2.2400996491850935</v>
      </c>
      <c r="AW170" s="21">
        <f>EXP(-LN(2)/2)*AW169+(1-EXP(-LN(2)/2))/(LN(2)/2)*AQ170*AT170*VLOOKUP('Données projet'!$B$10,Paramètres!$A$1:$I$89,3,0)*0.475*44/12</f>
        <v>1.9073021918123346E-15</v>
      </c>
      <c r="AX170" s="21">
        <f t="shared" si="166"/>
        <v>26.3865207114358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-1.9863364286720756E-13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385.40047672167555</v>
      </c>
      <c r="BJ170" s="59">
        <f t="shared" si="146"/>
        <v>286.49293757741611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39.129556316615535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39.129556316615535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-5.1431925385259088E-14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397.12030701006762</v>
      </c>
      <c r="CE170" s="59">
        <f t="shared" si="148"/>
        <v>476.47513516380047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9.4439123052799872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9.4439123052799872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110.43805901666033</v>
      </c>
      <c r="CZ170" s="59">
        <f t="shared" si="150"/>
        <v>319.51880962151881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2.234149337906314</v>
      </c>
      <c r="DG170" s="21">
        <f>EXP(-LN(2)/25)*DG169+(1-EXP(-LN(2)/25))/(LN(2)/25)*Calculateur!DB170*Calculateur!DD170*VLOOKUP('Données projet'!$B$13,Paramètres!$A$1:$I$89,3,0)*0.475*44/12</f>
        <v>0.31030579442752404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2.5444551323338382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3.3000000000000003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12.100000000000001</v>
      </c>
      <c r="H171" s="67">
        <f t="shared" si="110"/>
        <v>208.26666666666665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414.37917672189968</v>
      </c>
      <c r="T171" s="59">
        <f t="shared" si="142"/>
        <v>546.83385887302961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31.435924182107904</v>
      </c>
      <c r="AA171" s="21">
        <f>EXP(-LN(2)/25)*AA170+(1-EXP(-LN(2)/25))/(LN(2)/25)*Calculateur!V171*Calculateur!X171*VLOOKUP('Données projet'!$B$9,Paramètres!$A$1:$I$89,3,0)*0.475*44/12</f>
        <v>2.7273154784255564</v>
      </c>
      <c r="AB171" s="21">
        <f>EXP(-LN(2)/2)*AB170+(1-EXP(-LN(2)/2))/(LN(2)/2)*V171*Y171*VLOOKUP('Données projet'!$B$9,Paramètres!$A$1:$I$89,3,0)*0.475*44/12</f>
        <v>2.86045456416826E-16</v>
      </c>
      <c r="AC171" s="22">
        <f t="shared" si="163"/>
        <v>34.163239660533463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7.0940586738288402E-14</v>
      </c>
      <c r="AK171" s="13">
        <f t="shared" si="164"/>
        <v>1.1091816830583241E-12</v>
      </c>
      <c r="AL171" s="20">
        <f t="shared" si="165"/>
        <v>2.0553796198957668E-12</v>
      </c>
      <c r="AM171" s="59">
        <f t="shared" si="113"/>
        <v>290.1349567446652</v>
      </c>
      <c r="AN171" s="59">
        <f ca="1">AVERAGE(OFFSET($AM$3,0,0,'Données projet'!$E$10+1,1))-AVERAGE(OFFSET($H$3,0,0,'Données projet'!$E$10+1,1))</f>
        <v>296.20984079604017</v>
      </c>
      <c r="AO171" s="59">
        <f t="shared" si="144"/>
        <v>351.8406329895206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23.67292447308256</v>
      </c>
      <c r="AV171" s="21">
        <f>EXP(-LN(2)/25)*AV170+(1-EXP(-LN(2)/25))/(LN(2)/25)*Calculateur!AQ171*Calculateur!AS171*VLOOKUP('Données projet'!$B$10,Paramètres!$A$1:$I$89,3,0)*0.475*44/12</f>
        <v>2.1788440064764063</v>
      </c>
      <c r="AW171" s="21">
        <f>EXP(-LN(2)/2)*AW170+(1-EXP(-LN(2)/2))/(LN(2)/2)*AQ171*AT171*VLOOKUP('Données projet'!$B$10,Paramètres!$A$1:$I$89,3,0)*0.475*44/12</f>
        <v>1.348666313602467E-15</v>
      </c>
      <c r="AX171" s="21">
        <f t="shared" si="166"/>
        <v>25.851768479558967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-1.9863364286720756E-13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385.40047672167555</v>
      </c>
      <c r="BJ171" s="59">
        <f t="shared" si="146"/>
        <v>286.49293757741611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38.362249583919422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38.362249583919422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-5.1431925385259088E-14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397.12030701006762</v>
      </c>
      <c r="CE171" s="59">
        <f t="shared" si="148"/>
        <v>476.47513516380047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9.2587229451911792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9.2587229451911792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110.43805901666033</v>
      </c>
      <c r="CZ171" s="59">
        <f t="shared" si="150"/>
        <v>319.51880962151881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2.1903390320865124</v>
      </c>
      <c r="DG171" s="21">
        <f>EXP(-LN(2)/25)*DG170+(1-EXP(-LN(2)/25))/(LN(2)/25)*Calculateur!DB171*Calculateur!DD171*VLOOKUP('Données projet'!$B$13,Paramètres!$A$1:$I$89,3,0)*0.475*44/12</f>
        <v>0.30182046616063091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2.4921594982471431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3.3000000000000003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12.100000000000001</v>
      </c>
      <c r="H172" s="67">
        <f t="shared" si="110"/>
        <v>208.26666666666665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414.37917672189968</v>
      </c>
      <c r="T172" s="59">
        <f t="shared" si="142"/>
        <v>546.83385887302961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30.819484882917241</v>
      </c>
      <c r="AA172" s="21">
        <f>EXP(-LN(2)/25)*AA171+(1-EXP(-LN(2)/25))/(LN(2)/25)*Calculateur!V172*Calculateur!X172*VLOOKUP('Données projet'!$B$9,Paramètres!$A$1:$I$89,3,0)*0.475*44/12</f>
        <v>2.6527368932447222</v>
      </c>
      <c r="AB172" s="21">
        <f>EXP(-LN(2)/2)*AB171+(1-EXP(-LN(2)/2))/(LN(2)/2)*V172*Y172*VLOOKUP('Données projet'!$B$9,Paramètres!$A$1:$I$89,3,0)*0.475*44/12</f>
        <v>2.022646819599387E-16</v>
      </c>
      <c r="AC172" s="22">
        <f t="shared" si="163"/>
        <v>33.472221776161966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7.0940586738288402E-14</v>
      </c>
      <c r="AK172" s="13">
        <f t="shared" si="164"/>
        <v>1.1091816830583241E-12</v>
      </c>
      <c r="AL172" s="20">
        <f t="shared" si="165"/>
        <v>2.0553796198957668E-12</v>
      </c>
      <c r="AM172" s="59">
        <f t="shared" si="113"/>
        <v>290.19044142797981</v>
      </c>
      <c r="AN172" s="59">
        <f ca="1">AVERAGE(OFFSET($AM$3,0,0,'Données projet'!$E$10+1,1))-AVERAGE(OFFSET($H$3,0,0,'Données projet'!$E$10+1,1))</f>
        <v>296.20984079604017</v>
      </c>
      <c r="AO172" s="59">
        <f t="shared" si="144"/>
        <v>351.8406329895206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23.208712863223599</v>
      </c>
      <c r="AV172" s="21">
        <f>EXP(-LN(2)/25)*AV171+(1-EXP(-LN(2)/25))/(LN(2)/25)*Calculateur!AQ172*Calculateur!AS172*VLOOKUP('Données projet'!$B$10,Paramètres!$A$1:$I$89,3,0)*0.475*44/12</f>
        <v>2.1192634025388823</v>
      </c>
      <c r="AW172" s="21">
        <f>EXP(-LN(2)/2)*AW171+(1-EXP(-LN(2)/2))/(LN(2)/2)*AQ172*AT172*VLOOKUP('Données projet'!$B$10,Paramètres!$A$1:$I$89,3,0)*0.475*44/12</f>
        <v>9.5365109590616731E-16</v>
      </c>
      <c r="AX172" s="21">
        <f t="shared" si="166"/>
        <v>25.32797626576248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-1.9863364286720756E-13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385.40047672167555</v>
      </c>
      <c r="BJ172" s="59">
        <f t="shared" si="146"/>
        <v>286.49293757741611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37.609989268240582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37.609989268240582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-5.1431925385259088E-14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397.12030701006762</v>
      </c>
      <c r="CE172" s="59">
        <f t="shared" si="148"/>
        <v>476.47513516380047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9.0771650354993554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9.0771650354993554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110.43805901666033</v>
      </c>
      <c r="CZ172" s="59">
        <f t="shared" si="150"/>
        <v>319.51880962151881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2.1473878196421889</v>
      </c>
      <c r="DG172" s="21">
        <f>EXP(-LN(2)/25)*DG171+(1-EXP(-LN(2)/25))/(LN(2)/25)*Calculateur!DB172*Calculateur!DD172*VLOOKUP('Données projet'!$B$13,Paramètres!$A$1:$I$89,3,0)*0.475*44/12</f>
        <v>0.29356716964141993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2.4409549892836089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3.3000000000000003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12.100000000000001</v>
      </c>
      <c r="H173" s="67">
        <f t="shared" si="110"/>
        <v>208.26666666666665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414.37917672189968</v>
      </c>
      <c r="T173" s="59">
        <f t="shared" si="142"/>
        <v>546.83385887302961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30.215133582392863</v>
      </c>
      <c r="AA173" s="21">
        <f>EXP(-LN(2)/25)*AA172+(1-EXP(-LN(2)/25))/(LN(2)/25)*Calculateur!V173*Calculateur!X173*VLOOKUP('Données projet'!$B$9,Paramètres!$A$1:$I$89,3,0)*0.475*44/12</f>
        <v>2.5801976633975747</v>
      </c>
      <c r="AB173" s="21">
        <f>EXP(-LN(2)/2)*AB172+(1-EXP(-LN(2)/2))/(LN(2)/2)*V173*Y173*VLOOKUP('Données projet'!$B$9,Paramètres!$A$1:$I$89,3,0)*0.475*44/12</f>
        <v>1.43022728208413E-16</v>
      </c>
      <c r="AC173" s="22">
        <f t="shared" si="163"/>
        <v>32.795331245790436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7.0940586738288402E-14</v>
      </c>
      <c r="AK173" s="13">
        <f t="shared" si="164"/>
        <v>1.1091816830583241E-12</v>
      </c>
      <c r="AL173" s="20">
        <f t="shared" si="165"/>
        <v>2.0553796198957668E-12</v>
      </c>
      <c r="AM173" s="59">
        <f t="shared" si="113"/>
        <v>290.2449635760841</v>
      </c>
      <c r="AN173" s="59">
        <f ca="1">AVERAGE(OFFSET($AM$3,0,0,'Données projet'!$E$10+1,1))-AVERAGE(OFFSET($H$3,0,0,'Données projet'!$E$10+1,1))</f>
        <v>296.20984079604017</v>
      </c>
      <c r="AO173" s="59">
        <f t="shared" si="144"/>
        <v>351.8406329895206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22.753604159892852</v>
      </c>
      <c r="AV173" s="21">
        <f>EXP(-LN(2)/25)*AV172+(1-EXP(-LN(2)/25))/(LN(2)/25)*Calculateur!AQ173*Calculateur!AS173*VLOOKUP('Données projet'!$B$10,Paramètres!$A$1:$I$89,3,0)*0.475*44/12</f>
        <v>2.0613120333492381</v>
      </c>
      <c r="AW173" s="21">
        <f>EXP(-LN(2)/2)*AW172+(1-EXP(-LN(2)/2))/(LN(2)/2)*AQ173*AT173*VLOOKUP('Données projet'!$B$10,Paramètres!$A$1:$I$89,3,0)*0.475*44/12</f>
        <v>6.743331568012335E-16</v>
      </c>
      <c r="AX173" s="21">
        <f t="shared" si="166"/>
        <v>24.814916193242091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-1.9863364286720756E-13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385.40047672167555</v>
      </c>
      <c r="BJ173" s="59">
        <f t="shared" si="146"/>
        <v>286.49293757741611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36.872480318518718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36.872480318518718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-5.1431925385259088E-14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397.12030701006762</v>
      </c>
      <c r="CE173" s="59">
        <f t="shared" si="148"/>
        <v>476.47513516380047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8.899167365677199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8.899167365677199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110.43805901666033</v>
      </c>
      <c r="CZ173" s="59">
        <f t="shared" si="150"/>
        <v>319.51880962151881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2.1052788542762459</v>
      </c>
      <c r="DG173" s="21">
        <f>EXP(-LN(2)/25)*DG172+(1-EXP(-LN(2)/25))/(LN(2)/25)*Calculateur!DB173*Calculateur!DD173*VLOOKUP('Données projet'!$B$13,Paramètres!$A$1:$I$89,3,0)*0.475*44/12</f>
        <v>0.28553955994954883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2.3908184142257949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3.3000000000000003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12.100000000000001</v>
      </c>
      <c r="H174" s="67">
        <f t="shared" si="110"/>
        <v>208.26666666666665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414.37917672189968</v>
      </c>
      <c r="T174" s="59">
        <f t="shared" si="142"/>
        <v>546.83385887302961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29.622633242253869</v>
      </c>
      <c r="AA174" s="21">
        <f>EXP(-LN(2)/25)*AA173+(1-EXP(-LN(2)/25))/(LN(2)/25)*Calculateur!V174*Calculateur!X174*VLOOKUP('Données projet'!$B$9,Paramètres!$A$1:$I$89,3,0)*0.475*44/12</f>
        <v>2.50964202260527</v>
      </c>
      <c r="AB174" s="21">
        <f>EXP(-LN(2)/2)*AB173+(1-EXP(-LN(2)/2))/(LN(2)/2)*V174*Y174*VLOOKUP('Données projet'!$B$9,Paramètres!$A$1:$I$89,3,0)*0.475*44/12</f>
        <v>1.0113234097996935E-16</v>
      </c>
      <c r="AC174" s="22">
        <f t="shared" si="163"/>
        <v>32.132275264859139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7.0940586738288402E-14</v>
      </c>
      <c r="AK174" s="13">
        <f t="shared" si="164"/>
        <v>1.1091816830583241E-12</v>
      </c>
      <c r="AL174" s="20">
        <f t="shared" si="165"/>
        <v>2.0553796198957668E-12</v>
      </c>
      <c r="AM174" s="59">
        <f t="shared" si="113"/>
        <v>290.29853988681197</v>
      </c>
      <c r="AN174" s="59">
        <f ca="1">AVERAGE(OFFSET($AM$3,0,0,'Données projet'!$E$10+1,1))-AVERAGE(OFFSET($H$3,0,0,'Données projet'!$E$10+1,1))</f>
        <v>296.20984079604017</v>
      </c>
      <c r="AO174" s="59">
        <f t="shared" si="144"/>
        <v>351.8406329895206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22.307419860645521</v>
      </c>
      <c r="AV174" s="21">
        <f>EXP(-LN(2)/25)*AV173+(1-EXP(-LN(2)/25))/(LN(2)/25)*Calculateur!AQ174*Calculateur!AS174*VLOOKUP('Données projet'!$B$10,Paramètres!$A$1:$I$89,3,0)*0.475*44/12</f>
        <v>2.0049453473976144</v>
      </c>
      <c r="AW174" s="21">
        <f>EXP(-LN(2)/2)*AW173+(1-EXP(-LN(2)/2))/(LN(2)/2)*AQ174*AT174*VLOOKUP('Données projet'!$B$10,Paramètres!$A$1:$I$89,3,0)*0.475*44/12</f>
        <v>4.7682554795308365E-16</v>
      </c>
      <c r="AX174" s="21">
        <f t="shared" si="166"/>
        <v>24.312365208043136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-1.9863364286720756E-13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385.40047672167555</v>
      </c>
      <c r="BJ174" s="59">
        <f t="shared" si="146"/>
        <v>286.49293757741611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36.14943346946486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36.14943346946486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-5.1431925385259088E-14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397.12030701006762</v>
      </c>
      <c r="CE174" s="59">
        <f t="shared" si="148"/>
        <v>476.47513516380047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8.7246601215923967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8.7246601215923967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110.43805901666033</v>
      </c>
      <c r="CZ174" s="59">
        <f t="shared" si="150"/>
        <v>319.51880962151881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2.0639956200371961</v>
      </c>
      <c r="DG174" s="21">
        <f>EXP(-LN(2)/25)*DG173+(1-EXP(-LN(2)/25))/(LN(2)/25)*Calculateur!DB174*Calculateur!DD174*VLOOKUP('Données projet'!$B$13,Paramètres!$A$1:$I$89,3,0)*0.475*44/12</f>
        <v>0.27773146566685558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2.3417270857040515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3.3000000000000003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12.100000000000001</v>
      </c>
      <c r="H175" s="67">
        <f t="shared" si="110"/>
        <v>208.26666666666665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414.37917672189968</v>
      </c>
      <c r="T175" s="59">
        <f t="shared" si="142"/>
        <v>546.83385887302961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29.041751472395479</v>
      </c>
      <c r="AA175" s="21">
        <f>EXP(-LN(2)/25)*AA174+(1-EXP(-LN(2)/25))/(LN(2)/25)*Calculateur!V175*Calculateur!X175*VLOOKUP('Données projet'!$B$9,Paramètres!$A$1:$I$89,3,0)*0.475*44/12</f>
        <v>2.4410157295207906</v>
      </c>
      <c r="AB175" s="21">
        <f>EXP(-LN(2)/2)*AB174+(1-EXP(-LN(2)/2))/(LN(2)/2)*V175*Y175*VLOOKUP('Données projet'!$B$9,Paramètres!$A$1:$I$89,3,0)*0.475*44/12</f>
        <v>7.15113641042065E-17</v>
      </c>
      <c r="AC175" s="22">
        <f t="shared" si="163"/>
        <v>31.482767201916268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7.0940586738288402E-14</v>
      </c>
      <c r="AK175" s="13">
        <f t="shared" si="164"/>
        <v>1.1091816830583241E-12</v>
      </c>
      <c r="AL175" s="20">
        <f t="shared" si="165"/>
        <v>2.0553796198957668E-12</v>
      </c>
      <c r="AM175" s="59">
        <f t="shared" si="113"/>
        <v>290.35118676832741</v>
      </c>
      <c r="AN175" s="59">
        <f ca="1">AVERAGE(OFFSET($AM$3,0,0,'Données projet'!$E$10+1,1))-AVERAGE(OFFSET($H$3,0,0,'Données projet'!$E$10+1,1))</f>
        <v>296.20984079604017</v>
      </c>
      <c r="AO175" s="59">
        <f t="shared" si="144"/>
        <v>351.8406329895206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21.869984963360878</v>
      </c>
      <c r="AV175" s="21">
        <f>EXP(-LN(2)/25)*AV174+(1-EXP(-LN(2)/25))/(LN(2)/25)*Calculateur!AQ175*Calculateur!AS175*VLOOKUP('Données projet'!$B$10,Paramètres!$A$1:$I$89,3,0)*0.475*44/12</f>
        <v>1.9501200114375332</v>
      </c>
      <c r="AW175" s="21">
        <f>EXP(-LN(2)/2)*AW174+(1-EXP(-LN(2)/2))/(LN(2)/2)*AQ175*AT175*VLOOKUP('Données projet'!$B$10,Paramètres!$A$1:$I$89,3,0)*0.475*44/12</f>
        <v>3.3716657840061675E-16</v>
      </c>
      <c r="AX175" s="21">
        <f t="shared" si="166"/>
        <v>23.820104974798411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-1.9863364286720756E-13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385.40047672167555</v>
      </c>
      <c r="BJ175" s="59">
        <f t="shared" si="146"/>
        <v>286.49293757741611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35.440565128105916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35.440565128105916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-5.1431925385259088E-14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397.12030701006762</v>
      </c>
      <c r="CE175" s="59">
        <f t="shared" si="148"/>
        <v>476.47513516380047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8.553574858125188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8.553574858125188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110.43805901666033</v>
      </c>
      <c r="CZ175" s="59">
        <f t="shared" si="150"/>
        <v>319.51880962151881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2.0235219248412877</v>
      </c>
      <c r="DG175" s="21">
        <f>EXP(-LN(2)/25)*DG174+(1-EXP(-LN(2)/25))/(LN(2)/25)*Calculateur!DB175*Calculateur!DD175*VLOOKUP('Données projet'!$B$13,Paramètres!$A$1:$I$89,3,0)*0.475*44/12</f>
        <v>0.27013688413293241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2.2936588089742203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3.3000000000000003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12.100000000000001</v>
      </c>
      <c r="H176" s="67">
        <f t="shared" si="110"/>
        <v>208.26666666666665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414.37917672189968</v>
      </c>
      <c r="T176" s="59">
        <f t="shared" si="142"/>
        <v>546.83385887302961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28.472260439741117</v>
      </c>
      <c r="AA176" s="21">
        <f>EXP(-LN(2)/25)*AA175+(1-EXP(-LN(2)/25))/(LN(2)/25)*Calculateur!V176*Calculateur!X176*VLOOKUP('Données projet'!$B$9,Paramètres!$A$1:$I$89,3,0)*0.475*44/12</f>
        <v>2.3742660260296065</v>
      </c>
      <c r="AB176" s="21">
        <f>EXP(-LN(2)/2)*AB175+(1-EXP(-LN(2)/2))/(LN(2)/2)*V176*Y176*VLOOKUP('Données projet'!$B$9,Paramètres!$A$1:$I$89,3,0)*0.475*44/12</f>
        <v>5.0566170489984675E-17</v>
      </c>
      <c r="AC176" s="22">
        <f t="shared" si="163"/>
        <v>30.846526465770722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7.0940586738288402E-14</v>
      </c>
      <c r="AK176" s="13">
        <f t="shared" si="164"/>
        <v>1.1091816830583241E-12</v>
      </c>
      <c r="AL176" s="20">
        <f t="shared" si="165"/>
        <v>2.0553796198957668E-12</v>
      </c>
      <c r="AM176" s="59">
        <f t="shared" si="113"/>
        <v>290.40292034414938</v>
      </c>
      <c r="AN176" s="59">
        <f ca="1">AVERAGE(OFFSET($AM$3,0,0,'Données projet'!$E$10+1,1))-AVERAGE(OFFSET($H$3,0,0,'Données projet'!$E$10+1,1))</f>
        <v>296.20984079604017</v>
      </c>
      <c r="AO176" s="59">
        <f t="shared" si="144"/>
        <v>351.8406329895206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21.441127897603046</v>
      </c>
      <c r="AV176" s="21">
        <f>EXP(-LN(2)/25)*AV175+(1-EXP(-LN(2)/25))/(LN(2)/25)*Calculateur!AQ176*Calculateur!AS176*VLOOKUP('Données projet'!$B$10,Paramètres!$A$1:$I$89,3,0)*0.475*44/12</f>
        <v>1.8967938771724195</v>
      </c>
      <c r="AW176" s="21">
        <f>EXP(-LN(2)/2)*AW175+(1-EXP(-LN(2)/2))/(LN(2)/2)*AQ176*AT176*VLOOKUP('Données projet'!$B$10,Paramètres!$A$1:$I$89,3,0)*0.475*44/12</f>
        <v>2.3841277397654183E-16</v>
      </c>
      <c r="AX176" s="21">
        <f t="shared" si="166"/>
        <v>23.337921774775467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-1.9863364286720756E-13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385.40047672167555</v>
      </c>
      <c r="BJ176" s="59">
        <f t="shared" si="146"/>
        <v>286.49293757741611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34.745597262554021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34.745597262554021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-5.1431925385259088E-14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397.12030701006762</v>
      </c>
      <c r="CE176" s="59">
        <f t="shared" si="148"/>
        <v>476.47513516380047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8.385844472322864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8.385844472322864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110.43805901666033</v>
      </c>
      <c r="CZ176" s="59">
        <f t="shared" si="150"/>
        <v>319.51880962151881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1.9838418941216545</v>
      </c>
      <c r="DG176" s="21">
        <f>EXP(-LN(2)/25)*DG175+(1-EXP(-LN(2)/25))/(LN(2)/25)*Calculateur!DB176*Calculateur!DD176*VLOOKUP('Données projet'!$B$13,Paramètres!$A$1:$I$89,3,0)*0.475*44/12</f>
        <v>0.26274997683043605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2.2465918709520905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3.3000000000000003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12.100000000000001</v>
      </c>
      <c r="H177" s="67">
        <f t="shared" si="110"/>
        <v>208.26666666666665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414.37917672189968</v>
      </c>
      <c r="T177" s="59">
        <f t="shared" si="142"/>
        <v>546.83385887302961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27.913936778881876</v>
      </c>
      <c r="AA177" s="21">
        <f>EXP(-LN(2)/25)*AA176+(1-EXP(-LN(2)/25))/(LN(2)/25)*Calculateur!V177*Calculateur!X177*VLOOKUP('Données projet'!$B$9,Paramètres!$A$1:$I$89,3,0)*0.475*44/12</f>
        <v>2.309341596690603</v>
      </c>
      <c r="AB177" s="21">
        <f>EXP(-LN(2)/2)*AB176+(1-EXP(-LN(2)/2))/(LN(2)/2)*V177*Y177*VLOOKUP('Données projet'!$B$9,Paramètres!$A$1:$I$89,3,0)*0.475*44/12</f>
        <v>3.575568205210325E-17</v>
      </c>
      <c r="AC177" s="22">
        <f t="shared" si="163"/>
        <v>30.22327837557248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7.0940586738288402E-14</v>
      </c>
      <c r="AK177" s="13">
        <f t="shared" si="164"/>
        <v>1.1091816830583241E-12</v>
      </c>
      <c r="AL177" s="20">
        <f t="shared" si="165"/>
        <v>2.0553796198957668E-12</v>
      </c>
      <c r="AM177" s="59">
        <f t="shared" si="113"/>
        <v>290.4537564580898</v>
      </c>
      <c r="AN177" s="59">
        <f ca="1">AVERAGE(OFFSET($AM$3,0,0,'Données projet'!$E$10+1,1))-AVERAGE(OFFSET($H$3,0,0,'Données projet'!$E$10+1,1))</f>
        <v>296.20984079604017</v>
      </c>
      <c r="AO177" s="59">
        <f t="shared" si="144"/>
        <v>351.8406329895206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21.020680457327742</v>
      </c>
      <c r="AV177" s="21">
        <f>EXP(-LN(2)/25)*AV176+(1-EXP(-LN(2)/25))/(LN(2)/25)*Calculateur!AQ177*Calculateur!AS177*VLOOKUP('Données projet'!$B$10,Paramètres!$A$1:$I$89,3,0)*0.475*44/12</f>
        <v>1.8449259488530849</v>
      </c>
      <c r="AW177" s="21">
        <f>EXP(-LN(2)/2)*AW176+(1-EXP(-LN(2)/2))/(LN(2)/2)*AQ177*AT177*VLOOKUP('Données projet'!$B$10,Paramètres!$A$1:$I$89,3,0)*0.475*44/12</f>
        <v>1.6858328920030837E-16</v>
      </c>
      <c r="AX177" s="21">
        <f t="shared" si="166"/>
        <v>22.865606406180827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-1.9863364286720756E-13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385.40047672167555</v>
      </c>
      <c r="BJ177" s="59">
        <f t="shared" si="146"/>
        <v>286.49293757741611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34.064257292957059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34.064257292957059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-5.1431925385259088E-14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397.12030701006762</v>
      </c>
      <c r="CE177" s="59">
        <f t="shared" si="148"/>
        <v>476.47513516380047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8.2214031770806901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8.2214031770806901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110.43805901666033</v>
      </c>
      <c r="CZ177" s="59">
        <f t="shared" si="150"/>
        <v>319.51880962151881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1.9449399646020042</v>
      </c>
      <c r="DG177" s="21">
        <f>EXP(-LN(2)/25)*DG176+(1-EXP(-LN(2)/25))/(LN(2)/25)*Calculateur!DB177*Calculateur!DD177*VLOOKUP('Données projet'!$B$13,Paramètres!$A$1:$I$89,3,0)*0.475*44/12</f>
        <v>0.25556506489658704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2.2005050294985913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3.3000000000000003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12.100000000000001</v>
      </c>
      <c r="H178" s="67">
        <f t="shared" si="110"/>
        <v>208.26666666666665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414.37917672189968</v>
      </c>
      <c r="T178" s="59">
        <f t="shared" si="142"/>
        <v>546.83385887302961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27.366561504468276</v>
      </c>
      <c r="AA178" s="21">
        <f>EXP(-LN(2)/25)*AA177+(1-EXP(-LN(2)/25))/(LN(2)/25)*Calculateur!V178*Calculateur!X178*VLOOKUP('Données projet'!$B$9,Paramètres!$A$1:$I$89,3,0)*0.475*44/12</f>
        <v>2.2461925292861018</v>
      </c>
      <c r="AB178" s="21">
        <f>EXP(-LN(2)/2)*AB177+(1-EXP(-LN(2)/2))/(LN(2)/2)*V178*Y178*VLOOKUP('Données projet'!$B$9,Paramètres!$A$1:$I$89,3,0)*0.475*44/12</f>
        <v>2.5283085244992338E-17</v>
      </c>
      <c r="AC178" s="22">
        <f t="shared" si="163"/>
        <v>29.612754033754378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7.0940586738288402E-14</v>
      </c>
      <c r="AK178" s="13">
        <f t="shared" si="164"/>
        <v>1.1091816830583241E-12</v>
      </c>
      <c r="AL178" s="20">
        <f t="shared" si="165"/>
        <v>2.0553796198957668E-12</v>
      </c>
      <c r="AM178" s="59">
        <f t="shared" si="113"/>
        <v>290.50371067910584</v>
      </c>
      <c r="AN178" s="59">
        <f ca="1">AVERAGE(OFFSET($AM$3,0,0,'Données projet'!$E$10+1,1))-AVERAGE(OFFSET($H$3,0,0,'Données projet'!$E$10+1,1))</f>
        <v>296.20984079604017</v>
      </c>
      <c r="AO178" s="59">
        <f t="shared" si="144"/>
        <v>351.8406329895206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20.608477734908622</v>
      </c>
      <c r="AV178" s="21">
        <f>EXP(-LN(2)/25)*AV177+(1-EXP(-LN(2)/25))/(LN(2)/25)*Calculateur!AQ178*Calculateur!AS178*VLOOKUP('Données projet'!$B$10,Paramètres!$A$1:$I$89,3,0)*0.475*44/12</f>
        <v>1.7944763517612583</v>
      </c>
      <c r="AW178" s="21">
        <f>EXP(-LN(2)/2)*AW177+(1-EXP(-LN(2)/2))/(LN(2)/2)*AQ178*AT178*VLOOKUP('Données projet'!$B$10,Paramètres!$A$1:$I$89,3,0)*0.475*44/12</f>
        <v>1.1920638698827091E-16</v>
      </c>
      <c r="AX178" s="21">
        <f t="shared" si="166"/>
        <v>22.40295408666988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-1.9863364286720756E-13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385.40047672167555</v>
      </c>
      <c r="BJ178" s="59">
        <f t="shared" si="146"/>
        <v>286.49293757741611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33.396277984587549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33.396277984587549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-5.1431925385259088E-14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397.12030701006762</v>
      </c>
      <c r="CE178" s="59">
        <f t="shared" si="148"/>
        <v>476.47513516380047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8.060186475338929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8.060186475338929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110.43805901666033</v>
      </c>
      <c r="CZ178" s="59">
        <f t="shared" si="150"/>
        <v>319.51880962151881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1.9068008781924004</v>
      </c>
      <c r="DG178" s="21">
        <f>EXP(-LN(2)/25)*DG177+(1-EXP(-LN(2)/25))/(LN(2)/25)*Calculateur!DB178*Calculateur!DD178*VLOOKUP('Données projet'!$B$13,Paramètres!$A$1:$I$89,3,0)*0.475*44/12</f>
        <v>0.24857662475740719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2.1553775029498077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3.3000000000000003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12.100000000000001</v>
      </c>
      <c r="H179" s="67">
        <f t="shared" si="110"/>
        <v>208.26666666666665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414.37917672189968</v>
      </c>
      <c r="T179" s="59">
        <f t="shared" si="142"/>
        <v>546.83385887302961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26.829919925319977</v>
      </c>
      <c r="AA179" s="21">
        <f>EXP(-LN(2)/25)*AA178+(1-EXP(-LN(2)/25))/(LN(2)/25)*Calculateur!V179*Calculateur!X179*VLOOKUP('Données projet'!$B$9,Paramètres!$A$1:$I$89,3,0)*0.475*44/12</f>
        <v>2.1847702764506418</v>
      </c>
      <c r="AB179" s="21">
        <f>EXP(-LN(2)/2)*AB178+(1-EXP(-LN(2)/2))/(LN(2)/2)*V179*Y179*VLOOKUP('Données projet'!$B$9,Paramètres!$A$1:$I$89,3,0)*0.475*44/12</f>
        <v>1.7877841026051625E-17</v>
      </c>
      <c r="AC179" s="22">
        <f t="shared" si="163"/>
        <v>29.01469020177062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7.0940586738288402E-14</v>
      </c>
      <c r="AK179" s="13">
        <f t="shared" si="164"/>
        <v>1.1091816830583241E-12</v>
      </c>
      <c r="AL179" s="20">
        <f t="shared" si="165"/>
        <v>2.0553796198957668E-12</v>
      </c>
      <c r="AM179" s="59">
        <f t="shared" si="113"/>
        <v>290.55279830606821</v>
      </c>
      <c r="AN179" s="59">
        <f ca="1">AVERAGE(OFFSET($AM$3,0,0,'Données projet'!$E$10+1,1))-AVERAGE(OFFSET($H$3,0,0,'Données projet'!$E$10+1,1))</f>
        <v>296.20984079604017</v>
      </c>
      <c r="AO179" s="59">
        <f t="shared" si="144"/>
        <v>351.8406329895206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20.204358056457306</v>
      </c>
      <c r="AV179" s="21">
        <f>EXP(-LN(2)/25)*AV178+(1-EXP(-LN(2)/25))/(LN(2)/25)*Calculateur!AQ179*Calculateur!AS179*VLOOKUP('Données projet'!$B$10,Paramètres!$A$1:$I$89,3,0)*0.475*44/12</f>
        <v>1.7454063015549366</v>
      </c>
      <c r="AW179" s="21">
        <f>EXP(-LN(2)/2)*AW178+(1-EXP(-LN(2)/2))/(LN(2)/2)*AQ179*AT179*VLOOKUP('Données projet'!$B$10,Paramètres!$A$1:$I$89,3,0)*0.475*44/12</f>
        <v>8.4291644600154187E-17</v>
      </c>
      <c r="AX179" s="21">
        <f t="shared" si="166"/>
        <v>21.949764358012242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-1.9863364286720756E-13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385.40047672167555</v>
      </c>
      <c r="BJ179" s="59">
        <f t="shared" si="146"/>
        <v>286.49293757741611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32.741397343028012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32.741397343028012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-5.1431925385259088E-14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397.12030701006762</v>
      </c>
      <c r="CE179" s="59">
        <f t="shared" si="148"/>
        <v>476.47513516380047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7.9021311347858454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7.9021311347858454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110.43805901666033</v>
      </c>
      <c r="CZ179" s="59">
        <f t="shared" si="150"/>
        <v>319.51880962151881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1.8694096760047432</v>
      </c>
      <c r="DG179" s="21">
        <f>EXP(-LN(2)/25)*DG178+(1-EXP(-LN(2)/25))/(LN(2)/25)*Calculateur!DB179*Calculateur!DD179*VLOOKUP('Données projet'!$B$13,Paramètres!$A$1:$I$89,3,0)*0.475*44/12</f>
        <v>0.24177928388133932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2.1111889598860825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3.3000000000000003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12.100000000000001</v>
      </c>
      <c r="H180" s="67">
        <f t="shared" si="110"/>
        <v>208.26666666666665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414.37917672189968</v>
      </c>
      <c r="T180" s="59">
        <f t="shared" si="142"/>
        <v>546.83385887302961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26.303801560219732</v>
      </c>
      <c r="AA180" s="21">
        <f>EXP(-LN(2)/25)*AA179+(1-EXP(-LN(2)/25))/(LN(2)/25)*Calculateur!V180*Calculateur!X180*VLOOKUP('Données projet'!$B$9,Paramètres!$A$1:$I$89,3,0)*0.475*44/12</f>
        <v>2.1250276183490233</v>
      </c>
      <c r="AB180" s="21">
        <f>EXP(-LN(2)/2)*AB179+(1-EXP(-LN(2)/2))/(LN(2)/2)*V180*Y180*VLOOKUP('Données projet'!$B$9,Paramètres!$A$1:$I$89,3,0)*0.475*44/12</f>
        <v>1.2641542622496169E-17</v>
      </c>
      <c r="AC180" s="22">
        <f t="shared" si="163"/>
        <v>28.428829178568755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7.0940586738288402E-14</v>
      </c>
      <c r="AK180" s="13">
        <f t="shared" si="164"/>
        <v>1.1091816830583241E-12</v>
      </c>
      <c r="AL180" s="20">
        <f t="shared" si="165"/>
        <v>2.0553796198957668E-12</v>
      </c>
      <c r="AM180" s="59">
        <f t="shared" si="113"/>
        <v>290.60103437244624</v>
      </c>
      <c r="AN180" s="59">
        <f ca="1">AVERAGE(OFFSET($AM$3,0,0,'Données projet'!$E$10+1,1))-AVERAGE(OFFSET($H$3,0,0,'Données projet'!$E$10+1,1))</f>
        <v>296.20984079604017</v>
      </c>
      <c r="AO180" s="59">
        <f t="shared" si="144"/>
        <v>351.8406329895206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19.808162918411753</v>
      </c>
      <c r="AV180" s="21">
        <f>EXP(-LN(2)/25)*AV179+(1-EXP(-LN(2)/25))/(LN(2)/25)*Calculateur!AQ180*Calculateur!AS180*VLOOKUP('Données projet'!$B$10,Paramètres!$A$1:$I$89,3,0)*0.475*44/12</f>
        <v>1.6976780744519886</v>
      </c>
      <c r="AW180" s="21">
        <f>EXP(-LN(2)/2)*AW179+(1-EXP(-LN(2)/2))/(LN(2)/2)*AQ180*AT180*VLOOKUP('Données projet'!$B$10,Paramètres!$A$1:$I$89,3,0)*0.475*44/12</f>
        <v>5.9603193494135457E-17</v>
      </c>
      <c r="AX180" s="21">
        <f t="shared" si="166"/>
        <v>21.505840992863742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-1.9863364286720756E-13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385.40047672167555</v>
      </c>
      <c r="BJ180" s="59">
        <f t="shared" si="146"/>
        <v>286.49293757741611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32.099358511411708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32.099358511411708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-5.1431925385259088E-14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397.12030701006762</v>
      </c>
      <c r="CE180" s="59">
        <f t="shared" si="148"/>
        <v>476.47513516380047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7.7471751630567693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7.7471751630567693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110.43805901666033</v>
      </c>
      <c r="CZ180" s="59">
        <f t="shared" si="150"/>
        <v>319.51880962151881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1.8327516924856044</v>
      </c>
      <c r="DG180" s="21">
        <f>EXP(-LN(2)/25)*DG179+(1-EXP(-LN(2)/25))/(LN(2)/25)*Calculateur!DB180*Calculateur!DD180*VLOOKUP('Données projet'!$B$13,Paramètres!$A$1:$I$89,3,0)*0.475*44/12</f>
        <v>0.23516781664898415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2.0679195091345886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3.3000000000000003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12.100000000000001</v>
      </c>
      <c r="H181" s="67">
        <f t="shared" si="110"/>
        <v>208.26666666666665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414.37917672189968</v>
      </c>
      <c r="T181" s="59">
        <f t="shared" si="142"/>
        <v>546.83385887302961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25.788000055358587</v>
      </c>
      <c r="AA181" s="21">
        <f>EXP(-LN(2)/25)*AA180+(1-EXP(-LN(2)/25))/(LN(2)/25)*Calculateur!V181*Calculateur!X181*VLOOKUP('Données projet'!$B$9,Paramètres!$A$1:$I$89,3,0)*0.475*44/12</f>
        <v>2.0669186263749237</v>
      </c>
      <c r="AB181" s="21">
        <f>EXP(-LN(2)/2)*AB180+(1-EXP(-LN(2)/2))/(LN(2)/2)*V181*Y181*VLOOKUP('Données projet'!$B$9,Paramètres!$A$1:$I$89,3,0)*0.475*44/12</f>
        <v>8.9389205130258125E-18</v>
      </c>
      <c r="AC181" s="22">
        <f t="shared" si="163"/>
        <v>27.854918681733512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7.0940586738288402E-14</v>
      </c>
      <c r="AK181" s="13">
        <f t="shared" si="164"/>
        <v>1.1091816830583241E-12</v>
      </c>
      <c r="AL181" s="20">
        <f t="shared" si="165"/>
        <v>2.0553796198957668E-12</v>
      </c>
      <c r="AM181" s="59">
        <f t="shared" si="113"/>
        <v>290.6484336509123</v>
      </c>
      <c r="AN181" s="59">
        <f ca="1">AVERAGE(OFFSET($AM$3,0,0,'Données projet'!$E$10+1,1))-AVERAGE(OFFSET($H$3,0,0,'Données projet'!$E$10+1,1))</f>
        <v>296.20984079604017</v>
      </c>
      <c r="AO181" s="59">
        <f t="shared" si="144"/>
        <v>351.8406329895206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19.419736925368102</v>
      </c>
      <c r="AV181" s="21">
        <f>EXP(-LN(2)/25)*AV180+(1-EXP(-LN(2)/25))/(LN(2)/25)*Calculateur!AQ181*Calculateur!AS181*VLOOKUP('Données projet'!$B$10,Paramètres!$A$1:$I$89,3,0)*0.475*44/12</f>
        <v>1.6512549782290891</v>
      </c>
      <c r="AW181" s="21">
        <f>EXP(-LN(2)/2)*AW180+(1-EXP(-LN(2)/2))/(LN(2)/2)*AQ181*AT181*VLOOKUP('Données projet'!$B$10,Paramètres!$A$1:$I$89,3,0)*0.475*44/12</f>
        <v>4.2145822300077094E-17</v>
      </c>
      <c r="AX181" s="21">
        <f t="shared" si="166"/>
        <v>21.070991903597193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-1.9863364286720756E-13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385.40047672167555</v>
      </c>
      <c r="BJ181" s="59">
        <f t="shared" si="146"/>
        <v>286.49293757741611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31.469909669678383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31.469909669678383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-5.1431925385259088E-14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397.12030701006762</v>
      </c>
      <c r="CE181" s="59">
        <f t="shared" si="148"/>
        <v>476.47513516380047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7.5952577834194903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7.5952577834194903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110.43805901666033</v>
      </c>
      <c r="CZ181" s="59">
        <f t="shared" si="150"/>
        <v>319.51880962151881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1.7968125496641139</v>
      </c>
      <c r="DG181" s="21">
        <f>EXP(-LN(2)/25)*DG180+(1-EXP(-LN(2)/25))/(LN(2)/25)*Calculateur!DB181*Calculateur!DD181*VLOOKUP('Données projet'!$B$13,Paramètres!$A$1:$I$89,3,0)*0.475*44/12</f>
        <v>0.22873714033577969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2.0255496899998935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3.3000000000000003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12.100000000000001</v>
      </c>
      <c r="H182" s="67">
        <f t="shared" si="110"/>
        <v>208.26666666666665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414.37917672189968</v>
      </c>
      <c r="T182" s="59">
        <f t="shared" si="142"/>
        <v>546.83385887302961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25.282313103399918</v>
      </c>
      <c r="AA182" s="21">
        <f>EXP(-LN(2)/25)*AA181+(1-EXP(-LN(2)/25))/(LN(2)/25)*Calculateur!V182*Calculateur!X182*VLOOKUP('Données projet'!$B$9,Paramètres!$A$1:$I$89,3,0)*0.475*44/12</f>
        <v>2.010398627842175</v>
      </c>
      <c r="AB182" s="21">
        <f>EXP(-LN(2)/2)*AB181+(1-EXP(-LN(2)/2))/(LN(2)/2)*V182*Y182*VLOOKUP('Données projet'!$B$9,Paramètres!$A$1:$I$89,3,0)*0.475*44/12</f>
        <v>6.3207713112480844E-18</v>
      </c>
      <c r="AC182" s="22">
        <f t="shared" si="163"/>
        <v>27.292711731242093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7.0940586738288402E-14</v>
      </c>
      <c r="AK182" s="13">
        <f t="shared" si="164"/>
        <v>1.1091816830583241E-12</v>
      </c>
      <c r="AL182" s="20">
        <f t="shared" si="165"/>
        <v>2.0553796198957668E-12</v>
      </c>
      <c r="AM182" s="59">
        <f t="shared" si="113"/>
        <v>290.69501065786591</v>
      </c>
      <c r="AN182" s="59">
        <f ca="1">AVERAGE(OFFSET($AM$3,0,0,'Données projet'!$E$10+1,1))-AVERAGE(OFFSET($H$3,0,0,'Données projet'!$E$10+1,1))</f>
        <v>296.20984079604017</v>
      </c>
      <c r="AO182" s="59">
        <f t="shared" si="144"/>
        <v>351.8406329895206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19.038927729131576</v>
      </c>
      <c r="AV182" s="21">
        <f>EXP(-LN(2)/25)*AV181+(1-EXP(-LN(2)/25))/(LN(2)/25)*Calculateur!AQ182*Calculateur!AS182*VLOOKUP('Données projet'!$B$10,Paramètres!$A$1:$I$89,3,0)*0.475*44/12</f>
        <v>1.6061013240136892</v>
      </c>
      <c r="AW182" s="21">
        <f>EXP(-LN(2)/2)*AW181+(1-EXP(-LN(2)/2))/(LN(2)/2)*AQ182*AT182*VLOOKUP('Données projet'!$B$10,Paramètres!$A$1:$I$89,3,0)*0.475*44/12</f>
        <v>2.9801596747067728E-17</v>
      </c>
      <c r="AX182" s="21">
        <f t="shared" si="166"/>
        <v>20.645029053145265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-1.9863364286720756E-13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385.40047672167555</v>
      </c>
      <c r="BJ182" s="59">
        <f t="shared" si="146"/>
        <v>286.49293757741611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30.852803935805564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30.852803935805564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-5.1431925385259088E-14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397.12030701006762</v>
      </c>
      <c r="CE182" s="59">
        <f t="shared" si="148"/>
        <v>476.47513516380047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7.4463194109364457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7.4463194109364457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110.43805901666033</v>
      </c>
      <c r="CZ182" s="59">
        <f t="shared" si="150"/>
        <v>319.51880962151881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1.7615781515126401</v>
      </c>
      <c r="DG182" s="21">
        <f>EXP(-LN(2)/25)*DG181+(1-EXP(-LN(2)/25))/(LN(2)/25)*Calculateur!DB182*Calculateur!DD182*VLOOKUP('Données projet'!$B$13,Paramètres!$A$1:$I$89,3,0)*0.475*44/12</f>
        <v>0.22248231120453438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1.9840604627171745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3.3000000000000003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12.100000000000001</v>
      </c>
      <c r="H183" s="67">
        <f t="shared" si="110"/>
        <v>208.26666666666665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414.37917672189968</v>
      </c>
      <c r="T183" s="59">
        <f t="shared" si="142"/>
        <v>546.83385887302961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24.786542364130572</v>
      </c>
      <c r="AA183" s="21">
        <f>EXP(-LN(2)/25)*AA182+(1-EXP(-LN(2)/25))/(LN(2)/25)*Calculateur!V183*Calculateur!X183*VLOOKUP('Données projet'!$B$9,Paramètres!$A$1:$I$89,3,0)*0.475*44/12</f>
        <v>1.9554241716415617</v>
      </c>
      <c r="AB183" s="21">
        <f>EXP(-LN(2)/2)*AB182+(1-EXP(-LN(2)/2))/(LN(2)/2)*V183*Y183*VLOOKUP('Données projet'!$B$9,Paramètres!$A$1:$I$89,3,0)*0.475*44/12</f>
        <v>4.4694602565129063E-18</v>
      </c>
      <c r="AC183" s="22">
        <f t="shared" si="163"/>
        <v>26.741966535772132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7.0940586738288402E-14</v>
      </c>
      <c r="AK183" s="13">
        <f t="shared" si="164"/>
        <v>1.1091816830583241E-12</v>
      </c>
      <c r="AL183" s="20">
        <f t="shared" si="165"/>
        <v>2.0553796198957668E-12</v>
      </c>
      <c r="AM183" s="59">
        <f t="shared" si="113"/>
        <v>290.74077965787944</v>
      </c>
      <c r="AN183" s="59">
        <f ca="1">AVERAGE(OFFSET($AM$3,0,0,'Données projet'!$E$10+1,1))-AVERAGE(OFFSET($H$3,0,0,'Données projet'!$E$10+1,1))</f>
        <v>296.20984079604017</v>
      </c>
      <c r="AO183" s="59">
        <f t="shared" si="144"/>
        <v>351.8406329895206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18.665585968962571</v>
      </c>
      <c r="AV183" s="21">
        <f>EXP(-LN(2)/25)*AV182+(1-EXP(-LN(2)/25))/(LN(2)/25)*Calculateur!AQ183*Calculateur!AS183*VLOOKUP('Données projet'!$B$10,Paramètres!$A$1:$I$89,3,0)*0.475*44/12</f>
        <v>1.5621823988473371</v>
      </c>
      <c r="AW183" s="21">
        <f>EXP(-LN(2)/2)*AW182+(1-EXP(-LN(2)/2))/(LN(2)/2)*AQ183*AT183*VLOOKUP('Données projet'!$B$10,Paramètres!$A$1:$I$89,3,0)*0.475*44/12</f>
        <v>2.1072911150038547E-17</v>
      </c>
      <c r="AX183" s="21">
        <f t="shared" si="166"/>
        <v>20.227768367809908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-1.9863364286720756E-13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385.40047672167555</v>
      </c>
      <c r="BJ183" s="59">
        <f t="shared" si="146"/>
        <v>286.49293757741611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30.24779926897666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30.24779926897666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-5.1431925385259088E-14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397.12030701006762</v>
      </c>
      <c r="CE183" s="59">
        <f t="shared" si="148"/>
        <v>476.47513516380047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7.3003016290943563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7.3003016290943563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110.43805901666033</v>
      </c>
      <c r="CZ183" s="59">
        <f t="shared" si="150"/>
        <v>319.51880962151881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1.7270346784180559</v>
      </c>
      <c r="DG183" s="21">
        <f>EXP(-LN(2)/25)*DG182+(1-EXP(-LN(2)/25))/(LN(2)/25)*Calculateur!DB183*Calculateur!DD183*VLOOKUP('Données projet'!$B$13,Paramètres!$A$1:$I$89,3,0)*0.475*44/12</f>
        <v>0.21639852070481014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1.9434331991228659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3.3000000000000003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12.100000000000001</v>
      </c>
      <c r="H184" s="67">
        <f t="shared" si="110"/>
        <v>208.26666666666665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414.37917672189968</v>
      </c>
      <c r="T184" s="59">
        <f t="shared" si="142"/>
        <v>546.83385887302961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24.300493386668006</v>
      </c>
      <c r="AA184" s="21">
        <f>EXP(-LN(2)/25)*AA183+(1-EXP(-LN(2)/25))/(LN(2)/25)*Calculateur!V184*Calculateur!X184*VLOOKUP('Données projet'!$B$9,Paramètres!$A$1:$I$89,3,0)*0.475*44/12</f>
        <v>1.9019529948367351</v>
      </c>
      <c r="AB184" s="21">
        <f>EXP(-LN(2)/2)*AB183+(1-EXP(-LN(2)/2))/(LN(2)/2)*V184*Y184*VLOOKUP('Données projet'!$B$9,Paramètres!$A$1:$I$89,3,0)*0.475*44/12</f>
        <v>3.1603856556240422E-18</v>
      </c>
      <c r="AC184" s="22">
        <f t="shared" si="163"/>
        <v>26.202446381504739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7.0940586738288402E-14</v>
      </c>
      <c r="AK184" s="13">
        <f t="shared" si="164"/>
        <v>1.1091816830583241E-12</v>
      </c>
      <c r="AL184" s="20">
        <f t="shared" si="165"/>
        <v>2.0553796198957668E-12</v>
      </c>
      <c r="AM184" s="59">
        <f t="shared" si="113"/>
        <v>290.78575466806689</v>
      </c>
      <c r="AN184" s="59">
        <f ca="1">AVERAGE(OFFSET($AM$3,0,0,'Données projet'!$E$10+1,1))-AVERAGE(OFFSET($H$3,0,0,'Données projet'!$E$10+1,1))</f>
        <v>296.20984079604017</v>
      </c>
      <c r="AO184" s="59">
        <f t="shared" si="144"/>
        <v>351.8406329895206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18.299565212994491</v>
      </c>
      <c r="AV184" s="21">
        <f>EXP(-LN(2)/25)*AV183+(1-EXP(-LN(2)/25))/(LN(2)/25)*Calculateur!AQ184*Calculateur!AS184*VLOOKUP('Données projet'!$B$10,Paramètres!$A$1:$I$89,3,0)*0.475*44/12</f>
        <v>1.5194644389992547</v>
      </c>
      <c r="AW184" s="21">
        <f>EXP(-LN(2)/2)*AW183+(1-EXP(-LN(2)/2))/(LN(2)/2)*AQ184*AT184*VLOOKUP('Données projet'!$B$10,Paramètres!$A$1:$I$89,3,0)*0.475*44/12</f>
        <v>1.4900798373533864E-17</v>
      </c>
      <c r="AX184" s="21">
        <f t="shared" si="166"/>
        <v>19.819029651993745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-1.9863364286720756E-13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385.40047672167555</v>
      </c>
      <c r="BJ184" s="59">
        <f t="shared" si="146"/>
        <v>286.49293757741611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29.654658374647862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29.654658374647862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-5.1431925385259088E-14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397.12030701006762</v>
      </c>
      <c r="CE184" s="59">
        <f t="shared" si="148"/>
        <v>476.47513516380047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7.1571471668921376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7.1571471668921376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110.43805901666033</v>
      </c>
      <c r="CZ184" s="59">
        <f t="shared" si="150"/>
        <v>319.51880962151881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1.6931685817614184</v>
      </c>
      <c r="DG184" s="21">
        <f>EXP(-LN(2)/25)*DG183+(1-EXP(-LN(2)/25))/(LN(2)/25)*Calculateur!DB184*Calculateur!DD184*VLOOKUP('Données projet'!$B$13,Paramètres!$A$1:$I$89,3,0)*0.475*44/12</f>
        <v>0.21048109177623348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1.9036496735376518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3.3000000000000003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12.100000000000001</v>
      </c>
      <c r="H185" s="67">
        <f t="shared" si="110"/>
        <v>208.26666666666665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414.37917672189968</v>
      </c>
      <c r="T185" s="59">
        <f t="shared" si="142"/>
        <v>546.83385887302961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23.823975533192876</v>
      </c>
      <c r="AA185" s="21">
        <f>EXP(-LN(2)/25)*AA184+(1-EXP(-LN(2)/25))/(LN(2)/25)*Calculateur!V185*Calculateur!X185*VLOOKUP('Données projet'!$B$9,Paramètres!$A$1:$I$89,3,0)*0.475*44/12</f>
        <v>1.8499439901735635</v>
      </c>
      <c r="AB185" s="21">
        <f>EXP(-LN(2)/2)*AB184+(1-EXP(-LN(2)/2))/(LN(2)/2)*V185*Y185*VLOOKUP('Données projet'!$B$9,Paramètres!$A$1:$I$89,3,0)*0.475*44/12</f>
        <v>2.2347301282564531E-18</v>
      </c>
      <c r="AC185" s="22">
        <f t="shared" si="163"/>
        <v>25.67391952336644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7.0940586738288402E-14</v>
      </c>
      <c r="AK185" s="13">
        <f t="shared" si="164"/>
        <v>1.1091816830583241E-12</v>
      </c>
      <c r="AL185" s="20">
        <f t="shared" si="165"/>
        <v>2.0553796198957668E-12</v>
      </c>
      <c r="AM185" s="59">
        <f t="shared" si="113"/>
        <v>290.82994946237665</v>
      </c>
      <c r="AN185" s="59">
        <f ca="1">AVERAGE(OFFSET($AM$3,0,0,'Données projet'!$E$10+1,1))-AVERAGE(OFFSET($H$3,0,0,'Données projet'!$E$10+1,1))</f>
        <v>296.20984079604017</v>
      </c>
      <c r="AO185" s="59">
        <f t="shared" si="144"/>
        <v>351.8406329895206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17.94072190080033</v>
      </c>
      <c r="AV185" s="21">
        <f>EXP(-LN(2)/25)*AV184+(1-EXP(-LN(2)/25))/(LN(2)/25)*Calculateur!AQ185*Calculateur!AS185*VLOOKUP('Données projet'!$B$10,Paramètres!$A$1:$I$89,3,0)*0.475*44/12</f>
        <v>1.477914604009658</v>
      </c>
      <c r="AW185" s="21">
        <f>EXP(-LN(2)/2)*AW184+(1-EXP(-LN(2)/2))/(LN(2)/2)*AQ185*AT185*VLOOKUP('Données projet'!$B$10,Paramètres!$A$1:$I$89,3,0)*0.475*44/12</f>
        <v>1.0536455575019273E-17</v>
      </c>
      <c r="AX185" s="21">
        <f t="shared" si="166"/>
        <v>19.418636504809989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-1.9863364286720756E-13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385.40047672167555</v>
      </c>
      <c r="BJ185" s="59">
        <f t="shared" si="146"/>
        <v>286.49293757741611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29.073148611476629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29.073148611476629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-5.1431925385259088E-14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397.12030701006762</v>
      </c>
      <c r="CE185" s="59">
        <f t="shared" si="148"/>
        <v>476.47513516380047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7.0167998763781041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7.0167998763781041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110.43805901666033</v>
      </c>
      <c r="CZ185" s="59">
        <f t="shared" si="150"/>
        <v>319.51880962151881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1.6599665786039381</v>
      </c>
      <c r="DG185" s="21">
        <f>EXP(-LN(2)/25)*DG184+(1-EXP(-LN(2)/25))/(LN(2)/25)*Calculateur!DB185*Calculateur!DD185*VLOOKUP('Données projet'!$B$13,Paramètres!$A$1:$I$89,3,0)*0.475*44/12</f>
        <v>0.20472547525289281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1.864692053856831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3.3000000000000003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12.100000000000001</v>
      </c>
      <c r="H186" s="67">
        <f t="shared" si="110"/>
        <v>208.26666666666665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414.37917672189968</v>
      </c>
      <c r="T186" s="59">
        <f t="shared" si="142"/>
        <v>546.83385887302961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23.356801904177203</v>
      </c>
      <c r="AA186" s="21">
        <f>EXP(-LN(2)/25)*AA185+(1-EXP(-LN(2)/25))/(LN(2)/25)*Calculateur!V186*Calculateur!X186*VLOOKUP('Données projet'!$B$9,Paramètres!$A$1:$I$89,3,0)*0.475*44/12</f>
        <v>1.7993571744779411</v>
      </c>
      <c r="AB186" s="21">
        <f>EXP(-LN(2)/2)*AB185+(1-EXP(-LN(2)/2))/(LN(2)/2)*V186*Y186*VLOOKUP('Données projet'!$B$9,Paramètres!$A$1:$I$89,3,0)*0.475*44/12</f>
        <v>1.5801928278120211E-18</v>
      </c>
      <c r="AC186" s="22">
        <f t="shared" si="163"/>
        <v>25.156159078655143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7.0940586738288402E-14</v>
      </c>
      <c r="AK186" s="13">
        <f t="shared" si="164"/>
        <v>1.1091816830583241E-12</v>
      </c>
      <c r="AL186" s="20">
        <f t="shared" si="165"/>
        <v>2.0553796198957668E-12</v>
      </c>
      <c r="AM186" s="59">
        <f t="shared" si="113"/>
        <v>290.87337757580991</v>
      </c>
      <c r="AN186" s="59">
        <f ca="1">AVERAGE(OFFSET($AM$3,0,0,'Données projet'!$E$10+1,1))-AVERAGE(OFFSET($H$3,0,0,'Données projet'!$E$10+1,1))</f>
        <v>296.20984079604017</v>
      </c>
      <c r="AO186" s="59">
        <f t="shared" si="144"/>
        <v>351.8406329895206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17.588915287085488</v>
      </c>
      <c r="AV186" s="21">
        <f>EXP(-LN(2)/25)*AV185+(1-EXP(-LN(2)/25))/(LN(2)/25)*Calculateur!AQ186*Calculateur!AS186*VLOOKUP('Données projet'!$B$10,Paramètres!$A$1:$I$89,3,0)*0.475*44/12</f>
        <v>1.4375009514428627</v>
      </c>
      <c r="AW186" s="21">
        <f>EXP(-LN(2)/2)*AW185+(1-EXP(-LN(2)/2))/(LN(2)/2)*AQ186*AT186*VLOOKUP('Données projet'!$B$10,Paramètres!$A$1:$I$89,3,0)*0.475*44/12</f>
        <v>7.4503991867669321E-18</v>
      </c>
      <c r="AX186" s="21">
        <f t="shared" si="166"/>
        <v>19.026416238528352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-1.9863364286720756E-13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385.40047672167555</v>
      </c>
      <c r="BJ186" s="59">
        <f t="shared" si="146"/>
        <v>286.49293757741611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28.50304190007525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28.50304190007525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-5.1431925385259088E-14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397.12030701006762</v>
      </c>
      <c r="CE186" s="59">
        <f t="shared" si="148"/>
        <v>476.47513516380047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6.8792047106276568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6.8792047106276568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110.43805901666033</v>
      </c>
      <c r="CZ186" s="59">
        <f t="shared" si="150"/>
        <v>319.51880962151881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1.6274156464771539</v>
      </c>
      <c r="DG186" s="21">
        <f>EXP(-LN(2)/25)*DG185+(1-EXP(-LN(2)/25))/(LN(2)/25)*Calculateur!DB186*Calculateur!DD186*VLOOKUP('Données projet'!$B$13,Paramètres!$A$1:$I$89,3,0)*0.475*44/12</f>
        <v>0.19912724636605761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1.8265428928432115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3.3000000000000003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12.100000000000001</v>
      </c>
      <c r="H187" s="67">
        <f t="shared" si="110"/>
        <v>208.26666666666665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414.37917672189968</v>
      </c>
      <c r="T187" s="59">
        <f t="shared" si="142"/>
        <v>546.83385887302961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22.898789265078751</v>
      </c>
      <c r="AA187" s="21">
        <f>EXP(-LN(2)/25)*AA186+(1-EXP(-LN(2)/25))/(LN(2)/25)*Calculateur!V187*Calculateur!X187*VLOOKUP('Données projet'!$B$9,Paramètres!$A$1:$I$89,3,0)*0.475*44/12</f>
        <v>1.7501536579177606</v>
      </c>
      <c r="AB187" s="21">
        <f>EXP(-LN(2)/2)*AB186+(1-EXP(-LN(2)/2))/(LN(2)/2)*V187*Y187*VLOOKUP('Données projet'!$B$9,Paramètres!$A$1:$I$89,3,0)*0.475*44/12</f>
        <v>1.1173650641282266E-18</v>
      </c>
      <c r="AC187" s="22">
        <f t="shared" si="163"/>
        <v>24.648942922996511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7.0940586738288402E-14</v>
      </c>
      <c r="AK187" s="13">
        <f t="shared" si="164"/>
        <v>1.1091816830583241E-12</v>
      </c>
      <c r="AL187" s="20">
        <f t="shared" si="165"/>
        <v>2.0553796198957668E-12</v>
      </c>
      <c r="AM187" s="59">
        <f t="shared" si="113"/>
        <v>290.91605230856584</v>
      </c>
      <c r="AN187" s="59">
        <f ca="1">AVERAGE(OFFSET($AM$3,0,0,'Données projet'!$E$10+1,1))-AVERAGE(OFFSET($H$3,0,0,'Données projet'!$E$10+1,1))</f>
        <v>296.20984079604017</v>
      </c>
      <c r="AO187" s="59">
        <f t="shared" si="144"/>
        <v>351.8406329895206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17.244007386484746</v>
      </c>
      <c r="AV187" s="21">
        <f>EXP(-LN(2)/25)*AV186+(1-EXP(-LN(2)/25))/(LN(2)/25)*Calculateur!AQ187*Calculateur!AS187*VLOOKUP('Données projet'!$B$10,Paramètres!$A$1:$I$89,3,0)*0.475*44/12</f>
        <v>1.3981924123307681</v>
      </c>
      <c r="AW187" s="21">
        <f>EXP(-LN(2)/2)*AW186+(1-EXP(-LN(2)/2))/(LN(2)/2)*AQ187*AT187*VLOOKUP('Données projet'!$B$10,Paramètres!$A$1:$I$89,3,0)*0.475*44/12</f>
        <v>5.2682277875096367E-18</v>
      </c>
      <c r="AX187" s="21">
        <f t="shared" si="166"/>
        <v>18.642199798815515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-1.9863364286720756E-13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385.40047672167555</v>
      </c>
      <c r="BJ187" s="59">
        <f t="shared" si="146"/>
        <v>286.49293757741611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27.944114633553692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27.944114633553692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-5.1431925385259088E-14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397.12030701006762</v>
      </c>
      <c r="CE187" s="59">
        <f t="shared" si="148"/>
        <v>476.47513516380047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6.7443077021528115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6.7443077021528115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110.43805901666033</v>
      </c>
      <c r="CZ187" s="59">
        <f t="shared" si="150"/>
        <v>319.51880962151881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1.5955030182752676</v>
      </c>
      <c r="DG187" s="21">
        <f>EXP(-LN(2)/25)*DG186+(1-EXP(-LN(2)/25))/(LN(2)/25)*Calculateur!DB187*Calculateur!DD187*VLOOKUP('Données projet'!$B$13,Paramètres!$A$1:$I$89,3,0)*0.475*44/12</f>
        <v>0.193682101342531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1.7891851196177986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3.3000000000000003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12.100000000000001</v>
      </c>
      <c r="H188" s="67">
        <f t="shared" si="110"/>
        <v>208.26666666666665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414.37917672189968</v>
      </c>
      <c r="T188" s="59">
        <f t="shared" si="142"/>
        <v>546.83385887302961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22.449757974472892</v>
      </c>
      <c r="AA188" s="21">
        <f>EXP(-LN(2)/25)*AA187+(1-EXP(-LN(2)/25))/(LN(2)/25)*Calculateur!V188*Calculateur!X188*VLOOKUP('Données projet'!$B$9,Paramètres!$A$1:$I$89,3,0)*0.475*44/12</f>
        <v>1.7022956141054186</v>
      </c>
      <c r="AB188" s="21">
        <f>EXP(-LN(2)/2)*AB187+(1-EXP(-LN(2)/2))/(LN(2)/2)*V188*Y188*VLOOKUP('Données projet'!$B$9,Paramètres!$A$1:$I$89,3,0)*0.475*44/12</f>
        <v>7.9009641390601055E-19</v>
      </c>
      <c r="AC188" s="22">
        <f t="shared" si="163"/>
        <v>24.152053588578312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7.0940586738288402E-14</v>
      </c>
      <c r="AK188" s="13">
        <f t="shared" si="164"/>
        <v>1.1091816830583241E-12</v>
      </c>
      <c r="AL188" s="20">
        <f t="shared" si="165"/>
        <v>2.0553796198957668E-12</v>
      </c>
      <c r="AM188" s="59">
        <f t="shared" si="113"/>
        <v>290.95798673011484</v>
      </c>
      <c r="AN188" s="59">
        <f ca="1">AVERAGE(OFFSET($AM$3,0,0,'Données projet'!$E$10+1,1))-AVERAGE(OFFSET($H$3,0,0,'Données projet'!$E$10+1,1))</f>
        <v>296.20984079604017</v>
      </c>
      <c r="AO188" s="59">
        <f t="shared" si="144"/>
        <v>351.8406329895206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16.905862919441738</v>
      </c>
      <c r="AV188" s="21">
        <f>EXP(-LN(2)/25)*AV187+(1-EXP(-LN(2)/25))/(LN(2)/25)*Calculateur!AQ188*Calculateur!AS188*VLOOKUP('Données projet'!$B$10,Paramètres!$A$1:$I$89,3,0)*0.475*44/12</f>
        <v>1.3599587672878399</v>
      </c>
      <c r="AW188" s="21">
        <f>EXP(-LN(2)/2)*AW187+(1-EXP(-LN(2)/2))/(LN(2)/2)*AQ188*AT188*VLOOKUP('Données projet'!$B$10,Paramètres!$A$1:$I$89,3,0)*0.475*44/12</f>
        <v>3.725199593383466E-18</v>
      </c>
      <c r="AX188" s="21">
        <f t="shared" si="166"/>
        <v>18.265821686729577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-1.9863364286720756E-13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385.40047672167555</v>
      </c>
      <c r="BJ188" s="59">
        <f t="shared" si="146"/>
        <v>286.49293757741611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27.396147589816653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27.396147589816653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-5.1431925385259088E-14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397.12030701006762</v>
      </c>
      <c r="CE188" s="59">
        <f t="shared" si="148"/>
        <v>476.47513516380047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6.6120559417351066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6.6120559417351066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110.43805901666033</v>
      </c>
      <c r="CZ188" s="59">
        <f t="shared" si="150"/>
        <v>319.51880962151881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1.5642161772476391</v>
      </c>
      <c r="DG188" s="21">
        <f>EXP(-LN(2)/25)*DG187+(1-EXP(-LN(2)/25))/(LN(2)/25)*Calculateur!DB188*Calculateur!DD188*VLOOKUP('Données projet'!$B$13,Paramètres!$A$1:$I$89,3,0)*0.475*44/12</f>
        <v>0.18838585409602043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1.7526020313436594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3.3000000000000003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12.100000000000001</v>
      </c>
      <c r="H189" s="67">
        <f t="shared" si="110"/>
        <v>208.26666666666665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414.37917672189968</v>
      </c>
      <c r="T189" s="59">
        <f t="shared" si="142"/>
        <v>546.83385887302961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22.009531913593772</v>
      </c>
      <c r="AA189" s="21">
        <f>EXP(-LN(2)/25)*AA188+(1-EXP(-LN(2)/25))/(LN(2)/25)*Calculateur!V189*Calculateur!X189*VLOOKUP('Données projet'!$B$9,Paramètres!$A$1:$I$89,3,0)*0.475*44/12</f>
        <v>1.6557462510178702</v>
      </c>
      <c r="AB189" s="21">
        <f>EXP(-LN(2)/2)*AB188+(1-EXP(-LN(2)/2))/(LN(2)/2)*V189*Y189*VLOOKUP('Données projet'!$B$9,Paramètres!$A$1:$I$89,3,0)*0.475*44/12</f>
        <v>5.5868253206411328E-19</v>
      </c>
      <c r="AC189" s="22">
        <f t="shared" si="163"/>
        <v>23.665278164611642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7.0940586738288402E-14</v>
      </c>
      <c r="AK189" s="13">
        <f t="shared" si="164"/>
        <v>1.1091816830583241E-12</v>
      </c>
      <c r="AL189" s="20">
        <f t="shared" si="165"/>
        <v>2.0553796198957668E-12</v>
      </c>
      <c r="AM189" s="59">
        <f t="shared" si="113"/>
        <v>290.99919368320127</v>
      </c>
      <c r="AN189" s="59">
        <f ca="1">AVERAGE(OFFSET($AM$3,0,0,'Données projet'!$E$10+1,1))-AVERAGE(OFFSET($H$3,0,0,'Données projet'!$E$10+1,1))</f>
        <v>296.20984079604017</v>
      </c>
      <c r="AO189" s="59">
        <f t="shared" si="144"/>
        <v>351.8406329895206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16.574349259149685</v>
      </c>
      <c r="AV189" s="21">
        <f>EXP(-LN(2)/25)*AV188+(1-EXP(-LN(2)/25))/(LN(2)/25)*Calculateur!AQ189*Calculateur!AS189*VLOOKUP('Données projet'!$B$10,Paramètres!$A$1:$I$89,3,0)*0.475*44/12</f>
        <v>1.3227706232792307</v>
      </c>
      <c r="AW189" s="21">
        <f>EXP(-LN(2)/2)*AW188+(1-EXP(-LN(2)/2))/(LN(2)/2)*AQ189*AT189*VLOOKUP('Données projet'!$B$10,Paramètres!$A$1:$I$89,3,0)*0.475*44/12</f>
        <v>2.6341138937548183E-18</v>
      </c>
      <c r="AX189" s="21">
        <f t="shared" si="166"/>
        <v>17.897119882428914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-1.9863364286720756E-13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385.40047672167555</v>
      </c>
      <c r="BJ189" s="59">
        <f t="shared" si="146"/>
        <v>286.49293757741611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26.858925845580401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26.858925845580401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-5.1431925385259088E-14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397.12030701006762</v>
      </c>
      <c r="CE189" s="59">
        <f t="shared" si="148"/>
        <v>476.47513516380047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6.4823975576735844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6.4823975576735844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110.43805901666033</v>
      </c>
      <c r="CZ189" s="59">
        <f t="shared" si="150"/>
        <v>319.51880962151881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1.5335428520894736</v>
      </c>
      <c r="DG189" s="21">
        <f>EXP(-LN(2)/25)*DG188+(1-EXP(-LN(2)/25))/(LN(2)/25)*Calculateur!DB189*Calculateur!DD189*VLOOKUP('Données projet'!$B$13,Paramètres!$A$1:$I$89,3,0)*0.475*44/12</f>
        <v>0.18323443300898326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1.7167772850984568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3.3000000000000003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12.100000000000001</v>
      </c>
      <c r="H190" s="67">
        <f t="shared" si="110"/>
        <v>208.26666666666665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414.37917672189968</v>
      </c>
      <c r="T190" s="59">
        <f t="shared" si="142"/>
        <v>546.83385887302961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21.577938417257108</v>
      </c>
      <c r="AA190" s="21">
        <f>EXP(-LN(2)/25)*AA189+(1-EXP(-LN(2)/25))/(LN(2)/25)*Calculateur!V190*Calculateur!X190*VLOOKUP('Données projet'!$B$9,Paramètres!$A$1:$I$89,3,0)*0.475*44/12</f>
        <v>1.6104697827118755</v>
      </c>
      <c r="AB190" s="21">
        <f>EXP(-LN(2)/2)*AB189+(1-EXP(-LN(2)/2))/(LN(2)/2)*V190*Y190*VLOOKUP('Données projet'!$B$9,Paramètres!$A$1:$I$89,3,0)*0.475*44/12</f>
        <v>3.9504820695300528E-19</v>
      </c>
      <c r="AC190" s="22">
        <f t="shared" si="163"/>
        <v>23.188408199968983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7.0940586738288402E-14</v>
      </c>
      <c r="AK190" s="13">
        <f t="shared" si="164"/>
        <v>1.1091816830583241E-12</v>
      </c>
      <c r="AL190" s="20">
        <f t="shared" si="165"/>
        <v>2.0553796198957668E-12</v>
      </c>
      <c r="AM190" s="59">
        <f t="shared" si="113"/>
        <v>291.03968578777659</v>
      </c>
      <c r="AN190" s="59">
        <f ca="1">AVERAGE(OFFSET($AM$3,0,0,'Données projet'!$E$10+1,1))-AVERAGE(OFFSET($H$3,0,0,'Données projet'!$E$10+1,1))</f>
        <v>296.20984079604017</v>
      </c>
      <c r="AO190" s="59">
        <f t="shared" si="144"/>
        <v>351.8406329895206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16.24933637953259</v>
      </c>
      <c r="AV190" s="21">
        <f>EXP(-LN(2)/25)*AV189+(1-EXP(-LN(2)/25))/(LN(2)/25)*Calculateur!AQ190*Calculateur!AS190*VLOOKUP('Données projet'!$B$10,Paramètres!$A$1:$I$89,3,0)*0.475*44/12</f>
        <v>1.2865993910241762</v>
      </c>
      <c r="AW190" s="21">
        <f>EXP(-LN(2)/2)*AW189+(1-EXP(-LN(2)/2))/(LN(2)/2)*AQ190*AT190*VLOOKUP('Données projet'!$B$10,Paramètres!$A$1:$I$89,3,0)*0.475*44/12</f>
        <v>1.862599796691733E-18</v>
      </c>
      <c r="AX190" s="21">
        <f t="shared" si="166"/>
        <v>17.535935770556765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-1.9863364286720756E-13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385.40047672167555</v>
      </c>
      <c r="BJ190" s="59">
        <f t="shared" si="146"/>
        <v>286.49293757741611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26.332238692075716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26.332238692075716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-5.1431925385259088E-14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397.12030701006762</v>
      </c>
      <c r="CE190" s="59">
        <f t="shared" si="148"/>
        <v>476.47513516380047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6.3552816954397029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6.3552816954397029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110.43805901666033</v>
      </c>
      <c r="CZ190" s="59">
        <f t="shared" si="150"/>
        <v>319.51880962151881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1.5034710121287789</v>
      </c>
      <c r="DG190" s="21">
        <f>EXP(-LN(2)/25)*DG189+(1-EXP(-LN(2)/25))/(LN(2)/25)*Calculateur!DB190*Calculateur!DD190*VLOOKUP('Données projet'!$B$13,Paramètres!$A$1:$I$89,3,0)*0.475*44/12</f>
        <v>0.17822387780247256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1.6816948899312514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3.3000000000000003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12.100000000000001</v>
      </c>
      <c r="H191" s="67">
        <f t="shared" si="110"/>
        <v>208.26666666666665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414.37917672189968</v>
      </c>
      <c r="T191" s="59">
        <f t="shared" si="142"/>
        <v>546.83385887302961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21.154808206137567</v>
      </c>
      <c r="AA191" s="21">
        <f>EXP(-LN(2)/25)*AA190+(1-EXP(-LN(2)/25))/(LN(2)/25)*Calculateur!V191*Calculateur!X191*VLOOKUP('Données projet'!$B$9,Paramètres!$A$1:$I$89,3,0)*0.475*44/12</f>
        <v>1.5664314018126941</v>
      </c>
      <c r="AB191" s="21">
        <f>EXP(-LN(2)/2)*AB190+(1-EXP(-LN(2)/2))/(LN(2)/2)*V191*Y191*VLOOKUP('Données projet'!$B$9,Paramètres!$A$1:$I$89,3,0)*0.475*44/12</f>
        <v>2.7934126603205664E-19</v>
      </c>
      <c r="AC191" s="22">
        <f t="shared" si="163"/>
        <v>22.72123960795026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7.0940586738288402E-14</v>
      </c>
      <c r="AK191" s="13">
        <f t="shared" si="164"/>
        <v>1.1091816830583241E-12</v>
      </c>
      <c r="AL191" s="20">
        <f t="shared" si="165"/>
        <v>2.0553796198957668E-12</v>
      </c>
      <c r="AM191" s="59">
        <f t="shared" si="113"/>
        <v>291.07947544486433</v>
      </c>
      <c r="AN191" s="59">
        <f ca="1">AVERAGE(OFFSET($AM$3,0,0,'Données projet'!$E$10+1,1))-AVERAGE(OFFSET($H$3,0,0,'Données projet'!$E$10+1,1))</f>
        <v>296.20984079604017</v>
      </c>
      <c r="AO191" s="59">
        <f t="shared" si="144"/>
        <v>351.8406329895206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15.930696804246505</v>
      </c>
      <c r="AV191" s="21">
        <f>EXP(-LN(2)/25)*AV190+(1-EXP(-LN(2)/25))/(LN(2)/25)*Calculateur!AQ191*Calculateur!AS191*VLOOKUP('Données projet'!$B$10,Paramètres!$A$1:$I$89,3,0)*0.475*44/12</f>
        <v>1.2514172630172986</v>
      </c>
      <c r="AW191" s="21">
        <f>EXP(-LN(2)/2)*AW190+(1-EXP(-LN(2)/2))/(LN(2)/2)*AQ191*AT191*VLOOKUP('Données projet'!$B$10,Paramètres!$A$1:$I$89,3,0)*0.475*44/12</f>
        <v>1.3170569468774092E-18</v>
      </c>
      <c r="AX191" s="21">
        <f t="shared" si="166"/>
        <v>17.182114067263804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-1.9863364286720756E-13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385.40047672167555</v>
      </c>
      <c r="BJ191" s="59">
        <f t="shared" si="146"/>
        <v>286.49293757741611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25.815879552403814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25.815879552403814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-5.1431925385259088E-14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397.12030701006762</v>
      </c>
      <c r="CE191" s="59">
        <f t="shared" si="148"/>
        <v>476.47513516380047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6.2306584977312083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6.2306584977312083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110.43805901666033</v>
      </c>
      <c r="CZ191" s="59">
        <f t="shared" si="150"/>
        <v>319.51880962151881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1.473988862607702</v>
      </c>
      <c r="DG191" s="21">
        <f>EXP(-LN(2)/25)*DG190+(1-EXP(-LN(2)/25))/(LN(2)/25)*Calculateur!DB191*Calculateur!DD191*VLOOKUP('Données projet'!$B$13,Paramètres!$A$1:$I$89,3,0)*0.475*44/12</f>
        <v>0.17335033649157755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1.6473391990992796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3.3000000000000003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12.100000000000001</v>
      </c>
      <c r="H192" s="67">
        <f t="shared" si="110"/>
        <v>208.26666666666665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414.37917672189968</v>
      </c>
      <c r="T192" s="59">
        <f t="shared" si="142"/>
        <v>546.83385887302961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20.739975320374132</v>
      </c>
      <c r="AA192" s="21">
        <f>EXP(-LN(2)/25)*AA191+(1-EXP(-LN(2)/25))/(LN(2)/25)*Calculateur!V192*Calculateur!X192*VLOOKUP('Données projet'!$B$9,Paramètres!$A$1:$I$89,3,0)*0.475*44/12</f>
        <v>1.5235972527550787</v>
      </c>
      <c r="AB192" s="21">
        <f>EXP(-LN(2)/2)*AB191+(1-EXP(-LN(2)/2))/(LN(2)/2)*V192*Y192*VLOOKUP('Données projet'!$B$9,Paramètres!$A$1:$I$89,3,0)*0.475*44/12</f>
        <v>1.9752410347650264E-19</v>
      </c>
      <c r="AC192" s="22">
        <f t="shared" si="163"/>
        <v>22.26357257312921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7.0940586738288402E-14</v>
      </c>
      <c r="AK192" s="13">
        <f t="shared" si="164"/>
        <v>1.1091816830583241E-12</v>
      </c>
      <c r="AL192" s="20">
        <f t="shared" si="165"/>
        <v>2.0553796198957668E-12</v>
      </c>
      <c r="AM192" s="59">
        <f t="shared" si="113"/>
        <v>291.11857484035795</v>
      </c>
      <c r="AN192" s="59">
        <f ca="1">AVERAGE(OFFSET($AM$3,0,0,'Données projet'!$E$10+1,1))-AVERAGE(OFFSET($H$3,0,0,'Données projet'!$E$10+1,1))</f>
        <v>296.20984079604017</v>
      </c>
      <c r="AO192" s="59">
        <f t="shared" si="144"/>
        <v>351.8406329895206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15.618305556680831</v>
      </c>
      <c r="AV192" s="21">
        <f>EXP(-LN(2)/25)*AV191+(1-EXP(-LN(2)/25))/(LN(2)/25)*Calculateur!AQ192*Calculateur!AS192*VLOOKUP('Données projet'!$B$10,Paramètres!$A$1:$I$89,3,0)*0.475*44/12</f>
        <v>1.2171971921509168</v>
      </c>
      <c r="AW192" s="21">
        <f>EXP(-LN(2)/2)*AW191+(1-EXP(-LN(2)/2))/(LN(2)/2)*AQ192*AT192*VLOOKUP('Données projet'!$B$10,Paramètres!$A$1:$I$89,3,0)*0.475*44/12</f>
        <v>9.3129989834586651E-19</v>
      </c>
      <c r="AX192" s="21">
        <f t="shared" si="166"/>
        <v>16.835502748831747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-1.9863364286720756E-13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385.40047672167555</v>
      </c>
      <c r="BJ192" s="59">
        <f t="shared" si="146"/>
        <v>286.49293757741611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25.309645900512901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25.309645900512901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-5.1431925385259088E-14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397.12030701006762</v>
      </c>
      <c r="CE192" s="59">
        <f t="shared" si="148"/>
        <v>476.47513516380047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6.108479084917132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6.108479084917132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110.43805901666033</v>
      </c>
      <c r="CZ192" s="59">
        <f t="shared" si="150"/>
        <v>319.51880962151881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1.4450848400563978</v>
      </c>
      <c r="DG192" s="21">
        <f>EXP(-LN(2)/25)*DG191+(1-EXP(-LN(2)/25))/(LN(2)/25)*Calculateur!DB192*Calculateur!DD192*VLOOKUP('Données projet'!$B$13,Paramètres!$A$1:$I$89,3,0)*0.475*44/12</f>
        <v>0.16861006242411736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1.6136949024805152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3.3000000000000003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12.100000000000001</v>
      </c>
      <c r="H193" s="67">
        <f t="shared" si="110"/>
        <v>208.26666666666665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414.37917672189968</v>
      </c>
      <c r="T193" s="59">
        <f t="shared" si="142"/>
        <v>546.83385887302961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20.333277054477442</v>
      </c>
      <c r="AA193" s="21">
        <f>EXP(-LN(2)/25)*AA192+(1-EXP(-LN(2)/25))/(LN(2)/25)*Calculateur!V193*Calculateur!X193*VLOOKUP('Données projet'!$B$9,Paramètres!$A$1:$I$89,3,0)*0.475*44/12</f>
        <v>1.4819344057559938</v>
      </c>
      <c r="AB193" s="21">
        <f>EXP(-LN(2)/2)*AB192+(1-EXP(-LN(2)/2))/(LN(2)/2)*V193*Y193*VLOOKUP('Données projet'!$B$9,Paramètres!$A$1:$I$89,3,0)*0.475*44/12</f>
        <v>1.3967063301602832E-19</v>
      </c>
      <c r="AC193" s="22">
        <f t="shared" si="163"/>
        <v>21.815211460233435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7.0940586738288402E-14</v>
      </c>
      <c r="AK193" s="13">
        <f t="shared" si="164"/>
        <v>1.1091816830583241E-12</v>
      </c>
      <c r="AL193" s="20">
        <f t="shared" si="165"/>
        <v>2.0553796198957668E-12</v>
      </c>
      <c r="AM193" s="59">
        <f t="shared" si="113"/>
        <v>291.15699594875292</v>
      </c>
      <c r="AN193" s="59">
        <f ca="1">AVERAGE(OFFSET($AM$3,0,0,'Données projet'!$E$10+1,1))-AVERAGE(OFFSET($H$3,0,0,'Données projet'!$E$10+1,1))</f>
        <v>296.20984079604017</v>
      </c>
      <c r="AO193" s="59">
        <f t="shared" si="144"/>
        <v>351.8406329895206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15.312040110940073</v>
      </c>
      <c r="AV193" s="21">
        <f>EXP(-LN(2)/25)*AV192+(1-EXP(-LN(2)/25))/(LN(2)/25)*Calculateur!AQ193*Calculateur!AS193*VLOOKUP('Données projet'!$B$10,Paramètres!$A$1:$I$89,3,0)*0.475*44/12</f>
        <v>1.1839128709219315</v>
      </c>
      <c r="AW193" s="21">
        <f>EXP(-LN(2)/2)*AW192+(1-EXP(-LN(2)/2))/(LN(2)/2)*AQ193*AT193*VLOOKUP('Données projet'!$B$10,Paramètres!$A$1:$I$89,3,0)*0.475*44/12</f>
        <v>6.5852847343870459E-19</v>
      </c>
      <c r="AX193" s="21">
        <f t="shared" si="166"/>
        <v>16.495952981862004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-1.9863364286720756E-13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385.40047672167555</v>
      </c>
      <c r="BJ193" s="59">
        <f t="shared" si="146"/>
        <v>286.49293757741611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24.813339181763531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24.813339181763531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-5.1431925385259088E-14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397.12030701006762</v>
      </c>
      <c r="CE193" s="59">
        <f t="shared" si="148"/>
        <v>476.47513516380047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5.9886955358662561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5.9886955358662561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110.43805901666033</v>
      </c>
      <c r="CZ193" s="59">
        <f t="shared" si="150"/>
        <v>319.51880962151881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1.4167476077576118</v>
      </c>
      <c r="DG193" s="21">
        <f>EXP(-LN(2)/25)*DG192+(1-EXP(-LN(2)/25))/(LN(2)/25)*Calculateur!DB193*Calculateur!DD193*VLOOKUP('Données projet'!$B$13,Paramètres!$A$1:$I$89,3,0)*0.475*44/12</f>
        <v>0.16399941140031205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1.5807470191579238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3.3000000000000003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12.100000000000001</v>
      </c>
      <c r="H194" s="67">
        <f t="shared" si="110"/>
        <v>208.26666666666665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414.37917672189968</v>
      </c>
      <c r="T194" s="59">
        <f t="shared" si="142"/>
        <v>546.83385887302961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19.934553893513538</v>
      </c>
      <c r="AA194" s="21">
        <f>EXP(-LN(2)/25)*AA193+(1-EXP(-LN(2)/25))/(LN(2)/25)*Calculateur!V194*Calculateur!X194*VLOOKUP('Données projet'!$B$9,Paramètres!$A$1:$I$89,3,0)*0.475*44/12</f>
        <v>1.4414108314990528</v>
      </c>
      <c r="AB194" s="21">
        <f>EXP(-LN(2)/2)*AB193+(1-EXP(-LN(2)/2))/(LN(2)/2)*V194*Y194*VLOOKUP('Données projet'!$B$9,Paramètres!$A$1:$I$89,3,0)*0.475*44/12</f>
        <v>9.8762051738251319E-20</v>
      </c>
      <c r="AC194" s="22">
        <f t="shared" si="163"/>
        <v>21.37596472501259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7.0940586738288402E-14</v>
      </c>
      <c r="AK194" s="13">
        <f t="shared" si="164"/>
        <v>1.1091816830583241E-12</v>
      </c>
      <c r="AL194" s="20">
        <f t="shared" si="165"/>
        <v>2.0553796198957668E-12</v>
      </c>
      <c r="AM194" s="59">
        <f t="shared" si="113"/>
        <v>291.1947505368139</v>
      </c>
      <c r="AN194" s="59">
        <f ca="1">AVERAGE(OFFSET($AM$3,0,0,'Données projet'!$E$10+1,1))-AVERAGE(OFFSET($H$3,0,0,'Données projet'!$E$10+1,1))</f>
        <v>296.20984079604017</v>
      </c>
      <c r="AO194" s="59">
        <f t="shared" si="144"/>
        <v>351.8406329895206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15.011780343786814</v>
      </c>
      <c r="AV194" s="21">
        <f>EXP(-LN(2)/25)*AV193+(1-EXP(-LN(2)/25))/(LN(2)/25)*Calculateur!AQ194*Calculateur!AS194*VLOOKUP('Données projet'!$B$10,Paramètres!$A$1:$I$89,3,0)*0.475*44/12</f>
        <v>1.1515387112072992</v>
      </c>
      <c r="AW194" s="21">
        <f>EXP(-LN(2)/2)*AW193+(1-EXP(-LN(2)/2))/(LN(2)/2)*AQ194*AT194*VLOOKUP('Données projet'!$B$10,Paramètres!$A$1:$I$89,3,0)*0.475*44/12</f>
        <v>4.6564994917293326E-19</v>
      </c>
      <c r="AX194" s="21">
        <f t="shared" si="166"/>
        <v>16.163319054994112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-1.9863364286720756E-13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385.40047672167555</v>
      </c>
      <c r="BJ194" s="59">
        <f t="shared" si="146"/>
        <v>286.49293757741611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24.326764735051629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24.326764735051629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-5.1431925385259088E-14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397.12030701006762</v>
      </c>
      <c r="CE194" s="59">
        <f t="shared" si="148"/>
        <v>476.47513516380047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5.8712608691515173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5.8712608691515173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110.43805901666033</v>
      </c>
      <c r="CZ194" s="59">
        <f t="shared" si="150"/>
        <v>319.51880962151881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1.3889660513002</v>
      </c>
      <c r="DG194" s="21">
        <f>EXP(-LN(2)/25)*DG193+(1-EXP(-LN(2)/25))/(LN(2)/25)*Calculateur!DB194*Calculateur!DD194*VLOOKUP('Données projet'!$B$13,Paramètres!$A$1:$I$89,3,0)*0.475*44/12</f>
        <v>0.15951483887121629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1.5484808901714162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3.3000000000000003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12.100000000000001</v>
      </c>
      <c r="H195" s="67">
        <f t="shared" si="110"/>
        <v>208.26666666666665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414.37917672189968</v>
      </c>
      <c r="T195" s="59">
        <f t="shared" si="142"/>
        <v>546.83385887302961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19.543649450539021</v>
      </c>
      <c r="AA195" s="21">
        <f>EXP(-LN(2)/25)*AA194+(1-EXP(-LN(2)/25))/(LN(2)/25)*Calculateur!V195*Calculateur!X195*VLOOKUP('Données projet'!$B$9,Paramètres!$A$1:$I$89,3,0)*0.475*44/12</f>
        <v>1.4019953765112099</v>
      </c>
      <c r="AB195" s="21">
        <f>EXP(-LN(2)/2)*AB194+(1-EXP(-LN(2)/2))/(LN(2)/2)*V195*Y195*VLOOKUP('Données projet'!$B$9,Paramètres!$A$1:$I$89,3,0)*0.475*44/12</f>
        <v>6.983531650801416E-20</v>
      </c>
      <c r="AC195" s="22">
        <f t="shared" si="163"/>
        <v>20.945644827050231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7.0940586738288402E-14</v>
      </c>
      <c r="AK195" s="13">
        <f t="shared" si="164"/>
        <v>1.1091816830583241E-12</v>
      </c>
      <c r="AL195" s="20">
        <f t="shared" si="165"/>
        <v>2.0553796198957668E-12</v>
      </c>
      <c r="AM195" s="59">
        <f t="shared" si="113"/>
        <v>291.23185016717872</v>
      </c>
      <c r="AN195" s="59">
        <f ca="1">AVERAGE(OFFSET($AM$3,0,0,'Données projet'!$E$10+1,1))-AVERAGE(OFFSET($H$3,0,0,'Données projet'!$E$10+1,1))</f>
        <v>296.20984079604017</v>
      </c>
      <c r="AO195" s="59">
        <f t="shared" si="144"/>
        <v>351.8406329895206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14.717408487527056</v>
      </c>
      <c r="AV195" s="21">
        <f>EXP(-LN(2)/25)*AV194+(1-EXP(-LN(2)/25))/(LN(2)/25)*Calculateur!AQ195*Calculateur!AS195*VLOOKUP('Données projet'!$B$10,Paramètres!$A$1:$I$89,3,0)*0.475*44/12</f>
        <v>1.1200498245925468</v>
      </c>
      <c r="AW195" s="21">
        <f>EXP(-LN(2)/2)*AW194+(1-EXP(-LN(2)/2))/(LN(2)/2)*AQ195*AT195*VLOOKUP('Données projet'!$B$10,Paramètres!$A$1:$I$89,3,0)*0.475*44/12</f>
        <v>3.2926423671935229E-19</v>
      </c>
      <c r="AX195" s="21">
        <f t="shared" si="166"/>
        <v>15.837458312119603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-1.9863364286720756E-13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385.40047672167555</v>
      </c>
      <c r="BJ195" s="59">
        <f t="shared" si="146"/>
        <v>286.49293757741611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23.849731716458638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23.849731716458638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-5.1431925385259088E-14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397.12030701006762</v>
      </c>
      <c r="CE195" s="59">
        <f t="shared" si="148"/>
        <v>476.47513516380047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5.7561290246229806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5.7561290246229806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110.43805901666033</v>
      </c>
      <c r="CZ195" s="59">
        <f t="shared" si="150"/>
        <v>319.51880962151881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1.3617292742198417</v>
      </c>
      <c r="DG195" s="21">
        <f>EXP(-LN(2)/25)*DG194+(1-EXP(-LN(2)/25))/(LN(2)/25)*Calculateur!DB195*Calculateur!DD195*VLOOKUP('Données projet'!$B$13,Paramètres!$A$1:$I$89,3,0)*0.475*44/12</f>
        <v>0.15515289721376208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1.5168821714336038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3.3000000000000003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12.100000000000001</v>
      </c>
      <c r="H196" s="67">
        <f t="shared" ref="H196:H203" si="192">(B196+E196+F196)*44/12+(C196+D196)*0.475*44/12</f>
        <v>208.26666666666665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414.37917672189968</v>
      </c>
      <c r="T196" s="59">
        <f t="shared" si="142"/>
        <v>546.83385887302961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19.160410405263068</v>
      </c>
      <c r="AA196" s="21">
        <f>EXP(-LN(2)/25)*AA195+(1-EXP(-LN(2)/25))/(LN(2)/25)*Calculateur!V196*Calculateur!X196*VLOOKUP('Données projet'!$B$9,Paramètres!$A$1:$I$89,3,0)*0.475*44/12</f>
        <v>1.3636577392127782</v>
      </c>
      <c r="AB196" s="21">
        <f>EXP(-LN(2)/2)*AB195+(1-EXP(-LN(2)/2))/(LN(2)/2)*V196*Y196*VLOOKUP('Données projet'!$B$9,Paramètres!$A$1:$I$89,3,0)*0.475*44/12</f>
        <v>4.938102586912566E-20</v>
      </c>
      <c r="AC196" s="22">
        <f t="shared" si="163"/>
        <v>20.524068144475848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7.0940586738288402E-14</v>
      </c>
      <c r="AK196" s="13">
        <f t="shared" si="164"/>
        <v>1.1091816830583241E-12</v>
      </c>
      <c r="AL196" s="20">
        <f t="shared" si="165"/>
        <v>2.0553796198957668E-12</v>
      </c>
      <c r="AM196" s="59">
        <f t="shared" ref="AM196:AM203" si="193">AL196+(AD196+AE196)*44/12</f>
        <v>291.26830620189895</v>
      </c>
      <c r="AN196" s="59">
        <f ca="1">AVERAGE(OFFSET($AM$3,0,0,'Données projet'!$E$10+1,1))-AVERAGE(OFFSET($H$3,0,0,'Données projet'!$E$10+1,1))</f>
        <v>296.20984079604017</v>
      </c>
      <c r="AO196" s="59">
        <f t="shared" si="144"/>
        <v>351.8406329895206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14.428809083819448</v>
      </c>
      <c r="AV196" s="21">
        <f>EXP(-LN(2)/25)*AV195+(1-EXP(-LN(2)/25))/(LN(2)/25)*Calculateur!AQ196*Calculateur!AS196*VLOOKUP('Données projet'!$B$10,Paramètres!$A$1:$I$89,3,0)*0.475*44/12</f>
        <v>1.0894220032382032</v>
      </c>
      <c r="AW196" s="21">
        <f>EXP(-LN(2)/2)*AW195+(1-EXP(-LN(2)/2))/(LN(2)/2)*AQ196*AT196*VLOOKUP('Données projet'!$B$10,Paramètres!$A$1:$I$89,3,0)*0.475*44/12</f>
        <v>2.3282497458646663E-19</v>
      </c>
      <c r="AX196" s="21">
        <f t="shared" si="166"/>
        <v>15.518231087057652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-1.9863364286720756E-13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385.40047672167555</v>
      </c>
      <c r="BJ196" s="59">
        <f t="shared" si="146"/>
        <v>286.49293757741611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23.382053024398843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23.382053024398843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-5.1431925385259088E-14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397.12030701006762</v>
      </c>
      <c r="CE196" s="59">
        <f t="shared" si="148"/>
        <v>476.47513516380047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5.6432548453421569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5.6432548453421569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110.43805901666033</v>
      </c>
      <c r="CZ196" s="59">
        <f t="shared" si="150"/>
        <v>319.51880962151881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1.3350265937252357</v>
      </c>
      <c r="DG196" s="21">
        <f>EXP(-LN(2)/25)*DG195+(1-EXP(-LN(2)/25))/(LN(2)/25)*Calculateur!DB196*Calculateur!DD196*VLOOKUP('Données projet'!$B$13,Paramètres!$A$1:$I$89,3,0)*0.475*44/12</f>
        <v>0.15091023308031548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1.4859368268055513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3.3000000000000003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12.100000000000001</v>
      </c>
      <c r="H197" s="67">
        <f t="shared" si="192"/>
        <v>208.26666666666665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414.37917672189968</v>
      </c>
      <c r="T197" s="59">
        <f t="shared" ref="T197:T203" si="204">$T$3</f>
        <v>546.83385887302961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18.784686443912243</v>
      </c>
      <c r="AA197" s="21">
        <f>EXP(-LN(2)/25)*AA196+(1-EXP(-LN(2)/25))/(LN(2)/25)*Calculateur!V197*Calculateur!X197*VLOOKUP('Données projet'!$B$9,Paramètres!$A$1:$I$89,3,0)*0.475*44/12</f>
        <v>1.3263684466223611</v>
      </c>
      <c r="AB197" s="21">
        <f>EXP(-LN(2)/2)*AB196+(1-EXP(-LN(2)/2))/(LN(2)/2)*V197*Y197*VLOOKUP('Données projet'!$B$9,Paramètres!$A$1:$I$89,3,0)*0.475*44/12</f>
        <v>3.491765825400708E-20</v>
      </c>
      <c r="AC197" s="22">
        <f t="shared" si="163"/>
        <v>20.111054890534604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7.0940586738288402E-14</v>
      </c>
      <c r="AK197" s="13">
        <f t="shared" si="164"/>
        <v>1.1091816830583241E-12</v>
      </c>
      <c r="AL197" s="20">
        <f t="shared" si="165"/>
        <v>2.0553796198957668E-12</v>
      </c>
      <c r="AM197" s="59">
        <f t="shared" si="193"/>
        <v>291.30412980592041</v>
      </c>
      <c r="AN197" s="59">
        <f ca="1">AVERAGE(OFFSET($AM$3,0,0,'Données projet'!$E$10+1,1))-AVERAGE(OFFSET($H$3,0,0,'Données projet'!$E$10+1,1))</f>
        <v>296.20984079604017</v>
      </c>
      <c r="AO197" s="59">
        <f t="shared" ref="AO197:AO203" si="205">$AO$3</f>
        <v>351.8406329895206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14.145868938390294</v>
      </c>
      <c r="AV197" s="21">
        <f>EXP(-LN(2)/25)*AV196+(1-EXP(-LN(2)/25))/(LN(2)/25)*Calculateur!AQ197*Calculateur!AS197*VLOOKUP('Données projet'!$B$10,Paramètres!$A$1:$I$89,3,0)*0.475*44/12</f>
        <v>1.0596317012694412</v>
      </c>
      <c r="AW197" s="21">
        <f>EXP(-LN(2)/2)*AW196+(1-EXP(-LN(2)/2))/(LN(2)/2)*AQ197*AT197*VLOOKUP('Données projet'!$B$10,Paramètres!$A$1:$I$89,3,0)*0.475*44/12</f>
        <v>1.6463211835967615E-19</v>
      </c>
      <c r="AX197" s="21">
        <f t="shared" si="166"/>
        <v>15.205500639659736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-1.9863364286720756E-13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385.40047672167555</v>
      </c>
      <c r="BJ197" s="59">
        <f t="shared" ref="BJ197:BJ203" si="206">$BJ$3</f>
        <v>286.49293757741611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22.923545226234506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22.923545226234506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-5.1431925385259088E-14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397.12030701006762</v>
      </c>
      <c r="CE197" s="59">
        <f t="shared" ref="CE197:CE203" si="207">$CE$3</f>
        <v>476.47513516380047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5.5325940598705792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5.5325940598705792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110.43805901666033</v>
      </c>
      <c r="CZ197" s="59">
        <f t="shared" ref="CZ197:CZ203" si="208">$CZ$3</f>
        <v>319.51880962151881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1.308847536508102</v>
      </c>
      <c r="DG197" s="21">
        <f>EXP(-LN(2)/25)*DG196+(1-EXP(-LN(2)/25))/(LN(2)/25)*Calculateur!DB197*Calculateur!DD197*VLOOKUP('Données projet'!$B$13,Paramètres!$A$1:$I$89,3,0)*0.475*44/12</f>
        <v>0.14678358482070999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1.455631121328812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3.3000000000000003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12.100000000000001</v>
      </c>
      <c r="H198" s="67">
        <f t="shared" si="192"/>
        <v>208.26666666666665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414.37917672189968</v>
      </c>
      <c r="T198" s="59">
        <f t="shared" si="204"/>
        <v>546.83385887302961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18.416330200274519</v>
      </c>
      <c r="AA198" s="21">
        <f>EXP(-LN(2)/25)*AA197+(1-EXP(-LN(2)/25))/(LN(2)/25)*Calculateur!V198*Calculateur!X198*VLOOKUP('Données projet'!$B$9,Paramètres!$A$1:$I$89,3,0)*0.475*44/12</f>
        <v>1.2900988316987874</v>
      </c>
      <c r="AB198" s="21">
        <f>EXP(-LN(2)/2)*AB197+(1-EXP(-LN(2)/2))/(LN(2)/2)*V198*Y198*VLOOKUP('Données projet'!$B$9,Paramètres!$A$1:$I$89,3,0)*0.475*44/12</f>
        <v>2.469051293456283E-20</v>
      </c>
      <c r="AC198" s="22">
        <f t="shared" si="163"/>
        <v>19.706429031973308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7.0940586738288402E-14</v>
      </c>
      <c r="AK198" s="13">
        <f t="shared" si="164"/>
        <v>1.1091816830583241E-12</v>
      </c>
      <c r="AL198" s="20">
        <f t="shared" si="165"/>
        <v>2.0553796198957668E-12</v>
      </c>
      <c r="AM198" s="59">
        <f t="shared" si="193"/>
        <v>291.33933195050162</v>
      </c>
      <c r="AN198" s="59">
        <f ca="1">AVERAGE(OFFSET($AM$3,0,0,'Données projet'!$E$10+1,1))-AVERAGE(OFFSET($H$3,0,0,'Données projet'!$E$10+1,1))</f>
        <v>296.20984079604017</v>
      </c>
      <c r="AO198" s="59">
        <f t="shared" si="205"/>
        <v>351.8406329895206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13.868477076636555</v>
      </c>
      <c r="AV198" s="21">
        <f>EXP(-LN(2)/25)*AV197+(1-EXP(-LN(2)/25))/(LN(2)/25)*Calculateur!AQ198*Calculateur!AS198*VLOOKUP('Données projet'!$B$10,Paramètres!$A$1:$I$89,3,0)*0.475*44/12</f>
        <v>1.030656016674619</v>
      </c>
      <c r="AW198" s="21">
        <f>EXP(-LN(2)/2)*AW197+(1-EXP(-LN(2)/2))/(LN(2)/2)*AQ198*AT198*VLOOKUP('Données projet'!$B$10,Paramètres!$A$1:$I$89,3,0)*0.475*44/12</f>
        <v>1.1641248729323331E-19</v>
      </c>
      <c r="AX198" s="21">
        <f t="shared" si="166"/>
        <v>14.899133093311175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-1.9863364286720756E-13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385.40047672167555</v>
      </c>
      <c r="BJ198" s="59">
        <f t="shared" si="206"/>
        <v>286.49293757741611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22.474028486330027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22.474028486330027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-5.1431925385259088E-14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397.12030701006762</v>
      </c>
      <c r="CE198" s="59">
        <f t="shared" si="207"/>
        <v>476.47513516380047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5.4241032649056846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5.4241032649056846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110.43805901666033</v>
      </c>
      <c r="CZ198" s="59">
        <f t="shared" si="208"/>
        <v>319.51880962151881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1.2831818346353481</v>
      </c>
      <c r="DG198" s="21">
        <f>EXP(-LN(2)/25)*DG197+(1-EXP(-LN(2)/25))/(LN(2)/25)*Calculateur!DB198*Calculateur!DD198*VLOOKUP('Données projet'!$B$13,Paramètres!$A$1:$I$89,3,0)*0.475*44/12</f>
        <v>0.14276977997477444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1.4259516146101225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3.3000000000000003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12.100000000000001</v>
      </c>
      <c r="H199" s="67">
        <f t="shared" si="192"/>
        <v>208.26666666666665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414.37917672189968</v>
      </c>
      <c r="T199" s="59">
        <f t="shared" si="204"/>
        <v>546.83385887302961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18.055197197899407</v>
      </c>
      <c r="AA199" s="21">
        <f>EXP(-LN(2)/25)*AA198+(1-EXP(-LN(2)/25))/(LN(2)/25)*Calculateur!V199*Calculateur!X199*VLOOKUP('Données projet'!$B$9,Paramètres!$A$1:$I$89,3,0)*0.475*44/12</f>
        <v>1.254821011302635</v>
      </c>
      <c r="AB199" s="21">
        <f>EXP(-LN(2)/2)*AB198+(1-EXP(-LN(2)/2))/(LN(2)/2)*V199*Y199*VLOOKUP('Données projet'!$B$9,Paramètres!$A$1:$I$89,3,0)*0.475*44/12</f>
        <v>1.745882912700354E-20</v>
      </c>
      <c r="AC199" s="22">
        <f t="shared" si="163"/>
        <v>19.310018209202042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7.0940586738288402E-14</v>
      </c>
      <c r="AK199" s="13">
        <f t="shared" si="164"/>
        <v>1.1091816830583241E-12</v>
      </c>
      <c r="AL199" s="20">
        <f t="shared" si="165"/>
        <v>2.0553796198957668E-12</v>
      </c>
      <c r="AM199" s="59">
        <f t="shared" si="193"/>
        <v>291.37392341657454</v>
      </c>
      <c r="AN199" s="59">
        <f ca="1">AVERAGE(OFFSET($AM$3,0,0,'Données projet'!$E$10+1,1))-AVERAGE(OFFSET($H$3,0,0,'Données projet'!$E$10+1,1))</f>
        <v>296.20984079604017</v>
      </c>
      <c r="AO199" s="59">
        <f t="shared" si="205"/>
        <v>351.8406329895206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13.596524700099479</v>
      </c>
      <c r="AV199" s="21">
        <f>EXP(-LN(2)/25)*AV198+(1-EXP(-LN(2)/25))/(LN(2)/25)*Calculateur!AQ199*Calculateur!AS199*VLOOKUP('Données projet'!$B$10,Paramètres!$A$1:$I$89,3,0)*0.475*44/12</f>
        <v>1.0024726736988072</v>
      </c>
      <c r="AW199" s="21">
        <f>EXP(-LN(2)/2)*AW198+(1-EXP(-LN(2)/2))/(LN(2)/2)*AQ199*AT199*VLOOKUP('Données projet'!$B$10,Paramètres!$A$1:$I$89,3,0)*0.475*44/12</f>
        <v>8.2316059179838073E-20</v>
      </c>
      <c r="AX199" s="21">
        <f t="shared" si="166"/>
        <v>14.598997373798287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-1.9863364286720756E-13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385.40047672167555</v>
      </c>
      <c r="BJ199" s="59">
        <f t="shared" si="206"/>
        <v>286.49293757741611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22.033326495516938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22.033326495516938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-5.1431925385259088E-14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397.12030701006762</v>
      </c>
      <c r="CE199" s="59">
        <f t="shared" si="207"/>
        <v>476.47513516380047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5.3177399082572006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5.3177399082572006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110.43805901666033</v>
      </c>
      <c r="CZ199" s="59">
        <f t="shared" si="208"/>
        <v>319.51880962151881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1.2580194215217864</v>
      </c>
      <c r="DG199" s="21">
        <f>EXP(-LN(2)/25)*DG198+(1-EXP(-LN(2)/25))/(LN(2)/25)*Calculateur!DB199*Calculateur!DD199*VLOOKUP('Données projet'!$B$13,Paramètres!$A$1:$I$89,3,0)*0.475*44/12</f>
        <v>0.13886573283342782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1.3968851543552141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3.3000000000000003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12.100000000000001</v>
      </c>
      <c r="H200" s="67">
        <f t="shared" si="192"/>
        <v>208.26666666666665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414.37917672189968</v>
      </c>
      <c r="T200" s="59">
        <f t="shared" si="204"/>
        <v>546.83385887302961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17.701145793431486</v>
      </c>
      <c r="AA200" s="21">
        <f>EXP(-LN(2)/25)*AA199+(1-EXP(-LN(2)/25))/(LN(2)/25)*Calculateur!V200*Calculateur!X200*VLOOKUP('Données projet'!$B$9,Paramètres!$A$1:$I$89,3,0)*0.475*44/12</f>
        <v>1.2205078647603953</v>
      </c>
      <c r="AB200" s="21">
        <f>EXP(-LN(2)/2)*AB199+(1-EXP(-LN(2)/2))/(LN(2)/2)*V200*Y200*VLOOKUP('Données projet'!$B$9,Paramètres!$A$1:$I$89,3,0)*0.475*44/12</f>
        <v>1.2345256467281415E-20</v>
      </c>
      <c r="AC200" s="22">
        <f t="shared" si="163"/>
        <v>18.921653658191882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7.0940586738288402E-14</v>
      </c>
      <c r="AK200" s="13">
        <f t="shared" si="164"/>
        <v>1.1091816830583241E-12</v>
      </c>
      <c r="AL200" s="20">
        <f t="shared" si="165"/>
        <v>2.0553796198957668E-12</v>
      </c>
      <c r="AM200" s="59">
        <f t="shared" si="193"/>
        <v>291.40791479804597</v>
      </c>
      <c r="AN200" s="59">
        <f ca="1">AVERAGE(OFFSET($AM$3,0,0,'Données projet'!$E$10+1,1))-AVERAGE(OFFSET($H$3,0,0,'Données projet'!$E$10+1,1))</f>
        <v>296.20984079604017</v>
      </c>
      <c r="AO200" s="59">
        <f t="shared" si="205"/>
        <v>351.8406329895206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13.329905143791724</v>
      </c>
      <c r="AV200" s="21">
        <f>EXP(-LN(2)/25)*AV199+(1-EXP(-LN(2)/25))/(LN(2)/25)*Calculateur!AQ200*Calculateur!AS200*VLOOKUP('Données projet'!$B$10,Paramètres!$A$1:$I$89,3,0)*0.475*44/12</f>
        <v>0.97506000571876661</v>
      </c>
      <c r="AW200" s="21">
        <f>EXP(-LN(2)/2)*AW199+(1-EXP(-LN(2)/2))/(LN(2)/2)*AQ200*AT200*VLOOKUP('Données projet'!$B$10,Paramètres!$A$1:$I$89,3,0)*0.475*44/12</f>
        <v>5.8206243646616657E-20</v>
      </c>
      <c r="AX200" s="21">
        <f t="shared" si="166"/>
        <v>14.30496514951049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-1.9863364286720756E-13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385.40047672167555</v>
      </c>
      <c r="BJ200" s="59">
        <f t="shared" si="206"/>
        <v>286.49293757741611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21.601266401942024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21.601266401942024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-5.1431925385259088E-14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397.12030701006762</v>
      </c>
      <c r="CE200" s="59">
        <f t="shared" si="207"/>
        <v>476.47513516380047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5.2134622721573516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5.2134622721573516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110.43805901666033</v>
      </c>
      <c r="CZ200" s="59">
        <f t="shared" si="208"/>
        <v>319.51880962151881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1.233350427981825</v>
      </c>
      <c r="DG200" s="21">
        <f>EXP(-LN(2)/25)*DG199+(1-EXP(-LN(2)/25))/(LN(2)/25)*Calculateur!DB200*Calculateur!DD200*VLOOKUP('Données projet'!$B$13,Paramètres!$A$1:$I$89,3,0)*0.475*44/12</f>
        <v>0.13506844206646623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1.3684188700482913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3.3000000000000003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12.100000000000001</v>
      </c>
      <c r="H201" s="67">
        <f t="shared" si="192"/>
        <v>208.26666666666665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414.37917672189968</v>
      </c>
      <c r="T201" s="59">
        <f t="shared" si="204"/>
        <v>546.83385887302961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17.35403712105515</v>
      </c>
      <c r="AA201" s="21">
        <f>EXP(-LN(2)/25)*AA200+(1-EXP(-LN(2)/25))/(LN(2)/25)*Calculateur!V201*Calculateur!X201*VLOOKUP('Données projet'!$B$9,Paramètres!$A$1:$I$89,3,0)*0.475*44/12</f>
        <v>1.1871330130148032</v>
      </c>
      <c r="AB201" s="21">
        <f>EXP(-LN(2)/2)*AB200+(1-EXP(-LN(2)/2))/(LN(2)/2)*V201*Y201*VLOOKUP('Données projet'!$B$9,Paramètres!$A$1:$I$89,3,0)*0.475*44/12</f>
        <v>8.72941456350177E-21</v>
      </c>
      <c r="AC201" s="22">
        <f t="shared" si="163"/>
        <v>18.541170134069954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7.0940586738288402E-14</v>
      </c>
      <c r="AK201" s="13">
        <f t="shared" si="164"/>
        <v>1.1091816830583241E-12</v>
      </c>
      <c r="AL201" s="20">
        <f t="shared" si="165"/>
        <v>2.0553796198957668E-12</v>
      </c>
      <c r="AM201" s="59">
        <f t="shared" si="193"/>
        <v>291.44131650504232</v>
      </c>
      <c r="AN201" s="59">
        <f ca="1">AVERAGE(OFFSET($AM$3,0,0,'Données projet'!$E$10+1,1))-AVERAGE(OFFSET($H$3,0,0,'Données projet'!$E$10+1,1))</f>
        <v>296.20984079604017</v>
      </c>
      <c r="AO201" s="59">
        <f t="shared" si="205"/>
        <v>351.8406329895206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13.068513834361291</v>
      </c>
      <c r="AV201" s="21">
        <f>EXP(-LN(2)/25)*AV200+(1-EXP(-LN(2)/25))/(LN(2)/25)*Calculateur!AQ201*Calculateur!AS201*VLOOKUP('Données projet'!$B$10,Paramètres!$A$1:$I$89,3,0)*0.475*44/12</f>
        <v>0.94839693858620977</v>
      </c>
      <c r="AW201" s="21">
        <f>EXP(-LN(2)/2)*AW200+(1-EXP(-LN(2)/2))/(LN(2)/2)*AQ201*AT201*VLOOKUP('Données projet'!$B$10,Paramètres!$A$1:$I$89,3,0)*0.475*44/12</f>
        <v>4.1158029589919037E-20</v>
      </c>
      <c r="AX201" s="21">
        <f t="shared" si="166"/>
        <v>14.016910772947501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-1.9863364286720756E-13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385.40047672167555</v>
      </c>
      <c r="BJ201" s="59">
        <f t="shared" si="206"/>
        <v>286.49293757741611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21.177678743271475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21.177678743271475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-5.1431925385259088E-14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397.12030701006762</v>
      </c>
      <c r="CE201" s="59">
        <f t="shared" si="207"/>
        <v>476.47513516380047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5.111229456898343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5.111229456898343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110.43805901666033</v>
      </c>
      <c r="CZ201" s="59">
        <f t="shared" si="208"/>
        <v>319.51880962151881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1.2091651783585822</v>
      </c>
      <c r="DG201" s="21">
        <f>EXP(-LN(2)/25)*DG200+(1-EXP(-LN(2)/25))/(LN(2)/25)*Calculateur!DB201*Calculateur!DD201*VLOOKUP('Données projet'!$B$13,Paramètres!$A$1:$I$89,3,0)*0.475*44/12</f>
        <v>0.13137498841521805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1.3405401667738002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3.3000000000000003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12.100000000000001</v>
      </c>
      <c r="H202" s="67">
        <f t="shared" si="192"/>
        <v>208.26666666666665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414.37917672189968</v>
      </c>
      <c r="T202" s="59">
        <f t="shared" si="204"/>
        <v>546.83385887302961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17.013735038028727</v>
      </c>
      <c r="AA202" s="21">
        <f>EXP(-LN(2)/25)*AA201+(1-EXP(-LN(2)/25))/(LN(2)/25)*Calculateur!V202*Calculateur!X202*VLOOKUP('Données projet'!$B$9,Paramètres!$A$1:$I$89,3,0)*0.475*44/12</f>
        <v>1.1546707983453015</v>
      </c>
      <c r="AB202" s="21">
        <f>EXP(-LN(2)/2)*AB201+(1-EXP(-LN(2)/2))/(LN(2)/2)*V202*Y202*VLOOKUP('Données projet'!$B$9,Paramètres!$A$1:$I$89,3,0)*0.475*44/12</f>
        <v>6.1726282336407075E-21</v>
      </c>
      <c r="AC202" s="22">
        <f t="shared" si="163"/>
        <v>18.168405836374028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7.0940586738288402E-14</v>
      </c>
      <c r="AK202" s="13">
        <f t="shared" si="164"/>
        <v>1.1091816830583241E-12</v>
      </c>
      <c r="AL202" s="20">
        <f t="shared" si="165"/>
        <v>2.0553796198957668E-12</v>
      </c>
      <c r="AM202" s="59">
        <f t="shared" si="193"/>
        <v>291.47413876709726</v>
      </c>
      <c r="AN202" s="59">
        <f ca="1">AVERAGE(OFFSET($AM$3,0,0,'Données projet'!$E$10+1,1))-AVERAGE(OFFSET($H$3,0,0,'Données projet'!$E$10+1,1))</f>
        <v>296.20984079604017</v>
      </c>
      <c r="AO202" s="59">
        <f t="shared" si="205"/>
        <v>351.8406329895206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12.812248249075832</v>
      </c>
      <c r="AV202" s="21">
        <f>EXP(-LN(2)/25)*AV201+(1-EXP(-LN(2)/25))/(LN(2)/25)*Calculateur!AQ202*Calculateur!AS202*VLOOKUP('Données projet'!$B$10,Paramètres!$A$1:$I$89,3,0)*0.475*44/12</f>
        <v>0.92246297442654246</v>
      </c>
      <c r="AW202" s="21">
        <f>EXP(-LN(2)/2)*AW201+(1-EXP(-LN(2)/2))/(LN(2)/2)*AQ202*AT202*VLOOKUP('Données projet'!$B$10,Paramètres!$A$1:$I$89,3,0)*0.475*44/12</f>
        <v>2.9103121823308328E-20</v>
      </c>
      <c r="AX202" s="21">
        <f t="shared" si="166"/>
        <v>13.734711223502375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-1.9863364286720756E-13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385.40047672167555</v>
      </c>
      <c r="BJ202" s="59">
        <f t="shared" si="206"/>
        <v>286.49293757741611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20.762397380224495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20.762397380224495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-5.1431925385259088E-14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397.12030701006762</v>
      </c>
      <c r="CE202" s="59">
        <f t="shared" si="207"/>
        <v>476.47513516380047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5.0110013647907037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5.0110013647907037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110.43805901666033</v>
      </c>
      <c r="CZ202" s="59">
        <f t="shared" si="208"/>
        <v>319.51880962151881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1.1854541867289052</v>
      </c>
      <c r="DG202" s="21">
        <f>EXP(-LN(2)/25)*DG201+(1-EXP(-LN(2)/25))/(LN(2)/25)*Calculateur!DB202*Calculateur!DD202*VLOOKUP('Données projet'!$B$13,Paramètres!$A$1:$I$89,3,0)*0.475*44/12</f>
        <v>0.12778253244829355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1.3132367191771988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3.3000000000000003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12.100000000000001</v>
      </c>
      <c r="H203" s="67">
        <f t="shared" si="192"/>
        <v>208.26666666666665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414.37917672189968</v>
      </c>
      <c r="T203" s="59">
        <f t="shared" si="204"/>
        <v>546.83385887302961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16.68010607128668</v>
      </c>
      <c r="AA203" s="21">
        <f>EXP(-LN(2)/25)*AA202+(1-EXP(-LN(2)/25))/(LN(2)/25)*Calculateur!V203*Calculateur!X203*VLOOKUP('Données projet'!$B$9,Paramètres!$A$1:$I$89,3,0)*0.475*44/12</f>
        <v>1.1230962646430509</v>
      </c>
      <c r="AB203" s="21">
        <f>EXP(-LN(2)/2)*AB202+(1-EXP(-LN(2)/2))/(LN(2)/2)*V203*Y203*VLOOKUP('Données projet'!$B$9,Paramètres!$A$1:$I$89,3,0)*0.475*44/12</f>
        <v>4.364707281750885E-21</v>
      </c>
      <c r="AC203" s="22">
        <f t="shared" si="163"/>
        <v>17.803202335929733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7.0940586738288402E-14</v>
      </c>
      <c r="AK203" s="13">
        <f t="shared" si="164"/>
        <v>1.1091816830583241E-12</v>
      </c>
      <c r="AL203" s="20">
        <f t="shared" si="165"/>
        <v>2.0553796198957668E-12</v>
      </c>
      <c r="AM203" s="59">
        <f t="shared" si="193"/>
        <v>291.50639163628512</v>
      </c>
      <c r="AN203" s="59">
        <f ca="1">AVERAGE(OFFSET($AM$3,0,0,'Données projet'!$E$10+1,1))-AVERAGE(OFFSET($H$3,0,0,'Données projet'!$E$10+1,1))</f>
        <v>296.20984079604017</v>
      </c>
      <c r="AO203" s="59">
        <f t="shared" si="205"/>
        <v>351.8406329895206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12.561007875611249</v>
      </c>
      <c r="AV203" s="21">
        <f>EXP(-LN(2)/25)*AV202+(1-EXP(-LN(2)/25))/(LN(2)/25)*Calculateur!AQ203*Calculateur!AS203*VLOOKUP('Données projet'!$B$10,Paramètres!$A$1:$I$89,3,0)*0.475*44/12</f>
        <v>0.89723817588062915</v>
      </c>
      <c r="AW203" s="21">
        <f>EXP(-LN(2)/2)*AW202+(1-EXP(-LN(2)/2))/(LN(2)/2)*AQ203*AT203*VLOOKUP('Données projet'!$B$10,Paramètres!$A$1:$I$89,3,0)*0.475*44/12</f>
        <v>2.0579014794959518E-20</v>
      </c>
      <c r="AX203" s="21">
        <f t="shared" si="166"/>
        <v>13.458246051491878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-1.9863364286720756E-13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385.40047672167555</v>
      </c>
      <c r="BJ203" s="59">
        <f t="shared" si="206"/>
        <v>286.49293757741611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20.355259431410246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20.355259431410246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-5.1431925385259088E-14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397.12030701006762</v>
      </c>
      <c r="CE203" s="59">
        <f t="shared" si="207"/>
        <v>476.47513516380047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4.9127386844361949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4.9127386844361949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110.43805901666033</v>
      </c>
      <c r="CZ203" s="59">
        <f t="shared" si="208"/>
        <v>319.51880962151881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1.1622081531828095</v>
      </c>
      <c r="DG203" s="21">
        <f>EXP(-LN(2)/25)*DG202+(1-EXP(-LN(2)/25))/(LN(2)/25)*Calculateur!DB203*Calculateur!DD203*VLOOKUP('Données projet'!$B$13,Paramètres!$A$1:$I$89,3,0)*0.475*44/12</f>
        <v>0.12428831237870362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1.286496465561513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1.3539956307764309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1.3903891703159093</v>
      </c>
      <c r="BA205" s="82">
        <f>EXP(LN('Données projet'!B88)/'Données projet'!A88)</f>
        <v>1.1739927044624925</v>
      </c>
      <c r="BV205" s="82">
        <f>EXP(LN('Données projet'!B114)/'Données projet'!A114)</f>
        <v>1.3868268816226086</v>
      </c>
      <c r="CQ205" s="82">
        <f>EXP(LN('Données projet'!B140)/'Données projet'!A140)</f>
        <v>1.2968395546510096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C15" sqref="C1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2.499998325</v>
      </c>
      <c r="C6" s="147">
        <f ca="1">IF(OR('Données projet'!B9="",'Données projet'!C9="",'Données projet'!C9=0%),0,Calculateur!S3)</f>
        <v>414.37917672189968</v>
      </c>
      <c r="D6" s="147">
        <f>IF(OR('Données projet'!B9="",'Données projet'!C9="",'Données projet'!C9=0%),0,Calculateur!T3)</f>
        <v>546.83385887302961</v>
      </c>
      <c r="E6" s="147">
        <f ca="1">MIN(C6,D6)</f>
        <v>414.37917672189968</v>
      </c>
      <c r="F6" s="147">
        <f ca="1">E6*B6</f>
        <v>1035.9472477196282</v>
      </c>
      <c r="G6" s="147">
        <f ca="1">F6*(100%-'Données projet'!$C$24)*(100%-'Données projet'!$C$25)*(100%-'Données projet'!$C$26)*(100%-'Données projet'!$C$27)</f>
        <v>745.88201835813243</v>
      </c>
      <c r="H6" s="148">
        <f>IF(OR('Données projet'!B9="",'Données projet'!C9="",'Données projet'!C9=0%),0,AVERAGE(Calculateur!$AC$3:$AC$33)*B6)</f>
        <v>35.079595529455737</v>
      </c>
      <c r="I6" s="149">
        <f>H6*(100%-'Données projet'!$C$24)*(100%-'Données projet'!$C$25)*(100%-'Données projet'!$C$26)*(100%-'Données projet'!$C$27)</f>
        <v>25.257308781208131</v>
      </c>
      <c r="J6" s="150">
        <f>IF(OR('Données projet'!B9="",'Données projet'!C9="",'Données projet'!C9=0%),0,SUM(Calculateur!$V$3:$V$33)*VLOOKUP('Données projet'!$B$9,Paramètres!$A$1:$I$89,9,0)*B6)</f>
        <v>222.75060075699747</v>
      </c>
      <c r="K6" s="151">
        <f>J6*(100%-'Données projet'!$C$24)*(100%-'Données projet'!$C$25)*(100%-'Données projet'!$C$26)*(100%-'Données projet'!$C$27)</f>
        <v>160.38043254503819</v>
      </c>
      <c r="L6" s="152">
        <f ca="1">G6+I6+K6</f>
        <v>931.51975968437876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Mélèze d'Europe</v>
      </c>
      <c r="B7" s="154">
        <f>'Données projet'!D10</f>
        <v>3.9999950750000002</v>
      </c>
      <c r="C7" s="147">
        <f ca="1">IF(OR('Données projet'!B10="",'Données projet'!C10="",'Données projet'!C10=0%),0,Calculateur!AN3)</f>
        <v>296.20984079604017</v>
      </c>
      <c r="D7" s="147">
        <f>IF(OR('Données projet'!B10="",'Données projet'!C10="",'Données projet'!C10=0%),0,Calculateur!AO3)</f>
        <v>351.8406329895206</v>
      </c>
      <c r="E7" s="147">
        <f t="shared" ref="E7:E15" ca="1" si="0">MIN(C7,D7)</f>
        <v>296.20984079604017</v>
      </c>
      <c r="F7" s="147">
        <f t="shared" ref="F7:F15" ca="1" si="1">E7*B7</f>
        <v>1184.8379043506948</v>
      </c>
      <c r="G7" s="147">
        <f ca="1">F7*(100%-'Données projet'!$C$24)*(100%-'Données projet'!$C$25)*(100%-'Données projet'!$C$26)*(100%-'Données projet'!$C$27)</f>
        <v>853.08329113250022</v>
      </c>
      <c r="H7" s="155">
        <f>IF(OR('Données projet'!B10="",'Données projet'!C10="",'Données projet'!C10=0%),0,AVERAGE(Calculateur!$AX$3:$AX$33)*B7)</f>
        <v>55.077221260279487</v>
      </c>
      <c r="I7" s="149">
        <f>H7*(100%-'Données projet'!$C$24)*(100%-'Données projet'!$C$25)*(100%-'Données projet'!$C$26)*(100%-'Données projet'!$C$27)</f>
        <v>39.655599307401232</v>
      </c>
      <c r="J7" s="150">
        <f>IF(OR('Données projet'!B10="",'Données projet'!C10="",'Données projet'!C10=0%),0,SUM(Calculateur!$AQ$3:$AQ$33)*VLOOKUP('Données projet'!$B$10,Paramètres!$A$1:$I$89,9,0)*B7)</f>
        <v>247.67969504400003</v>
      </c>
      <c r="K7" s="151">
        <f>J7*(100%-'Données projet'!$C$24)*(100%-'Données projet'!$C$25)*(100%-'Données projet'!$C$26)*(100%-'Données projet'!$C$27)</f>
        <v>178.32938043168002</v>
      </c>
      <c r="L7" s="152">
        <f t="shared" ref="L7:L15" ca="1" si="2">G7+I7+K7</f>
        <v>1071.0682708715815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rouge d'Amérique</v>
      </c>
      <c r="B8" s="154">
        <f>'Données projet'!D11</f>
        <v>2.00000315</v>
      </c>
      <c r="C8" s="147">
        <f ca="1">IF(OR('Données projet'!B11="",'Données projet'!C11="",'Données projet'!C11=0%),0,Calculateur!BI3)</f>
        <v>385.40047672167555</v>
      </c>
      <c r="D8" s="147">
        <f>IF(OR('Données projet'!B11="",'Données projet'!C11="",'Données projet'!C11=0%),0,Calculateur!BJ3)</f>
        <v>286.49293757741611</v>
      </c>
      <c r="E8" s="147">
        <f t="shared" ca="1" si="0"/>
        <v>286.49293757741611</v>
      </c>
      <c r="F8" s="147">
        <f t="shared" ca="1" si="1"/>
        <v>572.98677760758562</v>
      </c>
      <c r="G8" s="147">
        <f ca="1">F8*(100%-'Données projet'!$C$24)*(100%-'Données projet'!$C$25)*(100%-'Données projet'!$C$26)*(100%-'Données projet'!$C$27)</f>
        <v>412.55047987746167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412.55047987746167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Robinier faux-acacia</v>
      </c>
      <c r="B9" s="154">
        <f>'Données projet'!D12</f>
        <v>1.49999675</v>
      </c>
      <c r="C9" s="147">
        <f ca="1">IF(OR('Données projet'!B12="",'Données projet'!C12="",'Données projet'!C12=0%),0,Calculateur!CD3)</f>
        <v>397.12030701006762</v>
      </c>
      <c r="D9" s="147">
        <f>IF(OR('Données projet'!B12="",'Données projet'!C12="",'Données projet'!C12=0%),0,Calculateur!CE3)</f>
        <v>476.47513516380047</v>
      </c>
      <c r="E9" s="147">
        <f t="shared" ca="1" si="0"/>
        <v>397.12030701006762</v>
      </c>
      <c r="F9" s="147">
        <f t="shared" ca="1" si="1"/>
        <v>595.67916987410365</v>
      </c>
      <c r="G9" s="147">
        <f ca="1">F9*(100%-'Données projet'!$C$24)*(100%-'Données projet'!$C$25)*(100%-'Données projet'!$C$26)*(100%-'Données projet'!$C$27)</f>
        <v>428.88900230935468</v>
      </c>
      <c r="H9" s="155">
        <f>IF(OR('Données projet'!B12="",'Données projet'!C12="",'Données projet'!C12=0%),0,AVERAGE(Calculateur!$CN$3:$CN$33)*B9)</f>
        <v>2.2690531338906665</v>
      </c>
      <c r="I9" s="149">
        <f>H9*(100%-'Données projet'!$C$24)*(100%-'Données projet'!$C$25)*(100%-'Données projet'!$C$26)*(100%-'Données projet'!$C$27)</f>
        <v>1.63371825640128</v>
      </c>
      <c r="J9" s="150">
        <f>IF(OR('Données projet'!B12="",'Données projet'!C12="",'Données projet'!C12=0%),0,SUM(Calculateur!$CG$3:$CG$33)*VLOOKUP('Données projet'!$B$12,Paramètres!$A$1:$I$89,9,0)*B9)</f>
        <v>41.249910624999998</v>
      </c>
      <c r="K9" s="151">
        <f>J9*(100%-'Données projet'!$C$24)*(100%-'Données projet'!$C$25)*(100%-'Données projet'!$C$26)*(100%-'Données projet'!$C$27)</f>
        <v>29.699935650000004</v>
      </c>
      <c r="L9" s="152">
        <f t="shared" ca="1" si="2"/>
        <v>460.22265621575593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Peuplier Koster</v>
      </c>
      <c r="B10" s="154">
        <f>'Données projet'!D13</f>
        <v>1.223525</v>
      </c>
      <c r="C10" s="147">
        <f ca="1">IF(OR('Données projet'!B13="",'Données projet'!C13="",'Données projet'!C13=0%),0,Calculateur!CY3)</f>
        <v>110.43805901666033</v>
      </c>
      <c r="D10" s="147">
        <f>IF(OR('Données projet'!B13="",'Données projet'!C13="",'Données projet'!C13=0%),0,Calculateur!CZ3)</f>
        <v>319.51880962151881</v>
      </c>
      <c r="E10" s="147">
        <f t="shared" ca="1" si="0"/>
        <v>110.43805901666033</v>
      </c>
      <c r="F10" s="147">
        <f t="shared" ca="1" si="1"/>
        <v>135.12372615835932</v>
      </c>
      <c r="G10" s="147">
        <f ca="1">F10*(100%-'Données projet'!$C$24)*(100%-'Données projet'!$C$25)*(100%-'Données projet'!$C$26)*(100%-'Données projet'!$C$27)</f>
        <v>97.289082834018714</v>
      </c>
      <c r="H10" s="155">
        <f>IF(OR('Données projet'!B13="",'Données projet'!C13="",'Données projet'!C13=0%),0,AVERAGE(Calculateur!$DI$3:$DI$33)*B10)</f>
        <v>23.111650271236964</v>
      </c>
      <c r="I10" s="149">
        <f>H10*(100%-'Données projet'!$C$24)*(100%-'Données projet'!$C$25)*(100%-'Données projet'!$C$26)*(100%-'Données projet'!$C$27)</f>
        <v>16.640388195290615</v>
      </c>
      <c r="J10" s="150">
        <f>IF(OR('Données projet'!B13="",'Données projet'!C13="",'Données projet'!C13=0%),0,SUM(Calculateur!$DB$3:$DB$33)*VLOOKUP('Données projet'!$B$13,Paramètres!$A$1:$I$89,9,0)*B10)</f>
        <v>326.39976424999998</v>
      </c>
      <c r="K10" s="151">
        <f>J10*(100%-'Données projet'!$C$24)*(100%-'Données projet'!$C$25)*(100%-'Données projet'!$C$26)*(100%-'Données projet'!$C$27)</f>
        <v>235.00783026000002</v>
      </c>
      <c r="L10" s="152">
        <f t="shared" ca="1" si="2"/>
        <v>348.93730128930935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3524.5748257103714</v>
      </c>
      <c r="G16" s="166">
        <f t="shared" ca="1" si="3"/>
        <v>2537.6938745114676</v>
      </c>
      <c r="H16" s="167">
        <f t="shared" si="3"/>
        <v>115.53752019486285</v>
      </c>
      <c r="I16" s="167">
        <f t="shared" si="3"/>
        <v>83.187014540301249</v>
      </c>
      <c r="J16" s="168">
        <f t="shared" si="3"/>
        <v>838.0799706759974</v>
      </c>
      <c r="K16" s="168">
        <f t="shared" si="3"/>
        <v>603.41757888671827</v>
      </c>
      <c r="L16" s="169">
        <f t="shared" ca="1" si="3"/>
        <v>3224.2984679384872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Robinier faux-acacia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Peuplier Koster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88" zoomScaleNormal="80" workbookViewId="0">
      <selection activeCell="C302" sqref="C302:C32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2.499998325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Mélèze d'Europe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3.9999950750000002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rouge d'Amérique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2.00000315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Robinier faux-acacia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1.49999675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Peuplier Koster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1.223525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18</v>
      </c>
      <c r="B24" s="181">
        <f>'Données projet'!D37</f>
        <v>74.819999999999993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21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24</v>
      </c>
      <c r="B26" s="181">
        <f>'Données projet'!D39</f>
        <v>51.39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27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30</v>
      </c>
      <c r="B28" s="181">
        <f>'Données projet'!D41</f>
        <v>81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33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36</v>
      </c>
      <c r="B30" s="181">
        <f>'Données projet'!D43</f>
        <v>86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39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42</v>
      </c>
      <c r="B32" s="181">
        <f>'Données projet'!D45</f>
        <v>91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45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48</v>
      </c>
      <c r="B34" s="181">
        <f>'Données projet'!D47</f>
        <v>101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51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54</v>
      </c>
      <c r="B36" s="181">
        <f>'Données projet'!D49</f>
        <v>707.75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15</v>
      </c>
      <c r="B55" s="181">
        <f>'Données projet'!D63</f>
        <v>18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20</v>
      </c>
      <c r="B56" s="181">
        <f>'Données projet'!D64</f>
        <v>42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25</v>
      </c>
      <c r="B57" s="181">
        <f>'Données projet'!D65</f>
        <v>42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30</v>
      </c>
      <c r="B58" s="181">
        <f>'Données projet'!D66</f>
        <v>42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35</v>
      </c>
      <c r="B59" s="181">
        <f>'Données projet'!D67</f>
        <v>42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40</v>
      </c>
      <c r="B60" s="181">
        <f>'Données projet'!D68</f>
        <v>40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45</v>
      </c>
      <c r="B61" s="181">
        <f>'Données projet'!D69</f>
        <v>36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50</v>
      </c>
      <c r="B62" s="181">
        <f>'Données projet'!D70</f>
        <v>32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55</v>
      </c>
      <c r="B63" s="181">
        <f>'Données projet'!D71</f>
        <v>29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60</v>
      </c>
      <c r="B64" s="181">
        <f>'Données projet'!D72</f>
        <v>375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31</v>
      </c>
      <c r="B85" s="181">
        <f>'Données projet'!D88</f>
        <v>64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34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37</v>
      </c>
      <c r="B87" s="181">
        <f>'Données projet'!D90</f>
        <v>41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40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44</v>
      </c>
      <c r="B89" s="181">
        <f>'Données projet'!D92</f>
        <v>52.8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47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51</v>
      </c>
      <c r="B91" s="181">
        <f>'Données projet'!D94</f>
        <v>50.63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54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58</v>
      </c>
      <c r="B93" s="181">
        <f>'Données projet'!D96</f>
        <v>48.81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61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65</v>
      </c>
      <c r="B95" s="181">
        <f>'Données projet'!D98</f>
        <v>50.87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68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72</v>
      </c>
      <c r="B97" s="181">
        <f>'Données projet'!D100</f>
        <v>58.96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75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81</v>
      </c>
      <c r="B99" s="181">
        <f>'Données projet'!D102</f>
        <v>77.44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90</v>
      </c>
      <c r="B100" s="181">
        <f>'Données projet'!D103</f>
        <v>399.03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Robinier faux-acacia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15</v>
      </c>
      <c r="B116" s="181">
        <f>'Données projet'!D114</f>
        <v>37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20</v>
      </c>
      <c r="B117" s="181">
        <f>'Données projet'!D115</f>
        <v>29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25</v>
      </c>
      <c r="B118" s="181">
        <f>'Données projet'!D116</f>
        <v>24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30</v>
      </c>
      <c r="B119" s="181">
        <f>'Données projet'!D117</f>
        <v>20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35</v>
      </c>
      <c r="B120" s="181">
        <f>'Données projet'!D118</f>
        <v>18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40</v>
      </c>
      <c r="B121" s="181">
        <f>'Données projet'!D119</f>
        <v>16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45</v>
      </c>
      <c r="B122" s="181">
        <f>'Données projet'!D120</f>
        <v>14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50</v>
      </c>
      <c r="B123" s="181">
        <f>'Données projet'!D121</f>
        <v>12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55</v>
      </c>
      <c r="B124" s="181">
        <f>'Données projet'!D122</f>
        <v>11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60</v>
      </c>
      <c r="B125" s="181">
        <f>'Données projet'!D123</f>
        <v>323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Peuplier Koster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8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9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10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11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12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13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14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15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16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17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18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19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20</v>
      </c>
      <c r="B159" s="175">
        <f>'Données projet'!D152</f>
        <v>259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2023-11-02T16:46:26Z</dcterms:modified>
</cp:coreProperties>
</file>